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0"/>
  <workbookPr filterPrivacy="1"/>
  <xr:revisionPtr revIDLastSave="0" documentId="8_{775F5B26-AB51-476C-A805-4DF15E204425}" xr6:coauthVersionLast="47" xr6:coauthVersionMax="47" xr10:uidLastSave="{00000000-0000-0000-0000-000000000000}"/>
  <bookViews>
    <workbookView xWindow="-120" yWindow="-120" windowWidth="29040" windowHeight="15720" tabRatio="932" xr2:uid="{00000000-000D-0000-FFFF-FFFF00000000}"/>
  </bookViews>
  <sheets>
    <sheet name="Janeiro" sheetId="4" r:id="rId1"/>
    <sheet name="Fevereiro" sheetId="5" r:id="rId2"/>
    <sheet name="Março" sheetId="17" r:id="rId3"/>
    <sheet name="Abril" sheetId="18" r:id="rId4"/>
    <sheet name="Maio" sheetId="19" r:id="rId5"/>
    <sheet name="Junho" sheetId="20" r:id="rId6"/>
    <sheet name="Julho" sheetId="21" r:id="rId7"/>
    <sheet name="Agosto" sheetId="22" r:id="rId8"/>
    <sheet name="Setembro" sheetId="23" r:id="rId9"/>
    <sheet name="Outubro" sheetId="24" r:id="rId10"/>
    <sheet name="Novembro" sheetId="25" r:id="rId11"/>
    <sheet name="Dezembro" sheetId="15" r:id="rId12"/>
    <sheet name="Diretores" sheetId="16" r:id="rId13"/>
    <sheet name="Estatísticas" sheetId="26" r:id="rId14"/>
    <sheet name="Regras" sheetId="27" r:id="rId15"/>
  </sheets>
  <definedNames>
    <definedName name="AnoCalendário">Janeiro!$AH$5</definedName>
    <definedName name="ChaveFérias">Janeiro!$C$3</definedName>
    <definedName name="ChaveLicençaMédica">Janeiro!$L$3</definedName>
    <definedName name="ChavePersonalizada1">Janeiro!$P$3</definedName>
    <definedName name="ChavePersonalizada2">Janeiro!$U$3</definedName>
    <definedName name="ChavePessoal">Janeiro!$F$3</definedName>
    <definedName name="Nome_da_chave">Janeiro!$B$3</definedName>
    <definedName name="NomeMês" localSheetId="3">Abril!$B$1</definedName>
    <definedName name="NomeMês" localSheetId="7">Agosto!$B$1</definedName>
    <definedName name="NomeMês" localSheetId="11">Dezembro!$B$1</definedName>
    <definedName name="NomeMês" localSheetId="1">Fevereiro!$B$1</definedName>
    <definedName name="NomeMês" localSheetId="0">Janeiro!$B$1</definedName>
    <definedName name="NomeMês" localSheetId="6">Julho!$B$1</definedName>
    <definedName name="NomeMês" localSheetId="5">Junho!$B$1</definedName>
    <definedName name="NomeMês" localSheetId="4">Maio!$B$3</definedName>
    <definedName name="NomeMês" localSheetId="2">Março!$B$1</definedName>
    <definedName name="NomeMês" localSheetId="10">Novembro!$B$1</definedName>
    <definedName name="NomeMês" localSheetId="9">Outubro!$B$1</definedName>
    <definedName name="NomeMês" localSheetId="8">Setembro!$B$1</definedName>
    <definedName name="RótuloChaveLicençaMédica">Janeiro!$M$3</definedName>
    <definedName name="RótulodeChavedeFérias">Janeiro!$D$3</definedName>
    <definedName name="RótulodeChavePersonalizada1">Janeiro!$Q$3</definedName>
    <definedName name="RótulodeChavePersonalizada2">Janeiro!$V$3</definedName>
    <definedName name="RótuloDeChavePessoal">Janeiro!$G$3</definedName>
    <definedName name="Título_de_Falta_do_Funcionário">Janeiro!#REF!</definedName>
    <definedName name="Título1">Janeiro[[#Headers],[Diretor]]</definedName>
    <definedName name="Título10">Outubro[[#Headers],[Diretor]]</definedName>
    <definedName name="Título11">Novembro[[#Headers],[Diretor]]</definedName>
    <definedName name="Título12">Dezembro[[#Headers],[Diretor]]</definedName>
    <definedName name="Título2">Fevereiro[[#Headers],[Diretor]]</definedName>
    <definedName name="Título3">Março[[#Headers],[Diretor]]</definedName>
    <definedName name="Título4">March5[[#Headers],[Diretor]]</definedName>
    <definedName name="Título5">March58[[#Headers],[Diretor]]</definedName>
    <definedName name="Título6">Junho[[#Headers],[Diretor]]</definedName>
    <definedName name="Título7">Julho[[#Headers],[Diretor]]</definedName>
    <definedName name="Título8">Agosto[[#Headers],[Diretor]]</definedName>
    <definedName name="Título9">Setembro[[#Headers],[Diretor]]</definedName>
    <definedName name="TítuloColuna13">NomeDoFuncionário[[#Headers],[Diretor]]</definedName>
    <definedName name="_xlnm.Print_Titles" localSheetId="3">Abril!$6:$8</definedName>
    <definedName name="_xlnm.Print_Titles" localSheetId="7">Agosto!$5:$7</definedName>
    <definedName name="_xlnm.Print_Titles" localSheetId="11">Dezembro!$5:$7</definedName>
    <definedName name="_xlnm.Print_Titles" localSheetId="1">Fevereiro!$5:$7</definedName>
    <definedName name="_xlnm.Print_Titles" localSheetId="0">Janeiro!$5:$7</definedName>
    <definedName name="_xlnm.Print_Titles" localSheetId="6">Julho!$6:$7</definedName>
    <definedName name="_xlnm.Print_Titles" localSheetId="5">Junho!$5:$7</definedName>
    <definedName name="_xlnm.Print_Titles" localSheetId="4">Maio!$3:$5</definedName>
    <definedName name="_xlnm.Print_Titles" localSheetId="2">Março!$5:$7</definedName>
    <definedName name="_xlnm.Print_Titles" localSheetId="10">Novembro!$5:$7</definedName>
    <definedName name="_xlnm.Print_Titles" localSheetId="9">Outubro!$5:$7</definedName>
    <definedName name="_xlnm.Print_Titles" localSheetId="8">Setembro!$5:$7</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12" i="21" l="1"/>
  <c r="AH12" i="22"/>
  <c r="AG12" i="23"/>
  <c r="AG10" i="20"/>
  <c r="AG12" i="20"/>
  <c r="AG14" i="20"/>
  <c r="AG16" i="20"/>
  <c r="AG8" i="20"/>
  <c r="AG10" i="18"/>
  <c r="AG12" i="18"/>
  <c r="AG14" i="18"/>
  <c r="AG16" i="18"/>
  <c r="AG8" i="18"/>
  <c r="AG8" i="23"/>
  <c r="AG8" i="25"/>
  <c r="AE18" i="23" l="1"/>
  <c r="AG14" i="23"/>
  <c r="AG16" i="23"/>
  <c r="AF18" i="18"/>
  <c r="AH8" i="4"/>
  <c r="AG18" i="15"/>
  <c r="D18" i="15"/>
  <c r="E18" i="15"/>
  <c r="F18" i="15"/>
  <c r="G18" i="15"/>
  <c r="H18" i="15"/>
  <c r="I18" i="15"/>
  <c r="J18" i="15"/>
  <c r="K18" i="15"/>
  <c r="L18" i="15"/>
  <c r="M18" i="15"/>
  <c r="N18" i="15"/>
  <c r="O18" i="15"/>
  <c r="P18" i="15"/>
  <c r="Q18" i="15"/>
  <c r="R18" i="15"/>
  <c r="S18" i="15"/>
  <c r="T18" i="15"/>
  <c r="U18" i="15"/>
  <c r="V18" i="15"/>
  <c r="W18" i="15"/>
  <c r="X18" i="15"/>
  <c r="Y18" i="15"/>
  <c r="Z18" i="15"/>
  <c r="AA18" i="15"/>
  <c r="AB18" i="15"/>
  <c r="AC18" i="15"/>
  <c r="AD18" i="15"/>
  <c r="AE18" i="15"/>
  <c r="AF18" i="15"/>
  <c r="C18" i="15"/>
  <c r="AF18" i="25"/>
  <c r="D18" i="25"/>
  <c r="E18" i="25"/>
  <c r="F18" i="25"/>
  <c r="G18" i="25"/>
  <c r="H18" i="25"/>
  <c r="I18" i="25"/>
  <c r="J18" i="25"/>
  <c r="K18" i="25"/>
  <c r="L18" i="25"/>
  <c r="M18" i="25"/>
  <c r="N18" i="25"/>
  <c r="O18" i="25"/>
  <c r="P18" i="25"/>
  <c r="Q18" i="25"/>
  <c r="R18" i="25"/>
  <c r="S18" i="25"/>
  <c r="T18" i="25"/>
  <c r="U18" i="25"/>
  <c r="V18" i="25"/>
  <c r="W18" i="25"/>
  <c r="X18" i="25"/>
  <c r="Y18" i="25"/>
  <c r="Z18" i="25"/>
  <c r="AA18" i="25"/>
  <c r="AB18" i="25"/>
  <c r="AC18" i="25"/>
  <c r="AD18" i="25"/>
  <c r="AE18" i="25"/>
  <c r="C18" i="25"/>
  <c r="AG18" i="24"/>
  <c r="D18" i="24"/>
  <c r="E18" i="24"/>
  <c r="F18" i="24"/>
  <c r="G18" i="24"/>
  <c r="H18" i="24"/>
  <c r="I18" i="24"/>
  <c r="J18" i="24"/>
  <c r="K18" i="24"/>
  <c r="L18" i="24"/>
  <c r="M18" i="24"/>
  <c r="N18" i="24"/>
  <c r="O18" i="24"/>
  <c r="P18" i="24"/>
  <c r="Q18" i="24"/>
  <c r="R18" i="24"/>
  <c r="S18" i="24"/>
  <c r="T18" i="24"/>
  <c r="U18" i="24"/>
  <c r="V18" i="24"/>
  <c r="W18" i="24"/>
  <c r="X18" i="24"/>
  <c r="Y18" i="24"/>
  <c r="Z18" i="24"/>
  <c r="AA18" i="24"/>
  <c r="AB18" i="24"/>
  <c r="AC18" i="24"/>
  <c r="AD18" i="24"/>
  <c r="AE18" i="24"/>
  <c r="AF18" i="24"/>
  <c r="C18" i="24"/>
  <c r="D18" i="23"/>
  <c r="E18" i="23"/>
  <c r="F18" i="23"/>
  <c r="G18" i="23"/>
  <c r="H18" i="23"/>
  <c r="I18" i="23"/>
  <c r="J18" i="23"/>
  <c r="K18" i="23"/>
  <c r="L18" i="23"/>
  <c r="M18" i="23"/>
  <c r="N18" i="23"/>
  <c r="O18" i="23"/>
  <c r="P18" i="23"/>
  <c r="Q18" i="23"/>
  <c r="R18" i="23"/>
  <c r="S18" i="23"/>
  <c r="T18" i="23"/>
  <c r="U18" i="23"/>
  <c r="V18" i="23"/>
  <c r="W18" i="23"/>
  <c r="X18" i="23"/>
  <c r="Y18" i="23"/>
  <c r="Z18" i="23"/>
  <c r="AA18" i="23"/>
  <c r="AB18" i="23"/>
  <c r="AC18" i="23"/>
  <c r="AD18" i="23"/>
  <c r="AF18" i="23"/>
  <c r="C18" i="23"/>
  <c r="D18" i="22"/>
  <c r="E18" i="22"/>
  <c r="F18" i="22"/>
  <c r="G18" i="22"/>
  <c r="H18" i="22"/>
  <c r="I18" i="22"/>
  <c r="J18" i="22"/>
  <c r="K18" i="22"/>
  <c r="L18" i="22"/>
  <c r="M18" i="22"/>
  <c r="N18" i="22"/>
  <c r="O18" i="22"/>
  <c r="P18" i="22"/>
  <c r="Q18" i="22"/>
  <c r="R18" i="22"/>
  <c r="S18" i="22"/>
  <c r="T18" i="22"/>
  <c r="U18" i="22"/>
  <c r="V18" i="22"/>
  <c r="W18" i="22"/>
  <c r="X18" i="22"/>
  <c r="Y18" i="22"/>
  <c r="Z18" i="22"/>
  <c r="AA18" i="22"/>
  <c r="AB18" i="22"/>
  <c r="AC18" i="22"/>
  <c r="AD18" i="22"/>
  <c r="AE18" i="22"/>
  <c r="AF18" i="22"/>
  <c r="AG18" i="22"/>
  <c r="C18" i="22"/>
  <c r="D18" i="21"/>
  <c r="E18" i="21"/>
  <c r="F18" i="21"/>
  <c r="G18" i="21"/>
  <c r="H18" i="21"/>
  <c r="I18" i="21"/>
  <c r="J18" i="21"/>
  <c r="K18" i="21"/>
  <c r="L18" i="21"/>
  <c r="M18" i="21"/>
  <c r="N18" i="21"/>
  <c r="O18" i="21"/>
  <c r="P18" i="21"/>
  <c r="Q18" i="21"/>
  <c r="R18" i="21"/>
  <c r="S18" i="21"/>
  <c r="T18" i="21"/>
  <c r="U18" i="21"/>
  <c r="V18" i="21"/>
  <c r="W18" i="21"/>
  <c r="X18" i="21"/>
  <c r="Y18" i="21"/>
  <c r="Z18" i="21"/>
  <c r="AA18" i="21"/>
  <c r="AB18" i="21"/>
  <c r="AC18" i="21"/>
  <c r="AD18" i="21"/>
  <c r="AE18" i="21"/>
  <c r="AF18" i="21"/>
  <c r="AG18" i="21"/>
  <c r="C18" i="21"/>
  <c r="AF18" i="20"/>
  <c r="D18" i="20"/>
  <c r="E18" i="20"/>
  <c r="F18" i="20"/>
  <c r="G18" i="20"/>
  <c r="H18" i="20"/>
  <c r="I18" i="20"/>
  <c r="J18" i="20"/>
  <c r="K18" i="20"/>
  <c r="L18" i="20"/>
  <c r="M18" i="20"/>
  <c r="N18" i="20"/>
  <c r="O18" i="20"/>
  <c r="P18" i="20"/>
  <c r="Q18" i="20"/>
  <c r="R18" i="20"/>
  <c r="S18" i="20"/>
  <c r="T18" i="20"/>
  <c r="U18" i="20"/>
  <c r="V18" i="20"/>
  <c r="W18" i="20"/>
  <c r="X18" i="20"/>
  <c r="Y18" i="20"/>
  <c r="Z18" i="20"/>
  <c r="AA18" i="20"/>
  <c r="AB18" i="20"/>
  <c r="AC18" i="20"/>
  <c r="AD18" i="20"/>
  <c r="AE18" i="20"/>
  <c r="C18" i="20"/>
  <c r="AG18" i="19"/>
  <c r="D18" i="19"/>
  <c r="E18" i="19"/>
  <c r="F18" i="19"/>
  <c r="G18" i="19"/>
  <c r="H18" i="19"/>
  <c r="I18" i="19"/>
  <c r="J18" i="19"/>
  <c r="K18" i="19"/>
  <c r="L18" i="19"/>
  <c r="M18" i="19"/>
  <c r="N18" i="19"/>
  <c r="O18" i="19"/>
  <c r="P18" i="19"/>
  <c r="Q18" i="19"/>
  <c r="R18" i="19"/>
  <c r="S18" i="19"/>
  <c r="T18" i="19"/>
  <c r="U18" i="19"/>
  <c r="V18" i="19"/>
  <c r="W18" i="19"/>
  <c r="X18" i="19"/>
  <c r="Y18" i="19"/>
  <c r="Z18" i="19"/>
  <c r="AA18" i="19"/>
  <c r="AB18" i="19"/>
  <c r="AC18" i="19"/>
  <c r="AD18" i="19"/>
  <c r="AE18" i="19"/>
  <c r="AF18" i="19"/>
  <c r="C18" i="19"/>
  <c r="D18" i="18"/>
  <c r="E18" i="18"/>
  <c r="F18" i="18"/>
  <c r="G18" i="18"/>
  <c r="H18" i="18"/>
  <c r="I18" i="18"/>
  <c r="J18" i="18"/>
  <c r="K18" i="18"/>
  <c r="L18" i="18"/>
  <c r="M18" i="18"/>
  <c r="N18" i="18"/>
  <c r="O18" i="18"/>
  <c r="P18" i="18"/>
  <c r="Q18" i="18"/>
  <c r="R18" i="18"/>
  <c r="S18" i="18"/>
  <c r="T18" i="18"/>
  <c r="U18" i="18"/>
  <c r="V18" i="18"/>
  <c r="W18" i="18"/>
  <c r="X18" i="18"/>
  <c r="Y18" i="18"/>
  <c r="Z18" i="18"/>
  <c r="AA18" i="18"/>
  <c r="AB18" i="18"/>
  <c r="AC18" i="18"/>
  <c r="AD18" i="18"/>
  <c r="AE18" i="18"/>
  <c r="C18" i="18"/>
  <c r="D18" i="17"/>
  <c r="E18" i="17"/>
  <c r="F18" i="17"/>
  <c r="G18" i="17"/>
  <c r="H18" i="17"/>
  <c r="I18" i="17"/>
  <c r="J18" i="17"/>
  <c r="K18" i="17"/>
  <c r="L18" i="17"/>
  <c r="M18" i="17"/>
  <c r="N18" i="17"/>
  <c r="O18" i="17"/>
  <c r="P18" i="17"/>
  <c r="Q18" i="17"/>
  <c r="R18" i="17"/>
  <c r="S18" i="17"/>
  <c r="T18" i="17"/>
  <c r="U18" i="17"/>
  <c r="V18" i="17"/>
  <c r="W18" i="17"/>
  <c r="X18" i="17"/>
  <c r="Y18" i="17"/>
  <c r="Z18" i="17"/>
  <c r="AA18" i="17"/>
  <c r="AB18" i="17"/>
  <c r="AC18" i="17"/>
  <c r="AD18" i="17"/>
  <c r="AE18" i="17"/>
  <c r="AF18" i="17"/>
  <c r="AG18" i="17"/>
  <c r="C18" i="17"/>
  <c r="AE18" i="5"/>
  <c r="D18" i="5"/>
  <c r="E18" i="5"/>
  <c r="F18" i="5"/>
  <c r="G18" i="5"/>
  <c r="H18" i="5"/>
  <c r="I18" i="5"/>
  <c r="J18" i="5"/>
  <c r="K18" i="5"/>
  <c r="L18" i="5"/>
  <c r="M18" i="5"/>
  <c r="N18" i="5"/>
  <c r="O18" i="5"/>
  <c r="P18" i="5"/>
  <c r="Q18" i="5"/>
  <c r="R18" i="5"/>
  <c r="S18" i="5"/>
  <c r="T18" i="5"/>
  <c r="U18" i="5"/>
  <c r="V18" i="5"/>
  <c r="W18" i="5"/>
  <c r="X18" i="5"/>
  <c r="Y18" i="5"/>
  <c r="Z18" i="5"/>
  <c r="AA18" i="5"/>
  <c r="AB18" i="5"/>
  <c r="AC18" i="5"/>
  <c r="AD18" i="5"/>
  <c r="C18" i="5"/>
  <c r="C18" i="4"/>
  <c r="AH8" i="17"/>
  <c r="AG16" i="25"/>
  <c r="AG14" i="25"/>
  <c r="AG12" i="25"/>
  <c r="AG10" i="25"/>
  <c r="C6" i="15"/>
  <c r="C6" i="25"/>
  <c r="C6" i="24"/>
  <c r="C6" i="23"/>
  <c r="C6" i="22"/>
  <c r="C6" i="21"/>
  <c r="C6" i="20"/>
  <c r="C6" i="19"/>
  <c r="C6" i="18"/>
  <c r="C6" i="17"/>
  <c r="C6" i="5"/>
  <c r="N8" i="26"/>
  <c r="M8" i="26"/>
  <c r="L8" i="26"/>
  <c r="K8" i="26"/>
  <c r="J8" i="26"/>
  <c r="I8" i="26"/>
  <c r="H8" i="26"/>
  <c r="G8" i="26"/>
  <c r="F8" i="26"/>
  <c r="E8" i="26"/>
  <c r="D8" i="26"/>
  <c r="N7" i="26"/>
  <c r="M7" i="26"/>
  <c r="L7" i="26"/>
  <c r="K7" i="26"/>
  <c r="J7" i="26"/>
  <c r="I7" i="26"/>
  <c r="H7" i="26"/>
  <c r="G7" i="26"/>
  <c r="F7" i="26"/>
  <c r="E7" i="26"/>
  <c r="D7" i="26"/>
  <c r="N6" i="26"/>
  <c r="M6" i="26"/>
  <c r="L6" i="26"/>
  <c r="K6" i="26"/>
  <c r="J6" i="26"/>
  <c r="I6" i="26"/>
  <c r="H6" i="26"/>
  <c r="G6" i="26"/>
  <c r="F6" i="26"/>
  <c r="E6" i="26"/>
  <c r="D6" i="26"/>
  <c r="N5" i="26"/>
  <c r="M5" i="26"/>
  <c r="L5" i="26"/>
  <c r="K5" i="26"/>
  <c r="J5" i="26"/>
  <c r="I5" i="26"/>
  <c r="H5" i="26"/>
  <c r="G5" i="26"/>
  <c r="F5" i="26"/>
  <c r="E5" i="26"/>
  <c r="D5" i="26"/>
  <c r="N4" i="26"/>
  <c r="M4" i="26"/>
  <c r="L4" i="26"/>
  <c r="K4" i="26"/>
  <c r="J4" i="26"/>
  <c r="I4" i="26"/>
  <c r="H4" i="26"/>
  <c r="G4" i="26"/>
  <c r="F4" i="26"/>
  <c r="E4" i="26"/>
  <c r="D4" i="26"/>
  <c r="C8" i="26"/>
  <c r="C7" i="26"/>
  <c r="C6" i="26"/>
  <c r="C5" i="26"/>
  <c r="C6" i="4"/>
  <c r="O4" i="26" l="1"/>
  <c r="P4" i="26" s="1"/>
  <c r="O6" i="26"/>
  <c r="P6" i="26" s="1"/>
  <c r="O5" i="26"/>
  <c r="P5" i="26" s="1"/>
  <c r="O8" i="26"/>
  <c r="P8" i="26" s="1"/>
  <c r="O7" i="26"/>
  <c r="P7" i="26" s="1"/>
  <c r="E18" i="4" l="1"/>
  <c r="F18" i="4"/>
  <c r="G18" i="4"/>
  <c r="H18" i="4"/>
  <c r="I18" i="4"/>
  <c r="J18" i="4"/>
  <c r="K18" i="4"/>
  <c r="L18" i="4"/>
  <c r="M18" i="4"/>
  <c r="N18" i="4"/>
  <c r="O18" i="4"/>
  <c r="P18" i="4"/>
  <c r="Q18" i="4"/>
  <c r="R18" i="4"/>
  <c r="S18" i="4"/>
  <c r="T18" i="4"/>
  <c r="U18" i="4"/>
  <c r="V18" i="4"/>
  <c r="W18" i="4"/>
  <c r="X18" i="4"/>
  <c r="Y18" i="4"/>
  <c r="Z18" i="4"/>
  <c r="AA18" i="4"/>
  <c r="AB18" i="4"/>
  <c r="AC18" i="4"/>
  <c r="AD18" i="4"/>
  <c r="AE18" i="4"/>
  <c r="AF18" i="4"/>
  <c r="AG18" i="4"/>
  <c r="D18" i="4"/>
  <c r="AE6" i="5"/>
  <c r="AD6" i="5"/>
  <c r="AC6" i="5"/>
  <c r="AB6" i="5"/>
  <c r="AA6" i="5"/>
  <c r="Z6" i="5"/>
  <c r="Y6" i="5"/>
  <c r="X6" i="5"/>
  <c r="W6" i="5"/>
  <c r="V6" i="5"/>
  <c r="U6" i="5"/>
  <c r="T6" i="5"/>
  <c r="S6" i="5"/>
  <c r="R6" i="5"/>
  <c r="Q6" i="5"/>
  <c r="P6" i="5"/>
  <c r="O6" i="5"/>
  <c r="N6" i="5"/>
  <c r="M6" i="5"/>
  <c r="L6" i="5"/>
  <c r="K6" i="5"/>
  <c r="J6" i="5"/>
  <c r="I6" i="5"/>
  <c r="H6" i="5"/>
  <c r="G6" i="5"/>
  <c r="F6" i="5"/>
  <c r="E6" i="5"/>
  <c r="D6" i="5"/>
  <c r="AG6" i="17"/>
  <c r="AF6" i="17"/>
  <c r="AE6" i="17"/>
  <c r="AD6" i="17"/>
  <c r="AC6" i="17"/>
  <c r="AB6" i="17"/>
  <c r="AA6" i="17"/>
  <c r="Z6" i="17"/>
  <c r="Y6" i="17"/>
  <c r="X6" i="17"/>
  <c r="W6" i="17"/>
  <c r="V6" i="17"/>
  <c r="U6" i="17"/>
  <c r="T6" i="17"/>
  <c r="S6" i="17"/>
  <c r="R6" i="17"/>
  <c r="Q6" i="17"/>
  <c r="P6" i="17"/>
  <c r="O6" i="17"/>
  <c r="N6" i="17"/>
  <c r="M6" i="17"/>
  <c r="L6" i="17"/>
  <c r="K6" i="17"/>
  <c r="J6" i="17"/>
  <c r="I6" i="17"/>
  <c r="H6" i="17"/>
  <c r="G6" i="17"/>
  <c r="F6" i="17"/>
  <c r="E6" i="17"/>
  <c r="D6" i="17"/>
  <c r="AF6" i="18"/>
  <c r="AE6" i="18"/>
  <c r="AD6" i="18"/>
  <c r="AC6" i="18"/>
  <c r="AB6" i="18"/>
  <c r="AA6" i="18"/>
  <c r="Z6" i="18"/>
  <c r="Y6" i="18"/>
  <c r="X6" i="18"/>
  <c r="W6" i="18"/>
  <c r="V6" i="18"/>
  <c r="U6" i="18"/>
  <c r="T6" i="18"/>
  <c r="S6" i="18"/>
  <c r="R6" i="18"/>
  <c r="Q6" i="18"/>
  <c r="P6" i="18"/>
  <c r="O6" i="18"/>
  <c r="N6" i="18"/>
  <c r="M6" i="18"/>
  <c r="L6" i="18"/>
  <c r="K6" i="18"/>
  <c r="J6" i="18"/>
  <c r="I6" i="18"/>
  <c r="H6" i="18"/>
  <c r="G6" i="18"/>
  <c r="F6" i="18"/>
  <c r="E6" i="18"/>
  <c r="D6" i="18"/>
  <c r="AG6" i="19"/>
  <c r="AF6" i="19"/>
  <c r="AE6" i="19"/>
  <c r="AD6" i="19"/>
  <c r="AC6" i="19"/>
  <c r="AB6" i="19"/>
  <c r="AA6" i="19"/>
  <c r="Z6" i="19"/>
  <c r="Y6" i="19"/>
  <c r="X6" i="19"/>
  <c r="W6" i="19"/>
  <c r="V6" i="19"/>
  <c r="U6" i="19"/>
  <c r="T6" i="19"/>
  <c r="S6" i="19"/>
  <c r="R6" i="19"/>
  <c r="Q6" i="19"/>
  <c r="P6" i="19"/>
  <c r="O6" i="19"/>
  <c r="N6" i="19"/>
  <c r="M6" i="19"/>
  <c r="L6" i="19"/>
  <c r="K6" i="19"/>
  <c r="J6" i="19"/>
  <c r="I6" i="19"/>
  <c r="H6" i="19"/>
  <c r="G6" i="19"/>
  <c r="F6" i="19"/>
  <c r="E6" i="19"/>
  <c r="D6" i="19"/>
  <c r="AF6" i="20"/>
  <c r="AE6" i="20"/>
  <c r="AD6" i="20"/>
  <c r="AC6" i="20"/>
  <c r="AB6" i="20"/>
  <c r="AA6" i="20"/>
  <c r="Z6" i="20"/>
  <c r="Y6" i="20"/>
  <c r="X6" i="20"/>
  <c r="W6" i="20"/>
  <c r="V6" i="20"/>
  <c r="U6" i="20"/>
  <c r="T6" i="20"/>
  <c r="S6" i="20"/>
  <c r="R6" i="20"/>
  <c r="Q6" i="20"/>
  <c r="P6" i="20"/>
  <c r="O6" i="20"/>
  <c r="N6" i="20"/>
  <c r="M6" i="20"/>
  <c r="L6" i="20"/>
  <c r="K6" i="20"/>
  <c r="J6" i="20"/>
  <c r="I6" i="20"/>
  <c r="H6" i="20"/>
  <c r="G6" i="20"/>
  <c r="F6" i="20"/>
  <c r="E6" i="20"/>
  <c r="D6" i="20"/>
  <c r="AG6" i="21"/>
  <c r="AF6" i="21"/>
  <c r="AE6" i="21"/>
  <c r="AD6" i="21"/>
  <c r="AC6" i="21"/>
  <c r="AB6" i="21"/>
  <c r="AA6" i="21"/>
  <c r="Z6" i="21"/>
  <c r="Y6" i="21"/>
  <c r="X6" i="21"/>
  <c r="W6" i="21"/>
  <c r="V6" i="21"/>
  <c r="U6" i="21"/>
  <c r="T6" i="21"/>
  <c r="S6" i="21"/>
  <c r="R6" i="21"/>
  <c r="Q6" i="21"/>
  <c r="P6" i="21"/>
  <c r="O6" i="21"/>
  <c r="N6" i="21"/>
  <c r="M6" i="21"/>
  <c r="L6" i="21"/>
  <c r="K6" i="21"/>
  <c r="J6" i="21"/>
  <c r="I6" i="21"/>
  <c r="H6" i="21"/>
  <c r="G6" i="21"/>
  <c r="F6" i="21"/>
  <c r="E6" i="21"/>
  <c r="D6" i="21"/>
  <c r="AG6" i="22"/>
  <c r="AF6" i="22"/>
  <c r="AE6" i="22"/>
  <c r="AD6" i="22"/>
  <c r="AC6" i="22"/>
  <c r="AB6" i="22"/>
  <c r="AA6" i="22"/>
  <c r="Z6" i="22"/>
  <c r="Y6" i="22"/>
  <c r="X6" i="22"/>
  <c r="W6" i="22"/>
  <c r="V6" i="22"/>
  <c r="U6" i="22"/>
  <c r="T6" i="22"/>
  <c r="S6" i="22"/>
  <c r="R6" i="22"/>
  <c r="Q6" i="22"/>
  <c r="P6" i="22"/>
  <c r="O6" i="22"/>
  <c r="N6" i="22"/>
  <c r="M6" i="22"/>
  <c r="L6" i="22"/>
  <c r="K6" i="22"/>
  <c r="J6" i="22"/>
  <c r="I6" i="22"/>
  <c r="H6" i="22"/>
  <c r="G6" i="22"/>
  <c r="F6" i="22"/>
  <c r="E6" i="22"/>
  <c r="D6" i="22"/>
  <c r="AF6" i="23"/>
  <c r="AE6" i="23"/>
  <c r="AD6" i="23"/>
  <c r="AC6" i="23"/>
  <c r="AB6" i="23"/>
  <c r="AA6" i="23"/>
  <c r="Z6" i="23"/>
  <c r="Y6" i="23"/>
  <c r="X6" i="23"/>
  <c r="W6" i="23"/>
  <c r="V6" i="23"/>
  <c r="U6" i="23"/>
  <c r="T6" i="23"/>
  <c r="S6" i="23"/>
  <c r="R6" i="23"/>
  <c r="Q6" i="23"/>
  <c r="P6" i="23"/>
  <c r="O6" i="23"/>
  <c r="N6" i="23"/>
  <c r="M6" i="23"/>
  <c r="L6" i="23"/>
  <c r="K6" i="23"/>
  <c r="J6" i="23"/>
  <c r="I6" i="23"/>
  <c r="H6" i="23"/>
  <c r="G6" i="23"/>
  <c r="F6" i="23"/>
  <c r="E6" i="23"/>
  <c r="D6" i="23"/>
  <c r="AG6" i="24"/>
  <c r="AF6" i="24"/>
  <c r="AE6" i="24"/>
  <c r="AD6" i="24"/>
  <c r="AC6" i="24"/>
  <c r="AB6" i="24"/>
  <c r="AA6" i="24"/>
  <c r="Z6" i="24"/>
  <c r="Y6" i="24"/>
  <c r="X6" i="24"/>
  <c r="W6" i="24"/>
  <c r="V6" i="24"/>
  <c r="U6" i="24"/>
  <c r="T6" i="24"/>
  <c r="S6" i="24"/>
  <c r="R6" i="24"/>
  <c r="Q6" i="24"/>
  <c r="P6" i="24"/>
  <c r="O6" i="24"/>
  <c r="N6" i="24"/>
  <c r="M6" i="24"/>
  <c r="L6" i="24"/>
  <c r="K6" i="24"/>
  <c r="J6" i="24"/>
  <c r="I6" i="24"/>
  <c r="H6" i="24"/>
  <c r="G6" i="24"/>
  <c r="F6" i="24"/>
  <c r="E6" i="24"/>
  <c r="D6" i="24"/>
  <c r="AF6" i="25"/>
  <c r="AE6" i="25"/>
  <c r="AD6" i="25"/>
  <c r="AC6" i="25"/>
  <c r="AB6" i="25"/>
  <c r="AA6" i="25"/>
  <c r="Z6" i="25"/>
  <c r="Y6" i="25"/>
  <c r="X6" i="25"/>
  <c r="W6" i="25"/>
  <c r="V6" i="25"/>
  <c r="U6" i="25"/>
  <c r="T6" i="25"/>
  <c r="S6" i="25"/>
  <c r="R6" i="25"/>
  <c r="Q6" i="25"/>
  <c r="P6" i="25"/>
  <c r="O6" i="25"/>
  <c r="N6" i="25"/>
  <c r="M6" i="25"/>
  <c r="L6" i="25"/>
  <c r="K6" i="25"/>
  <c r="J6" i="25"/>
  <c r="I6" i="25"/>
  <c r="H6" i="25"/>
  <c r="G6" i="25"/>
  <c r="F6" i="25"/>
  <c r="E6" i="25"/>
  <c r="D6" i="25"/>
  <c r="AG6" i="15"/>
  <c r="AF6" i="15"/>
  <c r="AE6" i="15"/>
  <c r="AD6" i="15"/>
  <c r="AC6" i="15"/>
  <c r="AB6" i="15"/>
  <c r="AA6" i="15"/>
  <c r="Z6" i="15"/>
  <c r="Y6" i="15"/>
  <c r="X6" i="15"/>
  <c r="W6" i="15"/>
  <c r="V6" i="15"/>
  <c r="U6" i="15"/>
  <c r="T6" i="15"/>
  <c r="S6" i="15"/>
  <c r="R6" i="15"/>
  <c r="Q6" i="15"/>
  <c r="P6" i="15"/>
  <c r="O6" i="15"/>
  <c r="N6" i="15"/>
  <c r="M6" i="15"/>
  <c r="L6" i="15"/>
  <c r="K6" i="15"/>
  <c r="J6" i="15"/>
  <c r="I6" i="15"/>
  <c r="H6" i="15"/>
  <c r="G6" i="15"/>
  <c r="F6" i="15"/>
  <c r="E6" i="15"/>
  <c r="D6" i="15"/>
  <c r="AG6" i="4"/>
  <c r="AF6" i="4"/>
  <c r="AE6" i="4"/>
  <c r="AD6" i="4"/>
  <c r="AC6" i="4"/>
  <c r="AB6" i="4"/>
  <c r="AA6" i="4"/>
  <c r="Z6" i="4"/>
  <c r="Y6" i="4"/>
  <c r="X6" i="4"/>
  <c r="W6" i="4"/>
  <c r="V6" i="4"/>
  <c r="U6" i="4"/>
  <c r="T6" i="4"/>
  <c r="S6" i="4"/>
  <c r="R6" i="4"/>
  <c r="Q6" i="4"/>
  <c r="P6" i="4"/>
  <c r="O6" i="4"/>
  <c r="N6" i="4"/>
  <c r="M6" i="4"/>
  <c r="L6" i="4"/>
  <c r="K6" i="4"/>
  <c r="J6" i="4"/>
  <c r="I6" i="4"/>
  <c r="H6" i="4"/>
  <c r="G6" i="4"/>
  <c r="F6" i="4"/>
  <c r="E6" i="4"/>
  <c r="D6" i="4"/>
  <c r="AH5" i="15" l="1"/>
  <c r="AG5" i="25"/>
  <c r="AH5" i="24"/>
  <c r="AG5" i="23"/>
  <c r="AH5" i="22"/>
  <c r="AH5" i="21"/>
  <c r="AH16" i="19"/>
  <c r="AH14" i="19"/>
  <c r="AH12" i="19"/>
  <c r="AH10" i="19"/>
  <c r="AH8" i="19"/>
  <c r="AH12" i="4"/>
  <c r="AH14" i="4"/>
  <c r="AH16" i="24" l="1"/>
  <c r="AH14" i="24"/>
  <c r="AH12" i="24"/>
  <c r="AH10" i="24"/>
  <c r="AH8" i="24"/>
  <c r="AH16" i="22"/>
  <c r="AH14" i="22"/>
  <c r="AH10" i="22"/>
  <c r="AH8" i="22"/>
  <c r="AH16" i="21"/>
  <c r="AH14" i="21"/>
  <c r="AH10" i="21"/>
  <c r="AH8" i="21"/>
  <c r="AH16" i="17"/>
  <c r="AH14" i="17"/>
  <c r="AH12" i="17"/>
  <c r="AH10" i="17"/>
  <c r="AH18" i="17" l="1"/>
  <c r="AH8" i="15" l="1"/>
  <c r="AH10" i="15"/>
  <c r="AH12" i="15"/>
  <c r="AH14" i="15"/>
  <c r="AH16" i="15"/>
  <c r="AF16" i="5" l="1"/>
  <c r="AF14" i="5"/>
  <c r="AF12" i="5"/>
  <c r="AH16" i="4"/>
  <c r="AF10" i="5"/>
  <c r="AF8" i="5"/>
  <c r="AH10" i="4" l="1"/>
</calcChain>
</file>

<file path=xl/sharedStrings.xml><?xml version="1.0" encoding="utf-8"?>
<sst xmlns="http://schemas.openxmlformats.org/spreadsheetml/2006/main" count="664" uniqueCount="93">
  <si>
    <t>Janeiro 2027</t>
  </si>
  <si>
    <t>Legenda</t>
  </si>
  <si>
    <t>F</t>
  </si>
  <si>
    <t>Férias</t>
  </si>
  <si>
    <t>V</t>
  </si>
  <si>
    <t>Vacância</t>
  </si>
  <si>
    <t>L</t>
  </si>
  <si>
    <t>Licença</t>
  </si>
  <si>
    <t>Diretor</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</si>
  <si>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</si>
  <si>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</si>
  <si>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</si>
  <si>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</si>
  <si>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</si>
  <si>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</si>
  <si>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</si>
  <si>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</si>
  <si>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</si>
  <si>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</si>
  <si>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</si>
  <si>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</si>
  <si>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</si>
  <si>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</si>
  <si>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</si>
  <si>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</si>
  <si>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</si>
  <si>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</si>
  <si>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</si>
  <si>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</si>
  <si>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</si>
  <si>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</si>
  <si>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</si>
  <si>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</si>
  <si>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</si>
  <si>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</si>
  <si>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</si>
  <si>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</si>
  <si>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</si>
  <si>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</si>
  <si>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</si>
  <si>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Total de dias</t>
  </si>
  <si>
    <t>Thiago Guilherme Ferreira Prado</t>
  </si>
  <si>
    <t>DCA nº  01/329ª - Subst: Reinaldo de 04 a 22/01</t>
  </si>
  <si>
    <t>Reinaldo da Cruz Garcia</t>
  </si>
  <si>
    <t>Carlos Eduardo Cabral Carvalho</t>
  </si>
  <si>
    <t>RP nº 47/2026 - Subst: Ivanoski de 28/12/2026 a 14/01/2027</t>
  </si>
  <si>
    <t>Thiago Guilherme Ferreira Prado (Interino)</t>
  </si>
  <si>
    <t>Thiago Ivanoski Teixeira</t>
  </si>
  <si>
    <t>Total de afastamentos</t>
  </si>
  <si>
    <t>Fevereiro 2027</t>
  </si>
  <si>
    <t>Março 2027</t>
  </si>
  <si>
    <t>Abril 2027</t>
  </si>
  <si>
    <t>Maio 2027</t>
  </si>
  <si>
    <t>Junho 2027</t>
  </si>
  <si>
    <t>Julho 2027</t>
  </si>
  <si>
    <t>DCA nº  01/329ª - Subst: Cabral de 05 a 28/07</t>
  </si>
  <si>
    <t>Agosto 2027</t>
  </si>
  <si>
    <t>Setembro 2027</t>
  </si>
  <si>
    <t>Outubro 2027</t>
  </si>
  <si>
    <t>Novembro 2027</t>
  </si>
  <si>
    <t>DCA nº  01/329ª - Subst: Cabral de 16 a 19/11</t>
  </si>
  <si>
    <t>Dezembro 2027</t>
  </si>
  <si>
    <t>Total dias afastamento ao exterior</t>
  </si>
  <si>
    <t>Dias úteis 2024</t>
  </si>
  <si>
    <t>Mês/Diretor</t>
  </si>
  <si>
    <t>Janeiro</t>
  </si>
  <si>
    <t>Fevereiro</t>
  </si>
  <si>
    <t>Março</t>
  </si>
  <si>
    <t>Abril</t>
  </si>
  <si>
    <t>Maio</t>
  </si>
  <si>
    <t>Junho</t>
  </si>
  <si>
    <t>Julho</t>
  </si>
  <si>
    <t>Agosto</t>
  </si>
  <si>
    <t>Setembro</t>
  </si>
  <si>
    <t>Outubro</t>
  </si>
  <si>
    <t>Novembro</t>
  </si>
  <si>
    <t>Dezembro</t>
  </si>
  <si>
    <t xml:space="preserve">Total </t>
  </si>
  <si>
    <t>% afastamentos ao exterior 2024</t>
  </si>
  <si>
    <t>Heloisa Borges Bastos Esteves</t>
  </si>
  <si>
    <t>Cedidos: seguem as regras do órgão de origem.</t>
  </si>
  <si>
    <t>Demais:</t>
  </si>
  <si>
    <r>
      <t>1.</t>
    </r>
    <r>
      <rPr>
        <sz val="7"/>
        <rFont val="Times New Roman"/>
        <family val="1"/>
      </rPr>
      <t xml:space="preserve">     </t>
    </r>
    <r>
      <rPr>
        <sz val="10"/>
        <rFont val="Tahoma"/>
        <family val="2"/>
      </rPr>
      <t>Os membros da Diretoria Executiva farão jus a 30 dias de férias anuais, dentro do período de gestão.</t>
    </r>
  </si>
  <si>
    <r>
      <t>2.</t>
    </r>
    <r>
      <rPr>
        <sz val="7"/>
        <rFont val="Times New Roman"/>
        <family val="1"/>
      </rPr>
      <t xml:space="preserve">     </t>
    </r>
    <r>
      <rPr>
        <sz val="10"/>
        <rFont val="Tahoma"/>
        <family val="2"/>
      </rPr>
      <t>A programação de férias do Presidente da EPE deverá ser aprovada pelo Conselho de Administração, que designará o seu substituto dentre os membros da Diretoria Executiva.</t>
    </r>
  </si>
  <si>
    <r>
      <t>3.</t>
    </r>
    <r>
      <rPr>
        <sz val="7"/>
        <rFont val="Times New Roman"/>
        <family val="1"/>
      </rPr>
      <t xml:space="preserve">     </t>
    </r>
    <r>
      <rPr>
        <sz val="10"/>
        <rFont val="Tahoma"/>
        <family val="2"/>
      </rPr>
      <t>A programação de férias dos Diretores deverá ser apreciada pela Diretoria Executiva, com base na avaliação de oportunidade e conveniência do afastamento para a EPE.</t>
    </r>
  </si>
  <si>
    <r>
      <t>4.</t>
    </r>
    <r>
      <rPr>
        <sz val="7"/>
        <rFont val="Times New Roman"/>
        <family val="1"/>
      </rPr>
      <t xml:space="preserve">     </t>
    </r>
    <r>
      <rPr>
        <sz val="10"/>
        <rFont val="Tahoma"/>
        <family val="2"/>
      </rPr>
      <t>As férias dos membros da Diretoria Executiva serão concedidas pelo Presidente da EPE, conforme dispõe o inciso VIII do Art. 69 do Estatuto Social.</t>
    </r>
  </si>
  <si>
    <r>
      <t>5.</t>
    </r>
    <r>
      <rPr>
        <sz val="7"/>
        <rFont val="Times New Roman"/>
        <family val="1"/>
      </rPr>
      <t xml:space="preserve">     </t>
    </r>
    <r>
      <rPr>
        <sz val="10"/>
        <rFont val="Tahoma"/>
        <family val="2"/>
      </rPr>
      <t>As férias poderão ser usufruídas em um ou mais períodos, totalizando 30 (trinta) dias anuais.</t>
    </r>
  </si>
  <si>
    <r>
      <t>6.</t>
    </r>
    <r>
      <rPr>
        <sz val="7"/>
        <rFont val="Times New Roman"/>
        <family val="1"/>
      </rPr>
      <t xml:space="preserve">     </t>
    </r>
    <r>
      <rPr>
        <sz val="10"/>
        <rFont val="Tahoma"/>
        <family val="2"/>
      </rPr>
      <t>O Dirigente fará jus ao pagamento do adicional de férias de 1/3 dos honorários. O adicional de férias será pago integralmente no primeiro dia do primeiro período de férias, observada a programação orçamentária anual prevista na Planilha de Remuneração dos Administradores aprovada pela SEST e pela Assembleia Geral.</t>
    </r>
  </si>
  <si>
    <r>
      <t>7.</t>
    </r>
    <r>
      <rPr>
        <sz val="7"/>
        <rFont val="Times New Roman"/>
        <family val="1"/>
      </rPr>
      <t xml:space="preserve">     </t>
    </r>
    <r>
      <rPr>
        <sz val="10"/>
        <rFont val="Tahoma"/>
        <family val="2"/>
      </rPr>
      <t>É vedado o pagamento em dobro, bem como o acúmulo de dias de férias anuais não gozados.</t>
    </r>
  </si>
  <si>
    <r>
      <t>8.</t>
    </r>
    <r>
      <rPr>
        <sz val="7"/>
        <rFont val="Times New Roman"/>
        <family val="1"/>
      </rPr>
      <t xml:space="preserve">     </t>
    </r>
    <r>
      <rPr>
        <sz val="10"/>
        <rFont val="Tahoma"/>
        <family val="2"/>
      </rPr>
      <t>Não serão indenizadas as férias não usufruídas.</t>
    </r>
  </si>
  <si>
    <r>
      <t>9.</t>
    </r>
    <r>
      <rPr>
        <sz val="7"/>
        <rFont val="Times New Roman"/>
        <family val="1"/>
      </rPr>
      <t xml:space="preserve">     </t>
    </r>
    <r>
      <rPr>
        <sz val="10"/>
        <rFont val="Tahoma"/>
        <family val="2"/>
      </rPr>
      <t>É vedada a venda de dias de férias.</t>
    </r>
  </si>
  <si>
    <t>Período: de abril de um ano (1º ano do período de gestão) a março do outro.</t>
  </si>
  <si>
    <t>OBS: Pelo novo Estatuto Social (2021), pode acumular até 30 dias para o próximo ano (2º ano do período de gestão).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</si>
</sst>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quot;R$&quot;\ * #,##0_-;\-&quot;R$&quot;\ * #,##0_-;_-&quot;R$&quot;\ * &quot;-&quot;_-;_-@_-"/>
    <numFmt numFmtId="165" formatCode="_-&quot;R$&quot;\ * #,##0.00_-;\-&quot;R$&quot;\ * #,##0.00_-;_-&quot;R$&quot;\ * &quot;-&quot;??_-;_-@_-"/>
    <numFmt numFmtId="166" formatCode="_(* #,##0_);_(* \(#,##0\);_(* &quot;-&quot;_);_(@_)"/>
    <numFmt numFmtId="167" formatCode="_(* #,##0.00_);_(* \(#,##0.00\);_(* &quot;-&quot;??_);_(@_)"/>
    <numFmt numFmtId="168" formatCode="0;0;"/>
    <numFmt numFmtId="169" formatCode="0.0%"/>
  </numFmts>
  <fonts count="39">
    <font>
      <sz val="11"/>
      <color theme="0"/>
      <name val="Calibri"/>
      <family val="2"/>
    </font>
    <font>
      <sz val="11"/>
      <color theme="1"/>
      <name val="Calibri"/>
      <family val="2"/>
      <scheme val="minor"/>
    </font>
    <font>
      <sz val="11"/>
      <color theme="0"/>
      <name val="Calibri"/>
      <family val="2"/>
      <scheme val="minor"/>
    </font>
    <font>
      <sz val="11"/>
      <color rgb="FF000000"/>
      <name val="Calibri"/>
      <family val="2"/>
      <scheme val="minor"/>
    </font>
    <font>
      <b/>
      <sz val="11"/>
      <color theme="0"/>
      <name val="Calibri"/>
      <family val="2"/>
      <scheme val="minor"/>
    </font>
    <font>
      <sz val="8"/>
      <name val="Calibri"/>
      <family val="2"/>
      <scheme val="minor"/>
    </font>
    <font>
      <b/>
      <sz val="11"/>
      <name val="Calibri"/>
      <family val="2"/>
      <scheme val="minor"/>
    </font>
    <font>
      <sz val="11"/>
      <color theme="1"/>
      <name val="Calibri"/>
      <family val="2"/>
      <charset val="134"/>
    </font>
    <font>
      <sz val="11"/>
      <color theme="1"/>
      <name val="Calibri"/>
      <family val="2"/>
    </font>
    <font>
      <b/>
      <sz val="11"/>
      <color theme="1"/>
      <name val="Calibri"/>
      <family val="2"/>
    </font>
    <font>
      <sz val="11"/>
      <color theme="0"/>
      <name val="Calibri"/>
      <family val="2"/>
    </font>
    <font>
      <sz val="11"/>
      <color theme="0"/>
      <name val="Calibri"/>
      <family val="2"/>
      <charset val="134"/>
    </font>
    <font>
      <sz val="11"/>
      <color rgb="FF9C0006"/>
      <name val="Calibri"/>
      <family val="2"/>
      <charset val="134"/>
    </font>
    <font>
      <b/>
      <sz val="11"/>
      <color rgb="FFFA7D00"/>
      <name val="Calibri"/>
      <family val="2"/>
      <charset val="134"/>
    </font>
    <font>
      <b/>
      <sz val="11"/>
      <color theme="0"/>
      <name val="Calibri"/>
      <family val="2"/>
      <charset val="134"/>
    </font>
    <font>
      <i/>
      <sz val="11"/>
      <color rgb="FF7F7F7F"/>
      <name val="Calibri"/>
      <family val="2"/>
      <charset val="134"/>
    </font>
    <font>
      <sz val="11"/>
      <color rgb="FF006100"/>
      <name val="Calibri"/>
      <family val="2"/>
      <charset val="134"/>
    </font>
    <font>
      <b/>
      <sz val="26"/>
      <color theme="3" tint="-0.24994659260841701"/>
      <name val="Calibri"/>
      <family val="2"/>
    </font>
    <font>
      <b/>
      <sz val="18"/>
      <color theme="4" tint="-0.24994659260841701"/>
      <name val="Calibri"/>
      <family val="2"/>
    </font>
    <font>
      <sz val="11"/>
      <color rgb="FF3F3F76"/>
      <name val="Calibri"/>
      <family val="2"/>
      <charset val="134"/>
    </font>
    <font>
      <sz val="11"/>
      <color rgb="FFFA7D00"/>
      <name val="Calibri"/>
      <family val="2"/>
      <charset val="134"/>
    </font>
    <font>
      <sz val="11"/>
      <color rgb="FF9C5700"/>
      <name val="Calibri"/>
      <family val="2"/>
      <charset val="134"/>
    </font>
    <font>
      <b/>
      <sz val="11"/>
      <color rgb="FF3F3F3F"/>
      <name val="Calibri"/>
      <family val="2"/>
      <charset val="134"/>
    </font>
    <font>
      <sz val="11"/>
      <color theme="4" tint="-0.499984740745262"/>
      <name val="Calibri"/>
      <family val="2"/>
    </font>
    <font>
      <b/>
      <sz val="26"/>
      <color theme="3"/>
      <name val="Calibri"/>
      <family val="2"/>
    </font>
    <font>
      <sz val="11"/>
      <color rgb="FFFF0000"/>
      <name val="Calibri"/>
      <family val="2"/>
      <charset val="134"/>
    </font>
    <font>
      <sz val="9"/>
      <name val="DengXian"/>
      <family val="3"/>
      <charset val="134"/>
    </font>
    <font>
      <b/>
      <sz val="48"/>
      <color theme="6" tint="0.39997558519241921"/>
      <name val="Calibri"/>
      <family val="2"/>
      <scheme val="minor"/>
    </font>
    <font>
      <sz val="11"/>
      <name val="Calibri"/>
      <family val="2"/>
    </font>
    <font>
      <sz val="8"/>
      <name val="Calibri"/>
      <family val="2"/>
    </font>
    <font>
      <b/>
      <sz val="11"/>
      <name val="Calibri"/>
      <family val="2"/>
    </font>
    <font>
      <sz val="10"/>
      <name val="Arial"/>
      <family val="2"/>
    </font>
    <font>
      <sz val="10"/>
      <name val="Tahoma"/>
      <family val="2"/>
    </font>
    <font>
      <sz val="7"/>
      <name val="Times New Roman"/>
      <family val="1"/>
    </font>
    <font>
      <b/>
      <sz val="10"/>
      <name val="Arial"/>
      <family val="2"/>
    </font>
    <font>
      <u/>
      <sz val="11"/>
      <color theme="10"/>
      <name val="Calibri"/>
      <family val="2"/>
    </font>
    <font>
      <sz val="10"/>
      <color theme="0"/>
      <name val="Calibri"/>
      <family val="2"/>
    </font>
    <font>
      <sz val="10"/>
      <color theme="1"/>
      <name val="Calibri"/>
      <family val="2"/>
    </font>
    <font>
      <sz val="11"/>
      <name val="Calibri"/>
      <family val="2"/>
      <scheme val="minor"/>
    </font>
  </fonts>
  <fills count="37">
    <fill>
      <patternFill patternType="none"/>
    </fill>
    <fill>
      <patternFill patternType="gray125"/>
    </fill>
    <fill>
      <patternFill patternType="solid">
        <fgColor theme="2"/>
        <bgColor indexed="64"/>
      </patternFill>
    </fill>
    <fill>
      <patternFill patternType="solid">
        <fgColor theme="7"/>
        <bgColor indexed="64"/>
      </patternFill>
    </fill>
    <fill>
      <patternFill patternType="solid">
        <fgColor theme="7" tint="0.79998168889431442"/>
        <bgColor indexed="65"/>
      </patternFill>
    </fill>
    <fill>
      <patternFill patternType="solid">
        <fgColor theme="7" tint="0.39997558519241921"/>
        <bgColor indexed="65"/>
      </patternFill>
    </fill>
    <fill>
      <patternFill patternType="solid">
        <fgColor theme="3" tint="0.79998168889431442"/>
        <bgColor indexed="64"/>
      </patternFill>
    </fill>
    <fill>
      <patternFill patternType="solid">
        <fgColor theme="3" tint="-0.24994659260841701"/>
        <bgColor indexed="64"/>
      </patternFill>
    </fill>
    <fill>
      <patternFill patternType="solid">
        <fgColor theme="3" tint="0.39994506668294322"/>
        <bgColor indexed="64"/>
      </patternFill>
    </fill>
    <fill>
      <patternFill patternType="solid">
        <fgColor theme="7" tint="0.59996337778862885"/>
        <bgColor indexed="64"/>
      </patternFill>
    </fill>
    <fill>
      <patternFill patternType="solid">
        <fgColor theme="5" tint="0.59999389629810485"/>
        <bgColor indexed="65"/>
      </patternFill>
    </fill>
    <fill>
      <patternFill patternType="solid">
        <fgColor theme="6"/>
      </patternFill>
    </fill>
    <fill>
      <patternFill patternType="solid">
        <fgColor theme="6" tint="0.59999389629810485"/>
        <bgColor indexed="65"/>
      </patternFill>
    </fill>
    <fill>
      <patternFill patternType="solid">
        <fgColor theme="6" tint="0.39997558519241921"/>
        <bgColor indexed="65"/>
      </patternFill>
    </fill>
    <fill>
      <patternFill patternType="solid">
        <fgColor theme="8" tint="0.59999389629810485"/>
        <bgColor indexed="65"/>
      </patternFill>
    </fill>
    <fill>
      <patternFill patternType="solid">
        <fgColor theme="4" tint="0.39994506668294322"/>
        <bgColor indexed="64"/>
      </patternFill>
    </fill>
    <fill>
      <patternFill patternType="solid">
        <fgColor theme="4" tint="0.59996337778862885"/>
        <bgColor indexed="64"/>
      </patternFill>
    </fill>
    <fill>
      <patternFill patternType="solid">
        <fgColor theme="4" tint="0.79998168889431442"/>
        <bgColor indexed="64"/>
      </patternFill>
    </fill>
    <fill>
      <patternFill patternType="solid">
        <fgColor rgb="FFF8E3E0"/>
        <bgColor indexed="64"/>
      </patternFill>
    </fill>
    <fill>
      <patternFill patternType="solid">
        <fgColor theme="5" tint="0.39994506668294322"/>
        <bgColor indexed="64"/>
      </patternFill>
    </fill>
    <fill>
      <patternFill patternType="solid">
        <fgColor theme="6" tint="0.5999633777886288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5" tint="0.79998168889431442"/>
        <bgColor indexed="65"/>
      </patternFill>
    </fill>
    <fill>
      <patternFill patternType="solid">
        <fgColor theme="5"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39997558519241921"/>
        <bgColor indexed="65"/>
      </patternFill>
    </fill>
    <fill>
      <patternFill patternType="solid">
        <fgColor theme="4" tint="0.89999084444715716"/>
        <bgColor indexed="64"/>
      </patternFill>
    </fill>
    <fill>
      <patternFill patternType="solid">
        <fgColor theme="7" tint="0.79998168889431442"/>
        <bgColor indexed="64"/>
      </patternFill>
    </fill>
    <fill>
      <patternFill patternType="solid">
        <fgColor theme="7" tint="0.39997558519241921"/>
        <bgColor indexed="64"/>
      </patternFill>
    </fill>
  </fills>
  <borders count="14">
    <border>
      <left/>
      <right/>
      <top/>
      <bottom/>
      <diagonal/>
    </border>
    <border>
      <left/>
      <right/>
      <top/>
      <bottom style="thin">
        <color theme="4"/>
      </bottom>
      <diagonal/>
    </border>
    <border>
      <left/>
      <right/>
      <top style="thin">
        <color theme="4"/>
      </top>
      <bottom/>
      <diagonal/>
    </border>
    <border>
      <left/>
      <right/>
      <top style="thin">
        <color auto="1"/>
      </top>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2">
    <xf numFmtId="0" fontId="0" fillId="0" borderId="0">
      <alignment horizontal="left" vertical="center"/>
    </xf>
    <xf numFmtId="0" fontId="24" fillId="0" borderId="0" applyNumberFormat="0" applyFill="0" applyBorder="0" applyProtection="0">
      <alignment vertical="top"/>
    </xf>
    <xf numFmtId="0" fontId="17" fillId="0" borderId="0" applyNumberFormat="0" applyFill="0" applyBorder="0" applyProtection="0">
      <alignment vertical="top"/>
    </xf>
    <xf numFmtId="0" fontId="18" fillId="2" borderId="0" applyNumberFormat="0" applyBorder="0" applyProtection="0">
      <alignment horizontal="center" vertical="center"/>
    </xf>
    <xf numFmtId="0" fontId="9" fillId="20" borderId="0" applyNumberFormat="0" applyProtection="0">
      <alignment horizontal="right" vertical="center" indent="1"/>
    </xf>
    <xf numFmtId="0" fontId="8" fillId="0" borderId="0" applyNumberFormat="0" applyFill="0" applyBorder="0" applyProtection="0">
      <alignment horizontal="left" vertical="center" indent="2"/>
    </xf>
    <xf numFmtId="0" fontId="10" fillId="3" borderId="0" applyNumberFormat="0" applyBorder="0" applyAlignment="0" applyProtection="0"/>
    <xf numFmtId="0" fontId="8" fillId="4" borderId="0" applyNumberFormat="0" applyBorder="0" applyProtection="0">
      <alignment horizontal="center" vertical="center"/>
    </xf>
    <xf numFmtId="0" fontId="9" fillId="9" borderId="0" applyNumberFormat="0" applyBorder="0" applyAlignment="0" applyProtection="0"/>
    <xf numFmtId="0" fontId="8" fillId="5" borderId="0" applyNumberFormat="0" applyBorder="0" applyAlignment="0" applyProtection="0"/>
    <xf numFmtId="0" fontId="10" fillId="7" borderId="0" applyNumberFormat="0" applyBorder="0" applyAlignment="0" applyProtection="0"/>
    <xf numFmtId="0" fontId="8" fillId="6" borderId="0" applyNumberFormat="0" applyBorder="0" applyAlignment="0" applyProtection="0"/>
    <xf numFmtId="0" fontId="9" fillId="15" borderId="0" applyNumberFormat="0" applyBorder="0" applyAlignment="0" applyProtection="0"/>
    <xf numFmtId="0" fontId="8" fillId="8" borderId="0" applyNumberFormat="0" applyBorder="0" applyAlignment="0" applyProtection="0"/>
    <xf numFmtId="0" fontId="10" fillId="15" borderId="0" applyNumberFormat="0" applyBorder="0" applyAlignment="0" applyProtection="0"/>
    <xf numFmtId="0" fontId="8" fillId="18" borderId="0" applyNumberFormat="0" applyBorder="0" applyAlignment="0" applyProtection="0"/>
    <xf numFmtId="0" fontId="9" fillId="17"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9" fillId="10" borderId="0" applyNumberFormat="0" applyBorder="0" applyAlignment="0" applyProtection="0"/>
    <xf numFmtId="0" fontId="10" fillId="11" borderId="0" applyNumberFormat="0" applyBorder="0" applyAlignment="0" applyProtection="0"/>
    <xf numFmtId="0" fontId="8" fillId="2" borderId="0" applyNumberFormat="0" applyBorder="0" applyAlignment="0" applyProtection="0"/>
    <xf numFmtId="0" fontId="9" fillId="12" borderId="0" applyNumberFormat="0" applyBorder="0" applyProtection="0">
      <alignment horizontal="left" vertical="center" indent="1"/>
    </xf>
    <xf numFmtId="0" fontId="9" fillId="13" borderId="0" applyNumberFormat="0" applyBorder="0" applyAlignment="0" applyProtection="0"/>
    <xf numFmtId="0" fontId="9" fillId="14" borderId="0" applyNumberFormat="0" applyBorder="0" applyAlignment="0" applyProtection="0"/>
    <xf numFmtId="1" fontId="8" fillId="0" borderId="0" applyFill="0" applyBorder="0" applyProtection="0">
      <alignment horizontal="center" vertical="center"/>
    </xf>
    <xf numFmtId="0" fontId="8" fillId="0" borderId="0" applyNumberFormat="0" applyFill="0" applyBorder="0">
      <alignment horizontal="left" vertical="center" wrapText="1" indent="2"/>
    </xf>
    <xf numFmtId="0" fontId="23" fillId="0" borderId="0">
      <alignment horizontal="center"/>
    </xf>
    <xf numFmtId="167" fontId="10" fillId="0" borderId="0" applyFont="0" applyFill="0" applyBorder="0" applyAlignment="0" applyProtection="0">
      <alignment vertical="center"/>
    </xf>
    <xf numFmtId="166" fontId="10" fillId="0" borderId="0" applyFont="0" applyFill="0" applyBorder="0" applyAlignment="0" applyProtection="0">
      <alignment vertical="center"/>
    </xf>
    <xf numFmtId="165" fontId="10" fillId="0" borderId="0" applyFont="0" applyFill="0" applyBorder="0" applyAlignment="0" applyProtection="0">
      <alignment vertical="center"/>
    </xf>
    <xf numFmtId="164" fontId="10" fillId="0" borderId="0" applyFont="0" applyFill="0" applyBorder="0" applyAlignment="0" applyProtection="0">
      <alignment vertical="center"/>
    </xf>
    <xf numFmtId="9" fontId="10" fillId="0" borderId="0" applyFont="0" applyFill="0" applyBorder="0" applyAlignment="0" applyProtection="0">
      <alignment vertical="center"/>
    </xf>
    <xf numFmtId="0" fontId="16" fillId="22" borderId="0" applyNumberFormat="0" applyBorder="0" applyAlignment="0" applyProtection="0">
      <alignment vertical="center"/>
    </xf>
    <xf numFmtId="0" fontId="12" fillId="23" borderId="0" applyNumberFormat="0" applyBorder="0" applyAlignment="0" applyProtection="0">
      <alignment vertical="center"/>
    </xf>
    <xf numFmtId="0" fontId="21" fillId="24" borderId="0" applyNumberFormat="0" applyBorder="0" applyAlignment="0" applyProtection="0">
      <alignment vertical="center"/>
    </xf>
    <xf numFmtId="0" fontId="19" fillId="25" borderId="5" applyNumberFormat="0" applyAlignment="0" applyProtection="0">
      <alignment vertical="center"/>
    </xf>
    <xf numFmtId="0" fontId="22" fillId="26" borderId="6" applyNumberFormat="0" applyAlignment="0" applyProtection="0">
      <alignment vertical="center"/>
    </xf>
    <xf numFmtId="0" fontId="13" fillId="26" borderId="5" applyNumberFormat="0" applyAlignment="0" applyProtection="0">
      <alignment vertical="center"/>
    </xf>
    <xf numFmtId="0" fontId="20" fillId="0" borderId="7" applyNumberFormat="0" applyFill="0" applyAlignment="0" applyProtection="0">
      <alignment vertical="center"/>
    </xf>
    <xf numFmtId="0" fontId="14" fillId="27" borderId="8" applyNumberFormat="0" applyAlignment="0" applyProtection="0">
      <alignment vertical="center"/>
    </xf>
    <xf numFmtId="0" fontId="25" fillId="0" borderId="0" applyNumberFormat="0" applyFill="0" applyBorder="0" applyAlignment="0" applyProtection="0">
      <alignment vertical="center"/>
    </xf>
    <xf numFmtId="0" fontId="10" fillId="28" borderId="9" applyNumberFormat="0" applyFont="0" applyAlignment="0" applyProtection="0">
      <alignment vertical="center"/>
    </xf>
    <xf numFmtId="0" fontId="15" fillId="0" borderId="0" applyNumberFormat="0" applyFill="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11" fillId="31" borderId="0" applyNumberFormat="0" applyBorder="0" applyAlignment="0" applyProtection="0">
      <alignment vertical="center"/>
    </xf>
    <xf numFmtId="0" fontId="7" fillId="32" borderId="0" applyNumberFormat="0" applyBorder="0" applyAlignment="0" applyProtection="0">
      <alignment vertical="center"/>
    </xf>
    <xf numFmtId="0" fontId="7" fillId="33" borderId="0" applyNumberFormat="0" applyBorder="0" applyAlignment="0" applyProtection="0">
      <alignment vertical="center"/>
    </xf>
    <xf numFmtId="0" fontId="31" fillId="0" borderId="0"/>
    <xf numFmtId="0" fontId="35" fillId="0" borderId="0" applyNumberFormat="0" applyFill="0" applyBorder="0" applyAlignment="0" applyProtection="0">
      <alignment horizontal="left" vertical="center"/>
    </xf>
    <xf numFmtId="0" fontId="35" fillId="0" borderId="0" applyNumberFormat="0" applyFill="0" applyBorder="0" applyAlignment="0" applyProtection="0">
      <alignment horizontal="left" vertical="center"/>
    </xf>
  </cellStyleXfs>
  <cellXfs count="88">
    <xf numFmtId="0" fontId="0" fillId="0" borderId="0" xfId="0">
      <alignment horizontal="left" vertical="center"/>
    </xf>
    <xf numFmtId="0" fontId="0" fillId="0" borderId="0" xfId="0" applyAlignment="1">
      <alignment horizontal="center" vertical="center"/>
    </xf>
    <xf numFmtId="0" fontId="8" fillId="0" borderId="0" xfId="26" applyFill="1" applyBorder="1">
      <alignment horizontal="left" vertical="center" wrapText="1" indent="2"/>
    </xf>
    <xf numFmtId="1" fontId="8" fillId="0" borderId="0" xfId="25" applyFill="1" applyBorder="1" applyProtection="1">
      <alignment horizontal="center" vertical="center"/>
    </xf>
    <xf numFmtId="168" fontId="0" fillId="0" borderId="0" xfId="0" applyNumberFormat="1" applyAlignment="1">
      <alignment horizontal="center" vertical="center"/>
    </xf>
    <xf numFmtId="0" fontId="18" fillId="0" borderId="0" xfId="3" applyFill="1" applyProtection="1">
      <alignment horizontal="center" vertical="center"/>
    </xf>
    <xf numFmtId="0" fontId="0" fillId="0" borderId="1" xfId="0" applyBorder="1">
      <alignment horizontal="left" vertical="center"/>
    </xf>
    <xf numFmtId="0" fontId="24" fillId="0" borderId="2" xfId="1" applyBorder="1" applyAlignment="1" applyProtection="1">
      <alignment vertical="center"/>
    </xf>
    <xf numFmtId="0" fontId="0" fillId="0" borderId="2" xfId="0" applyBorder="1">
      <alignment horizontal="left" vertical="center"/>
    </xf>
    <xf numFmtId="0" fontId="0" fillId="0" borderId="0" xfId="0" applyAlignment="1">
      <alignment horizontal="left" vertical="top"/>
    </xf>
    <xf numFmtId="0" fontId="0" fillId="0" borderId="0" xfId="0" applyAlignment="1">
      <alignment horizontal="left" indent="1"/>
    </xf>
    <xf numFmtId="0" fontId="0" fillId="0" borderId="3" xfId="0" applyBorder="1" applyAlignment="1">
      <alignment horizontal="left" indent="1"/>
    </xf>
    <xf numFmtId="0" fontId="0" fillId="0" borderId="4" xfId="0" applyBorder="1">
      <alignment horizontal="left" vertical="center"/>
    </xf>
    <xf numFmtId="0" fontId="23" fillId="0" borderId="4" xfId="27" applyBorder="1">
      <alignment horizontal="center"/>
    </xf>
    <xf numFmtId="0" fontId="2" fillId="0" borderId="0" xfId="0" applyFont="1" applyAlignment="1">
      <alignment horizontal="center" vertical="center"/>
    </xf>
    <xf numFmtId="0" fontId="1" fillId="0" borderId="0" xfId="0" applyFont="1" applyAlignment="1">
      <alignment horizontal="center" vertical="center"/>
    </xf>
    <xf numFmtId="0" fontId="8" fillId="21" borderId="0" xfId="21" applyFill="1" applyBorder="1" applyAlignment="1" applyProtection="1">
      <alignment horizontal="center" vertical="center"/>
    </xf>
    <xf numFmtId="0" fontId="6" fillId="13" borderId="0" xfId="23" applyFont="1" applyAlignment="1" applyProtection="1">
      <alignment horizontal="center" vertical="center"/>
    </xf>
    <xf numFmtId="0" fontId="6" fillId="15" borderId="0" xfId="12" applyFont="1" applyAlignment="1" applyProtection="1">
      <alignment horizontal="center" vertical="center"/>
    </xf>
    <xf numFmtId="168" fontId="4" fillId="0" borderId="0" xfId="24" applyNumberFormat="1" applyFont="1" applyFill="1" applyAlignment="1" applyProtection="1">
      <alignment horizontal="center" vertical="center"/>
    </xf>
    <xf numFmtId="0" fontId="8" fillId="0" borderId="0" xfId="21" applyFill="1" applyBorder="1" applyAlignment="1" applyProtection="1">
      <alignment horizontal="center" vertical="center"/>
    </xf>
    <xf numFmtId="0" fontId="0" fillId="0" borderId="0" xfId="0" applyAlignment="1" applyProtection="1">
      <alignment horizontal="center" vertical="center"/>
      <protection locked="0"/>
    </xf>
    <xf numFmtId="0" fontId="2" fillId="0" borderId="0" xfId="0" applyFont="1" applyAlignment="1" applyProtection="1">
      <alignment horizontal="center" vertical="center"/>
      <protection locked="0"/>
    </xf>
    <xf numFmtId="1" fontId="8" fillId="0" borderId="0" xfId="25" applyProtection="1">
      <alignment horizontal="center" vertical="center"/>
      <protection locked="0"/>
    </xf>
    <xf numFmtId="0" fontId="9" fillId="0" borderId="0" xfId="4" applyFill="1" applyAlignment="1" applyProtection="1">
      <alignment horizontal="center" vertical="center"/>
    </xf>
    <xf numFmtId="0" fontId="28" fillId="0" borderId="0" xfId="0" applyFont="1">
      <alignment horizontal="left" vertical="center"/>
    </xf>
    <xf numFmtId="0" fontId="28" fillId="0" borderId="0" xfId="0" applyFont="1" applyAlignment="1">
      <alignment horizontal="center" vertical="center"/>
    </xf>
    <xf numFmtId="0" fontId="28" fillId="0" borderId="10" xfId="0" applyFont="1" applyBorder="1" applyAlignment="1">
      <alignment horizontal="center" vertical="center" wrapText="1"/>
    </xf>
    <xf numFmtId="0" fontId="28" fillId="0" borderId="10" xfId="0" applyFont="1" applyBorder="1">
      <alignment horizontal="left" vertical="center"/>
    </xf>
    <xf numFmtId="0" fontId="28" fillId="0" borderId="10" xfId="0" applyFont="1" applyBorder="1" applyAlignment="1">
      <alignment horizontal="center" vertical="center"/>
    </xf>
    <xf numFmtId="169" fontId="28" fillId="0" borderId="10" xfId="32" applyNumberFormat="1" applyFont="1" applyBorder="1" applyAlignment="1">
      <alignment horizontal="center" vertical="center"/>
    </xf>
    <xf numFmtId="1" fontId="2" fillId="0" borderId="0" xfId="25" applyFont="1" applyProtection="1">
      <alignment horizontal="center" vertical="center"/>
    </xf>
    <xf numFmtId="168" fontId="4" fillId="21" borderId="0" xfId="24" applyNumberFormat="1" applyFont="1" applyFill="1" applyAlignment="1" applyProtection="1">
      <alignment horizontal="center" vertical="center"/>
    </xf>
    <xf numFmtId="0" fontId="8" fillId="0" borderId="0" xfId="0" applyFont="1">
      <alignment horizontal="left" vertical="center"/>
    </xf>
    <xf numFmtId="0" fontId="8" fillId="0" borderId="0" xfId="21" applyFill="1" applyAlignment="1" applyProtection="1">
      <alignment vertical="center"/>
    </xf>
    <xf numFmtId="49" fontId="27" fillId="0" borderId="0" xfId="3" applyNumberFormat="1" applyFont="1" applyFill="1" applyAlignment="1" applyProtection="1">
      <alignment vertical="top"/>
    </xf>
    <xf numFmtId="0" fontId="8" fillId="0" borderId="0" xfId="26" applyNumberFormat="1" applyFill="1" applyBorder="1">
      <alignment horizontal="left" vertical="center" wrapText="1" indent="2"/>
    </xf>
    <xf numFmtId="1" fontId="8" fillId="0" borderId="0" xfId="25" applyProtection="1">
      <alignment horizontal="center" vertical="center"/>
    </xf>
    <xf numFmtId="0" fontId="8" fillId="21" borderId="0" xfId="21" applyFill="1" applyAlignment="1" applyProtection="1">
      <alignment vertical="center"/>
    </xf>
    <xf numFmtId="1" fontId="8" fillId="0" borderId="0" xfId="25" applyAlignment="1" applyProtection="1">
      <alignment vertical="center"/>
      <protection locked="0"/>
    </xf>
    <xf numFmtId="1" fontId="8" fillId="0" borderId="0" xfId="25" applyAlignment="1" applyProtection="1">
      <alignment horizontal="left" vertical="center"/>
      <protection locked="0"/>
    </xf>
    <xf numFmtId="1" fontId="8" fillId="0" borderId="0" xfId="25" quotePrefix="1" applyFill="1" applyBorder="1" applyProtection="1">
      <alignment horizontal="center" vertical="center"/>
    </xf>
    <xf numFmtId="0" fontId="0" fillId="0" borderId="4" xfId="0" applyBorder="1" applyAlignment="1">
      <alignment horizontal="center" vertical="center"/>
    </xf>
    <xf numFmtId="0" fontId="3" fillId="0" borderId="12" xfId="0" applyFont="1" applyBorder="1" applyAlignment="1"/>
    <xf numFmtId="0" fontId="3" fillId="0" borderId="3" xfId="0" applyFont="1" applyBorder="1" applyAlignment="1"/>
    <xf numFmtId="0" fontId="30" fillId="34" borderId="10" xfId="0" applyFont="1" applyFill="1" applyBorder="1" applyAlignment="1">
      <alignment horizontal="center" vertical="center"/>
    </xf>
    <xf numFmtId="0" fontId="30" fillId="34" borderId="10" xfId="0" applyFont="1" applyFill="1" applyBorder="1" applyAlignment="1">
      <alignment horizontal="center" vertical="center" wrapText="1"/>
    </xf>
    <xf numFmtId="0" fontId="28" fillId="35" borderId="10" xfId="0" applyFont="1" applyFill="1" applyBorder="1">
      <alignment horizontal="left" vertical="center"/>
    </xf>
    <xf numFmtId="0" fontId="28" fillId="35" borderId="10" xfId="0" applyFont="1" applyFill="1" applyBorder="1" applyAlignment="1">
      <alignment horizontal="center" vertical="center"/>
    </xf>
    <xf numFmtId="0" fontId="28" fillId="35" borderId="10" xfId="0" applyFont="1" applyFill="1" applyBorder="1" applyAlignment="1">
      <alignment horizontal="center" vertical="center" wrapText="1"/>
    </xf>
    <xf numFmtId="169" fontId="28" fillId="35" borderId="10" xfId="32" applyNumberFormat="1" applyFont="1" applyFill="1" applyBorder="1" applyAlignment="1">
      <alignment horizontal="center" vertical="center"/>
    </xf>
    <xf numFmtId="0" fontId="31" fillId="0" borderId="0" xfId="49"/>
    <xf numFmtId="0" fontId="32" fillId="0" borderId="0" xfId="49" applyFont="1" applyAlignment="1">
      <alignment horizontal="justify" vertical="center" wrapText="1"/>
    </xf>
    <xf numFmtId="0" fontId="34" fillId="0" borderId="0" xfId="49" applyFont="1"/>
    <xf numFmtId="1" fontId="35" fillId="0" borderId="0" xfId="50" applyNumberFormat="1" applyAlignment="1" applyProtection="1">
      <alignment horizontal="left" vertical="center"/>
      <protection locked="0"/>
    </xf>
    <xf numFmtId="1" fontId="35" fillId="0" borderId="0" xfId="51" applyNumberFormat="1" applyAlignment="1" applyProtection="1">
      <alignment horizontal="left" vertical="center"/>
      <protection locked="0"/>
    </xf>
    <xf numFmtId="0" fontId="0" fillId="0" borderId="0" xfId="0" applyAlignment="1">
      <alignment horizontal="left" vertical="center" indent="3"/>
    </xf>
    <xf numFmtId="0" fontId="0" fillId="0" borderId="0" xfId="0" applyAlignment="1">
      <alignment horizontal="left" vertical="center" indent="4"/>
    </xf>
    <xf numFmtId="0" fontId="0" fillId="0" borderId="0" xfId="0" applyAlignment="1">
      <alignment horizontal="right" vertical="center"/>
    </xf>
    <xf numFmtId="1" fontId="8" fillId="0" borderId="0" xfId="25" applyAlignment="1" applyProtection="1">
      <alignment horizontal="right" vertical="center"/>
      <protection locked="0"/>
    </xf>
    <xf numFmtId="0" fontId="36" fillId="0" borderId="0" xfId="0" applyFont="1">
      <alignment horizontal="left" vertical="center"/>
    </xf>
    <xf numFmtId="0" fontId="36" fillId="0" borderId="0" xfId="0" applyFont="1" applyAlignment="1">
      <alignment horizontal="center" vertical="center" wrapText="1"/>
    </xf>
    <xf numFmtId="1" fontId="37" fillId="0" borderId="0" xfId="25" applyFont="1" applyAlignment="1" applyProtection="1">
      <alignment horizontal="center" vertical="center" wrapText="1"/>
    </xf>
    <xf numFmtId="1" fontId="37" fillId="0" borderId="0" xfId="25" applyFont="1" applyFill="1" applyBorder="1" applyAlignment="1" applyProtection="1">
      <alignment horizontal="center" vertical="center" wrapText="1"/>
    </xf>
    <xf numFmtId="0" fontId="36" fillId="0" borderId="0" xfId="0" applyFont="1" applyAlignment="1">
      <alignment horizontal="left" vertical="center" wrapText="1"/>
    </xf>
    <xf numFmtId="0" fontId="0" fillId="0" borderId="0" xfId="0" applyAlignment="1">
      <alignment vertical="center"/>
    </xf>
    <xf numFmtId="0" fontId="0" fillId="0" borderId="0" xfId="0" applyAlignment="1">
      <alignment horizontal="left" vertical="center" indent="1"/>
    </xf>
    <xf numFmtId="0" fontId="0" fillId="0" borderId="0" xfId="0" applyAlignment="1">
      <alignment horizontal="left" vertical="center" indent="2"/>
    </xf>
    <xf numFmtId="0" fontId="0" fillId="21" borderId="0" xfId="0" applyFill="1" applyAlignment="1">
      <alignment horizontal="center" vertical="center"/>
    </xf>
    <xf numFmtId="0" fontId="9" fillId="21" borderId="0" xfId="21" applyFont="1" applyFill="1" applyAlignment="1" applyProtection="1">
      <alignment horizontal="center" vertical="center"/>
    </xf>
    <xf numFmtId="1" fontId="38" fillId="0" borderId="0" xfId="25" applyFont="1" applyAlignment="1" applyProtection="1">
      <alignment horizontal="left" vertical="center"/>
    </xf>
    <xf numFmtId="1" fontId="2" fillId="0" borderId="0" xfId="25" applyFont="1" applyAlignment="1" applyProtection="1">
      <alignment horizontal="right" vertical="center"/>
    </xf>
    <xf numFmtId="1" fontId="2" fillId="0" borderId="0" xfId="25" applyFont="1" applyAlignment="1" applyProtection="1">
      <alignment horizontal="left" vertical="center"/>
    </xf>
    <xf numFmtId="0" fontId="6" fillId="36" borderId="0" xfId="19" applyFont="1" applyFill="1" applyAlignment="1" applyProtection="1">
      <alignment horizontal="center" vertical="center"/>
    </xf>
    <xf numFmtId="0" fontId="2" fillId="0" borderId="0" xfId="0" applyFont="1">
      <alignment horizontal="left" vertical="center"/>
    </xf>
    <xf numFmtId="49" fontId="27" fillId="0" borderId="0" xfId="3" applyNumberFormat="1" applyFont="1" applyFill="1" applyAlignment="1" applyProtection="1">
      <alignment horizontal="center" vertical="top"/>
    </xf>
    <xf numFmtId="0" fontId="28" fillId="0" borderId="0" xfId="0" applyFont="1" applyAlignment="1">
      <alignment horizontal="center" vertical="center" wrapText="1"/>
    </xf>
    <xf numFmtId="0" fontId="18" fillId="0" borderId="3" xfId="3" applyFill="1" applyBorder="1" applyAlignment="1" applyProtection="1">
      <alignment horizontal="left" vertical="center"/>
    </xf>
    <xf numFmtId="0" fontId="8" fillId="0" borderId="0" xfId="21" applyFill="1" applyAlignment="1" applyProtection="1">
      <alignment horizontal="left" vertical="center" indent="1"/>
    </xf>
    <xf numFmtId="0" fontId="8" fillId="0" borderId="0" xfId="21" applyFill="1" applyAlignment="1" applyProtection="1">
      <alignment horizontal="center" vertical="center"/>
    </xf>
    <xf numFmtId="0" fontId="8" fillId="0" borderId="0" xfId="21" applyFill="1" applyAlignment="1" applyProtection="1">
      <alignment horizontal="left" vertical="center" wrapText="1"/>
    </xf>
    <xf numFmtId="0" fontId="18" fillId="0" borderId="2" xfId="3" applyFill="1" applyBorder="1" applyAlignment="1" applyProtection="1">
      <alignment horizontal="left" vertical="center"/>
    </xf>
    <xf numFmtId="49" fontId="27" fillId="0" borderId="1" xfId="3" applyNumberFormat="1" applyFont="1" applyFill="1" applyBorder="1" applyAlignment="1" applyProtection="1">
      <alignment horizontal="center" vertical="top"/>
    </xf>
    <xf numFmtId="0" fontId="8" fillId="0" borderId="0" xfId="21" applyFill="1" applyAlignment="1" applyProtection="1">
      <alignment horizontal="left" vertical="center"/>
    </xf>
    <xf numFmtId="0" fontId="18" fillId="0" borderId="0" xfId="3" applyFill="1" applyAlignment="1" applyProtection="1">
      <alignment horizontal="left" vertical="center"/>
    </xf>
    <xf numFmtId="0" fontId="30" fillId="34" borderId="11" xfId="0" applyFont="1" applyFill="1" applyBorder="1" applyAlignment="1">
      <alignment horizontal="center" vertical="center" wrapText="1"/>
    </xf>
    <xf numFmtId="0" fontId="30" fillId="34" borderId="12" xfId="0" applyFont="1" applyFill="1" applyBorder="1" applyAlignment="1">
      <alignment horizontal="center" vertical="center" wrapText="1"/>
    </xf>
    <xf numFmtId="0" fontId="30" fillId="34" borderId="13" xfId="0" applyFont="1" applyFill="1" applyBorder="1" applyAlignment="1">
      <alignment horizontal="center" vertical="center" wrapText="1"/>
    </xf>
  </cellXfs>
  <cellStyles count="52">
    <cellStyle name="20% - Ênfase1" xfId="15" builtinId="30" customBuiltin="1"/>
    <cellStyle name="20% - Ênfase2" xfId="44" builtinId="34" customBuiltin="1"/>
    <cellStyle name="20% - Ênfase3" xfId="21" builtinId="38" customBuiltin="1"/>
    <cellStyle name="20% - Ênfase4" xfId="7" builtinId="42" customBuiltin="1"/>
    <cellStyle name="20% - Ênfase5" xfId="47" builtinId="46" customBuiltin="1"/>
    <cellStyle name="20% - Ênfase6" xfId="11" builtinId="50" customBuiltin="1"/>
    <cellStyle name="40% - Ênfase1" xfId="16" builtinId="31" customBuiltin="1"/>
    <cellStyle name="40% - Ênfase2" xfId="19" builtinId="35" customBuiltin="1"/>
    <cellStyle name="40% - Ênfase3" xfId="22" builtinId="39" customBuiltin="1"/>
    <cellStyle name="40% - Ênfase4" xfId="8" builtinId="43" customBuiltin="1"/>
    <cellStyle name="40% - Ênfase5" xfId="24" builtinId="47" customBuiltin="1"/>
    <cellStyle name="40% - Ênfase6" xfId="12" builtinId="51" customBuiltin="1"/>
    <cellStyle name="60% - Ênfase1" xfId="17" builtinId="32" customBuiltin="1"/>
    <cellStyle name="60% - Ênfase2" xfId="45" builtinId="36" customBuiltin="1"/>
    <cellStyle name="60% - Ênfase3" xfId="23" builtinId="40" customBuiltin="1"/>
    <cellStyle name="60% - Ênfase4" xfId="9" builtinId="44" customBuiltin="1"/>
    <cellStyle name="60% - Ênfase5" xfId="48" builtinId="48" customBuiltin="1"/>
    <cellStyle name="60% - Ênfase6" xfId="13" builtinId="52" customBuiltin="1"/>
    <cellStyle name="Bom" xfId="33" builtinId="26" customBuiltin="1"/>
    <cellStyle name="Cálculo" xfId="38" builtinId="22" customBuiltin="1"/>
    <cellStyle name="Célula de Verificação" xfId="40" builtinId="23" customBuiltin="1"/>
    <cellStyle name="Célula Vinculada" xfId="39" builtinId="24" customBuiltin="1"/>
    <cellStyle name="Ênfase1" xfId="14" builtinId="29" customBuiltin="1"/>
    <cellStyle name="Ênfase2" xfId="18" builtinId="33" customBuiltin="1"/>
    <cellStyle name="Ênfase3" xfId="20" builtinId="37" customBuiltin="1"/>
    <cellStyle name="Ênfase4" xfId="6" builtinId="41" customBuiltin="1"/>
    <cellStyle name="Ênfase5" xfId="46" builtinId="45" customBuiltin="1"/>
    <cellStyle name="Ênfase6" xfId="10" builtinId="49" customBuiltin="1"/>
    <cellStyle name="Entrada" xfId="36" builtinId="20" customBuiltin="1"/>
    <cellStyle name="Funcionário" xfId="26" xr:uid="{00000000-0005-0000-0000-000013000000}"/>
    <cellStyle name="Hiperlink" xfId="50" builtinId="8"/>
    <cellStyle name="Hyperlink" xfId="51" xr:uid="{00000000-000B-0000-0000-000008000000}"/>
    <cellStyle name="Moeda" xfId="30" builtinId="4" customBuiltin="1"/>
    <cellStyle name="Moeda [0]" xfId="31" builtinId="7" customBuiltin="1"/>
    <cellStyle name="Neutro" xfId="35" builtinId="28" customBuiltin="1"/>
    <cellStyle name="Normal" xfId="0" builtinId="0" customBuiltin="1"/>
    <cellStyle name="Normal 2" xfId="49" xr:uid="{7FF6850C-470A-419A-98E7-D51EC9595CBF}"/>
    <cellStyle name="Nota" xfId="42" builtinId="10" customBuiltin="1"/>
    <cellStyle name="Porcentagem" xfId="32" builtinId="5" customBuiltin="1"/>
    <cellStyle name="Rótulo" xfId="27" xr:uid="{00000000-0005-0000-0000-000018000000}"/>
    <cellStyle name="Ruim" xfId="34" builtinId="27" customBuiltin="1"/>
    <cellStyle name="Saída" xfId="37" builtinId="21" customBuiltin="1"/>
    <cellStyle name="Separador de milhares [0]" xfId="29" builtinId="6" customBuiltin="1"/>
    <cellStyle name="Texto de Aviso" xfId="41" builtinId="11" customBuiltin="1"/>
    <cellStyle name="Texto Explicativo" xfId="43"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25" builtinId="25" customBuiltin="1"/>
    <cellStyle name="Vírgula" xfId="28" builtinId="3" customBuiltin="1"/>
  </cellStyles>
  <dxfs count="1165">
    <dxf>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numFmt numFmtId="0" formatCode="General"/>
      <fill>
        <patternFill patternType="none">
          <fgColor indexed="64"/>
          <bgColor indexed="65"/>
        </patternFill>
      </fill>
      <protection locked="1" hidden="0"/>
    </dxf>
    <dxf>
      <alignment horizontal="center" vertical="center" textRotation="0" wrapText="0" indent="0" justifyLastLine="0" shrinkToFit="0" readingOrder="0"/>
    </dxf>
    <dxf>
      <protection locked="1" hidden="0"/>
    </dxf>
    <dxf>
      <protection locked="1" hidden="0"/>
    </dxf>
    <dxf>
      <alignment horizontal="center" vertical="center" textRotation="0" wrapText="0" indent="0" justifyLastLine="0" shrinkToFit="0" readingOrder="0"/>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ill>
        <patternFill>
          <fgColor theme="9" tint="-0.24994659260841701"/>
        </patternFill>
      </fill>
    </dxf>
    <dxf>
      <fill>
        <patternFill>
          <bgColor rgb="FFFF6600"/>
        </patternFill>
      </fill>
    </dxf>
    <dxf>
      <fill>
        <patternFill>
          <bgColor theme="9" tint="-0.24994659260841701"/>
        </patternFill>
      </fill>
    </dxf>
    <dxf>
      <fill>
        <patternFill>
          <bgColor theme="6" tint="0.39994506668294322"/>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ill>
        <patternFill>
          <bgColor theme="9" tint="-0.24994659260841701"/>
        </patternFill>
      </fill>
    </dxf>
    <dxf>
      <fill>
        <patternFill>
          <bgColor theme="6" tint="0.39994506668294322"/>
        </patternFill>
      </fill>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numFmt numFmtId="0" formatCode="General"/>
      <fill>
        <patternFill patternType="none">
          <fgColor indexed="64"/>
          <bgColor indexed="65"/>
        </patternFill>
      </fill>
      <protection locked="1" hidden="0"/>
    </dxf>
    <dxf>
      <alignment horizontal="center" vertical="center" textRotation="0" wrapText="0" indent="0" justifyLastLine="0" shrinkToFit="0" readingOrder="0"/>
    </dxf>
    <dxf>
      <protection locked="1" hidden="0"/>
    </dxf>
    <dxf>
      <protection locked="1" hidden="0"/>
    </dxf>
    <dxf>
      <alignment horizontal="center" vertical="center" textRotation="0" wrapText="0" indent="0" justifyLastLine="0" shrinkToFit="0" readingOrder="0"/>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ill>
        <patternFill>
          <fgColor theme="9" tint="-0.24994659260841701"/>
        </patternFill>
      </fill>
    </dxf>
    <dxf>
      <fill>
        <patternFill>
          <bgColor rgb="FFFF6600"/>
        </patternFill>
      </fill>
    </dxf>
    <dxf>
      <fill>
        <patternFill>
          <bgColor theme="9" tint="-0.24994659260841701"/>
        </patternFill>
      </fill>
    </dxf>
    <dxf>
      <fill>
        <patternFill>
          <bgColor theme="6" tint="0.39994506668294322"/>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ill>
        <patternFill>
          <fgColor theme="9" tint="-0.24994659260841701"/>
        </patternFill>
      </fill>
    </dxf>
    <dxf>
      <fill>
        <patternFill>
          <bgColor rgb="FFFF6600"/>
        </patternFill>
      </fill>
    </dxf>
    <dxf>
      <fill>
        <patternFill>
          <bgColor theme="9" tint="-0.24994659260841701"/>
        </patternFill>
      </fill>
    </dxf>
    <dxf>
      <fill>
        <patternFill>
          <bgColor theme="6" tint="0.39994506668294322"/>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ill>
        <patternFill>
          <bgColor theme="9" tint="-0.24994659260841701"/>
        </patternFill>
      </fill>
    </dxf>
    <dxf>
      <fill>
        <patternFill>
          <bgColor theme="6" tint="0.39994506668294322"/>
        </patternFill>
      </fill>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numFmt numFmtId="0" formatCode="General"/>
      <fill>
        <patternFill patternType="none">
          <fgColor indexed="64"/>
          <bgColor indexed="65"/>
        </patternFill>
      </fill>
      <protection locked="1" hidden="0"/>
    </dxf>
    <dxf>
      <alignment horizontal="center" vertical="center" textRotation="0" wrapText="0" indent="0" justifyLastLine="0" shrinkToFit="0" readingOrder="0"/>
    </dxf>
    <dxf>
      <protection locked="1" hidden="0"/>
    </dxf>
    <dxf>
      <protection locked="1" hidden="0"/>
    </dxf>
    <dxf>
      <alignment horizontal="center" vertical="center" textRotation="0" wrapText="0" indent="0" justifyLastLine="0" shrinkToFit="0" readingOrder="0"/>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ill>
        <patternFill>
          <bgColor theme="9" tint="-0.24994659260841701"/>
        </patternFill>
      </fill>
    </dxf>
    <dxf>
      <fill>
        <patternFill>
          <bgColor theme="6" tint="0.39994506668294322"/>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ill>
        <patternFill>
          <fgColor theme="9" tint="-0.24994659260841701"/>
        </patternFill>
      </fill>
    </dxf>
    <dxf>
      <fill>
        <patternFill>
          <bgColor rgb="FFFF6600"/>
        </patternFill>
      </fill>
    </dxf>
    <dxf>
      <fill>
        <patternFill>
          <bgColor theme="9" tint="-0.24994659260841701"/>
        </patternFill>
      </fill>
    </dxf>
    <dxf>
      <fill>
        <patternFill>
          <bgColor theme="6" tint="0.39994506668294322"/>
        </patternFill>
      </fill>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numFmt numFmtId="0" formatCode="General"/>
      <fill>
        <patternFill patternType="none">
          <fgColor indexed="64"/>
          <bgColor indexed="65"/>
        </patternFill>
      </fill>
      <protection locked="1" hidden="0"/>
    </dxf>
    <dxf>
      <alignment horizontal="center" vertical="center" textRotation="0" wrapText="0" indent="0" justifyLastLine="0" shrinkToFit="0" readingOrder="0"/>
    </dxf>
    <dxf>
      <protection locked="1" hidden="0"/>
    </dxf>
    <dxf>
      <protection locked="1" hidden="0"/>
    </dxf>
    <dxf>
      <alignment horizontal="center" vertical="center" textRotation="0" wrapText="0" indent="0" justifyLastLine="0" shrinkToFit="0" readingOrder="0"/>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ill>
        <patternFill>
          <bgColor theme="9" tint="-0.24994659260841701"/>
        </patternFill>
      </fill>
    </dxf>
    <dxf>
      <fill>
        <patternFill>
          <bgColor theme="6" tint="0.39994506668294322"/>
        </patternFill>
      </fill>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numFmt numFmtId="0" formatCode="General"/>
      <fill>
        <patternFill patternType="none">
          <fgColor indexed="64"/>
          <bgColor indexed="65"/>
        </patternFill>
      </fill>
      <protection locked="1" hidden="0"/>
    </dxf>
    <dxf>
      <alignment horizontal="center" vertical="center" textRotation="0" wrapText="0" indent="0" justifyLastLine="0" shrinkToFit="0" readingOrder="0"/>
    </dxf>
    <dxf>
      <protection locked="1" hidden="0"/>
    </dxf>
    <dxf>
      <protection locked="1" hidden="0"/>
    </dxf>
    <dxf>
      <alignment horizontal="center" vertical="center" textRotation="0" wrapText="0" indent="0" justifyLastLine="0" shrinkToFit="0" readingOrder="0"/>
    </dxf>
    <dxf>
      <fill>
        <patternFill>
          <bgColor theme="9" tint="-0.24994659260841701"/>
        </patternFill>
      </fill>
    </dxf>
    <dxf>
      <fill>
        <patternFill>
          <bgColor rgb="FFFF6600"/>
        </patternFill>
      </fill>
    </dxf>
    <dxf>
      <fill>
        <patternFill>
          <fgColor theme="9" tint="-0.24994659260841701"/>
        </patternFill>
      </fill>
    </dxf>
    <dxf>
      <font>
        <color theme="1"/>
      </font>
      <fill>
        <patternFill>
          <bgColor theme="8" tint="0.59996337778862885"/>
        </patternFill>
      </fill>
    </dxf>
    <dxf>
      <font>
        <color theme="1"/>
      </font>
      <fill>
        <patternFill>
          <bgColor theme="7" tint="0.59996337778862885"/>
        </patternFill>
      </fill>
    </dxf>
    <dxf>
      <font>
        <color theme="1"/>
      </font>
      <fill>
        <patternFill>
          <bgColor theme="6" tint="0.39994506668294322"/>
        </patternFill>
      </fill>
    </dxf>
    <dxf>
      <font>
        <color theme="1"/>
      </font>
      <fill>
        <patternFill>
          <bgColor theme="5" tint="0.59996337778862885"/>
        </patternFill>
      </fill>
    </dxf>
    <dxf>
      <font>
        <color theme="1"/>
      </font>
      <fill>
        <patternFill>
          <bgColor theme="4" tint="0.39994506668294322"/>
        </patternFill>
      </fill>
    </dxf>
    <dxf>
      <fill>
        <patternFill>
          <bgColor theme="6" tint="0.39994506668294322"/>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ill>
        <patternFill>
          <bgColor theme="9" tint="-0.24994659260841701"/>
        </patternFill>
      </fill>
    </dxf>
    <dxf>
      <fill>
        <patternFill>
          <bgColor theme="6" tint="0.39994506668294322"/>
        </patternFill>
      </fill>
    </dxf>
    <dxf>
      <fill>
        <patternFill>
          <bgColor theme="6" tint="0.39994506668294322"/>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ill>
        <patternFill>
          <bgColor theme="9" tint="-0.24994659260841701"/>
        </patternFill>
      </fill>
    </dxf>
    <dxf>
      <fill>
        <patternFill>
          <bgColor theme="9" tint="-0.24994659260841701"/>
        </patternFill>
      </fill>
    </dxf>
    <dxf>
      <fill>
        <patternFill>
          <bgColor rgb="FFFF6600"/>
        </patternFill>
      </fill>
    </dxf>
    <dxf>
      <fill>
        <patternFill>
          <fgColor theme="9" tint="-0.24994659260841701"/>
        </patternFill>
      </fill>
    </dxf>
    <dxf>
      <font>
        <color theme="1"/>
      </font>
      <fill>
        <patternFill>
          <bgColor theme="8" tint="0.59996337778862885"/>
        </patternFill>
      </fill>
    </dxf>
    <dxf>
      <font>
        <color theme="1"/>
      </font>
      <fill>
        <patternFill>
          <bgColor theme="7" tint="0.59996337778862885"/>
        </patternFill>
      </fill>
    </dxf>
    <dxf>
      <font>
        <color theme="1"/>
      </font>
      <fill>
        <patternFill>
          <bgColor theme="6" tint="0.39994506668294322"/>
        </patternFill>
      </fill>
    </dxf>
    <dxf>
      <font>
        <color theme="1"/>
      </font>
      <fill>
        <patternFill>
          <bgColor theme="5" tint="0.59996337778862885"/>
        </patternFill>
      </fill>
    </dxf>
    <dxf>
      <font>
        <color theme="1"/>
      </font>
      <fill>
        <patternFill>
          <bgColor theme="4" tint="0.39994506668294322"/>
        </patternFill>
      </fill>
    </dxf>
    <dxf>
      <fill>
        <patternFill>
          <bgColor theme="6" tint="0.39994506668294322"/>
        </patternFill>
      </fill>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numFmt numFmtId="0" formatCode="General"/>
      <fill>
        <patternFill patternType="none">
          <fgColor indexed="64"/>
          <bgColor indexed="65"/>
        </patternFill>
      </fill>
      <protection locked="1" hidden="0"/>
    </dxf>
    <dxf>
      <alignment horizontal="center" vertical="center" textRotation="0" wrapText="0" indent="0" justifyLastLine="0" shrinkToFit="0" readingOrder="0"/>
    </dxf>
    <dxf>
      <protection locked="1" hidden="0"/>
    </dxf>
    <dxf>
      <protection locked="1" hidden="0"/>
    </dxf>
    <dxf>
      <alignment horizontal="center" vertical="center" textRotation="0" wrapText="0" indent="0" justifyLastLine="0" shrinkToFit="0" readingOrder="0"/>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ill>
        <patternFill>
          <fgColor theme="9" tint="-0.24994659260841701"/>
        </patternFill>
      </fill>
    </dxf>
    <dxf>
      <fill>
        <patternFill>
          <bgColor rgb="FFFF6600"/>
        </patternFill>
      </fill>
    </dxf>
    <dxf>
      <fill>
        <patternFill>
          <bgColor theme="9" tint="-0.24994659260841701"/>
        </patternFill>
      </fill>
    </dxf>
    <dxf>
      <fill>
        <patternFill>
          <bgColor theme="6" tint="0.39994506668294322"/>
        </patternFill>
      </fill>
    </dxf>
    <dxf>
      <font>
        <color theme="1"/>
      </font>
      <fill>
        <patternFill>
          <bgColor theme="6" tint="0.39994506668294322"/>
        </patternFill>
      </fill>
    </dxf>
    <dxf>
      <font>
        <color theme="1"/>
      </font>
      <fill>
        <patternFill>
          <bgColor theme="5" tint="0.59996337778862885"/>
        </patternFill>
      </fill>
    </dxf>
    <dxf>
      <font>
        <color theme="1"/>
      </font>
      <fill>
        <patternFill>
          <bgColor theme="4" tint="0.39994506668294322"/>
        </patternFill>
      </fill>
    </dxf>
    <dxf>
      <font>
        <color theme="1"/>
      </font>
      <fill>
        <patternFill>
          <bgColor theme="7" tint="0.59996337778862885"/>
        </patternFill>
      </fill>
    </dxf>
    <dxf>
      <fill>
        <patternFill>
          <bgColor theme="6" tint="0.39994506668294322"/>
        </patternFill>
      </fill>
    </dxf>
    <dxf>
      <fill>
        <patternFill>
          <bgColor theme="9" tint="-0.24994659260841701"/>
        </patternFill>
      </fill>
    </dxf>
    <dxf>
      <fill>
        <patternFill>
          <bgColor rgb="FFFF6600"/>
        </patternFill>
      </fill>
    </dxf>
    <dxf>
      <fill>
        <patternFill>
          <fgColor theme="9" tint="-0.24994659260841701"/>
        </patternFill>
      </fill>
    </dxf>
    <dxf>
      <font>
        <color theme="1"/>
      </font>
      <fill>
        <patternFill>
          <bgColor theme="8" tint="0.59996337778862885"/>
        </patternFill>
      </fill>
    </dxf>
    <dxf>
      <fill>
        <patternFill>
          <bgColor theme="6" tint="0.39994506668294322"/>
        </patternFill>
      </fill>
    </dxf>
    <dxf>
      <fill>
        <patternFill>
          <bgColor theme="9" tint="-0.24994659260841701"/>
        </patternFill>
      </fill>
    </dxf>
    <dxf>
      <fill>
        <patternFill>
          <bgColor rgb="FFFF6600"/>
        </patternFill>
      </fill>
    </dxf>
    <dxf>
      <fill>
        <patternFill>
          <fgColor theme="9" tint="-0.24994659260841701"/>
        </patternFill>
      </fill>
    </dxf>
    <dxf>
      <font>
        <color theme="1"/>
      </font>
      <fill>
        <patternFill>
          <bgColor theme="8" tint="0.59996337778862885"/>
        </patternFill>
      </fill>
    </dxf>
    <dxf>
      <font>
        <color theme="1"/>
      </font>
      <fill>
        <patternFill>
          <bgColor theme="7" tint="0.59996337778862885"/>
        </patternFill>
      </fill>
    </dxf>
    <dxf>
      <font>
        <color theme="1"/>
      </font>
      <fill>
        <patternFill>
          <bgColor theme="6" tint="0.39994506668294322"/>
        </patternFill>
      </fill>
    </dxf>
    <dxf>
      <font>
        <color theme="1"/>
      </font>
      <fill>
        <patternFill>
          <bgColor theme="5" tint="0.59996337778862885"/>
        </patternFill>
      </fill>
    </dxf>
    <dxf>
      <font>
        <color theme="1"/>
      </font>
      <fill>
        <patternFill>
          <bgColor theme="4" tint="0.39994506668294322"/>
        </patternFill>
      </fill>
    </dxf>
    <dxf>
      <fill>
        <patternFill>
          <bgColor rgb="FFFF6600"/>
        </patternFill>
      </fill>
    </dxf>
    <dxf>
      <fill>
        <patternFill>
          <bgColor theme="9" tint="-0.24994659260841701"/>
        </patternFill>
      </fill>
    </dxf>
    <dxf>
      <fill>
        <patternFill>
          <bgColor theme="6" tint="0.39994506668294322"/>
        </patternFill>
      </fill>
    </dxf>
    <dxf>
      <font>
        <color theme="1"/>
      </font>
      <fill>
        <patternFill>
          <bgColor theme="5" tint="0.59996337778862885"/>
        </patternFill>
      </fill>
    </dxf>
    <dxf>
      <font>
        <color theme="1"/>
      </font>
      <fill>
        <patternFill>
          <bgColor theme="4" tint="0.39994506668294322"/>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ill>
        <patternFill>
          <fgColor theme="9" tint="-0.24994659260841701"/>
        </patternFill>
      </fill>
    </dxf>
    <dxf>
      <fill>
        <patternFill>
          <bgColor theme="9" tint="-0.24994659260841701"/>
        </patternFill>
      </fill>
    </dxf>
    <dxf>
      <fill>
        <patternFill>
          <bgColor theme="6" tint="0.39994506668294322"/>
        </patternFill>
      </fill>
    </dxf>
    <dxf>
      <fill>
        <patternFill>
          <bgColor theme="6" tint="0.39994506668294322"/>
        </patternFill>
      </fill>
    </dxf>
    <dxf>
      <fill>
        <patternFill>
          <bgColor theme="9" tint="-0.24994659260841701"/>
        </patternFill>
      </fill>
    </dxf>
    <dxf>
      <fill>
        <patternFill>
          <bgColor rgb="FFFF6600"/>
        </patternFill>
      </fill>
    </dxf>
    <dxf>
      <fill>
        <patternFill>
          <fgColor theme="9" tint="-0.24994659260841701"/>
        </patternFill>
      </fill>
    </dxf>
    <dxf>
      <font>
        <color theme="1"/>
      </font>
      <fill>
        <patternFill>
          <bgColor theme="8" tint="0.59996337778862885"/>
        </patternFill>
      </fill>
    </dxf>
    <dxf>
      <font>
        <color theme="1"/>
      </font>
      <fill>
        <patternFill>
          <bgColor theme="7" tint="0.59996337778862885"/>
        </patternFill>
      </fill>
    </dxf>
    <dxf>
      <font>
        <color theme="1"/>
      </font>
      <fill>
        <patternFill>
          <bgColor theme="6" tint="0.39994506668294322"/>
        </patternFill>
      </fill>
    </dxf>
    <dxf>
      <font>
        <color theme="1"/>
      </font>
      <fill>
        <patternFill>
          <bgColor theme="5" tint="0.59996337778862885"/>
        </patternFill>
      </fill>
    </dxf>
    <dxf>
      <font>
        <color theme="1"/>
      </font>
      <fill>
        <patternFill>
          <bgColor theme="4" tint="0.39994506668294322"/>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8" tint="0.59996337778862885"/>
        </patternFill>
      </fill>
    </dxf>
    <dxf>
      <font>
        <color theme="1"/>
      </font>
      <fill>
        <patternFill>
          <bgColor theme="7" tint="0.59996337778862885"/>
        </patternFill>
      </fill>
    </dxf>
    <dxf>
      <font>
        <color theme="1"/>
      </font>
      <fill>
        <patternFill>
          <bgColor theme="4" tint="0.39994506668294322"/>
        </patternFill>
      </fill>
    </dxf>
    <dxf>
      <fill>
        <patternFill>
          <fgColor theme="9" tint="-0.24994659260841701"/>
        </patternFill>
      </fill>
    </dxf>
    <dxf>
      <fill>
        <patternFill>
          <bgColor rgb="FFFF6600"/>
        </patternFill>
      </fill>
    </dxf>
    <dxf>
      <fill>
        <patternFill>
          <bgColor theme="9" tint="-0.24994659260841701"/>
        </patternFill>
      </fill>
    </dxf>
    <dxf>
      <fill>
        <patternFill>
          <bgColor theme="6" tint="0.39994506668294322"/>
        </patternFill>
      </fill>
    </dxf>
    <dxf>
      <font>
        <color theme="1"/>
      </font>
      <fill>
        <patternFill>
          <bgColor theme="8" tint="0.59996337778862885"/>
        </patternFill>
      </fill>
    </dxf>
    <dxf>
      <font>
        <color theme="1"/>
      </font>
      <fill>
        <patternFill>
          <bgColor theme="7" tint="0.59996337778862885"/>
        </patternFill>
      </fill>
    </dxf>
    <dxf>
      <font>
        <color theme="1"/>
      </font>
      <fill>
        <patternFill>
          <bgColor theme="6" tint="0.39994506668294322"/>
        </patternFill>
      </fill>
    </dxf>
    <dxf>
      <font>
        <color theme="1"/>
      </font>
      <fill>
        <patternFill>
          <bgColor theme="5" tint="0.59996337778862885"/>
        </patternFill>
      </fill>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numFmt numFmtId="0" formatCode="General"/>
      <fill>
        <patternFill patternType="none">
          <fgColor indexed="64"/>
          <bgColor indexed="65"/>
        </patternFill>
      </fill>
      <protection locked="1" hidden="0"/>
    </dxf>
    <dxf>
      <alignment horizontal="center" vertical="center" textRotation="0" wrapText="0" indent="0" justifyLastLine="0" shrinkToFit="0" readingOrder="0"/>
    </dxf>
    <dxf>
      <protection locked="1" hidden="0"/>
    </dxf>
    <dxf>
      <protection locked="1" hidden="0"/>
    </dxf>
    <dxf>
      <alignment horizontal="center" vertical="center" textRotation="0" wrapText="0" indent="0" justifyLastLine="0" shrinkToFit="0" readingOrder="0"/>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ill>
        <patternFill>
          <fgColor theme="9" tint="-0.24994659260841701"/>
        </patternFill>
      </fill>
    </dxf>
    <dxf>
      <fill>
        <patternFill>
          <bgColor rgb="FFFF6600"/>
        </patternFill>
      </fill>
    </dxf>
    <dxf>
      <fill>
        <patternFill>
          <bgColor theme="9" tint="-0.24994659260841701"/>
        </patternFill>
      </fill>
    </dxf>
    <dxf>
      <fill>
        <patternFill>
          <bgColor theme="6" tint="0.39994506668294322"/>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ill>
        <patternFill>
          <bgColor theme="9" tint="-0.24994659260841701"/>
        </patternFill>
      </fill>
    </dxf>
    <dxf>
      <fill>
        <patternFill>
          <bgColor theme="6" tint="0.39994506668294322"/>
        </patternFill>
      </fill>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numFmt numFmtId="0" formatCode="General"/>
      <fill>
        <patternFill patternType="none">
          <fgColor indexed="64"/>
          <bgColor indexed="65"/>
        </patternFill>
      </fill>
      <protection locked="1" hidden="0"/>
    </dxf>
    <dxf>
      <alignment horizontal="center" vertical="center" textRotation="0" wrapText="0" indent="0" justifyLastLine="0" shrinkToFit="0" readingOrder="0"/>
    </dxf>
    <dxf>
      <protection locked="1" hidden="0"/>
    </dxf>
    <dxf>
      <protection locked="1" hidden="0"/>
    </dxf>
    <dxf>
      <alignment horizontal="center" vertical="center" textRotation="0" wrapText="0" indent="0" justifyLastLine="0" shrinkToFit="0" readingOrder="0"/>
    </dxf>
    <dxf>
      <font>
        <color theme="1"/>
      </font>
      <fill>
        <patternFill>
          <bgColor theme="6" tint="0.39994506668294322"/>
        </patternFill>
      </fill>
    </dxf>
    <dxf>
      <font>
        <color theme="1"/>
      </font>
      <fill>
        <patternFill>
          <bgColor theme="5" tint="0.59996337778862885"/>
        </patternFill>
      </fill>
    </dxf>
    <dxf>
      <font>
        <color theme="1"/>
      </font>
      <fill>
        <patternFill>
          <bgColor theme="4" tint="0.39994506668294322"/>
        </patternFill>
      </fill>
    </dxf>
    <dxf>
      <font>
        <color theme="1"/>
      </font>
      <fill>
        <patternFill>
          <bgColor theme="7" tint="0.59996337778862885"/>
        </patternFill>
      </fill>
    </dxf>
    <dxf>
      <fill>
        <patternFill>
          <bgColor theme="6" tint="0.39994506668294322"/>
        </patternFill>
      </fill>
    </dxf>
    <dxf>
      <font>
        <color theme="1"/>
      </font>
      <fill>
        <patternFill>
          <bgColor theme="8" tint="0.59996337778862885"/>
        </patternFill>
      </fill>
    </dxf>
    <dxf>
      <fill>
        <patternFill>
          <fgColor theme="9" tint="-0.24994659260841701"/>
        </patternFill>
      </fill>
    </dxf>
    <dxf>
      <fill>
        <patternFill>
          <bgColor rgb="FFFF6600"/>
        </patternFill>
      </fill>
    </dxf>
    <dxf>
      <fill>
        <patternFill>
          <bgColor theme="9" tint="-0.24994659260841701"/>
        </patternFill>
      </fill>
    </dxf>
    <dxf>
      <fill>
        <patternFill>
          <bgColor theme="6" tint="0.39994506668294322"/>
        </patternFill>
      </fill>
    </dxf>
    <dxf>
      <fill>
        <patternFill>
          <bgColor theme="9" tint="-0.24994659260841701"/>
        </patternFill>
      </fill>
    </dxf>
    <dxf>
      <fill>
        <patternFill>
          <bgColor rgb="FFFF6600"/>
        </patternFill>
      </fill>
    </dxf>
    <dxf>
      <font>
        <color theme="1"/>
      </font>
      <fill>
        <patternFill>
          <bgColor theme="7" tint="0.59996337778862885"/>
        </patternFill>
      </fill>
    </dxf>
    <dxf>
      <font>
        <color theme="1"/>
      </font>
      <fill>
        <patternFill>
          <bgColor theme="8" tint="0.59996337778862885"/>
        </patternFill>
      </fill>
    </dxf>
    <dxf>
      <fill>
        <patternFill>
          <fgColor theme="9" tint="-0.24994659260841701"/>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ill>
        <patternFill>
          <fgColor theme="9" tint="-0.24994659260841701"/>
        </patternFill>
      </fill>
    </dxf>
    <dxf>
      <fill>
        <patternFill>
          <bgColor rgb="FFFF6600"/>
        </patternFill>
      </fill>
    </dxf>
    <dxf>
      <fill>
        <patternFill>
          <bgColor theme="9" tint="-0.24994659260841701"/>
        </patternFill>
      </fill>
    </dxf>
    <dxf>
      <font>
        <color theme="1"/>
      </font>
      <fill>
        <patternFill>
          <bgColor theme="7" tint="0.59996337778862885"/>
        </patternFill>
      </fill>
    </dxf>
    <dxf>
      <fill>
        <patternFill>
          <bgColor theme="6" tint="0.39994506668294322"/>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8"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ill>
        <patternFill>
          <fgColor theme="9" tint="-0.24994659260841701"/>
        </patternFill>
      </fill>
    </dxf>
    <dxf>
      <fill>
        <patternFill>
          <bgColor theme="9" tint="-0.24994659260841701"/>
        </patternFill>
      </fill>
    </dxf>
    <dxf>
      <fill>
        <patternFill>
          <bgColor theme="6" tint="0.39994506668294322"/>
        </patternFill>
      </fill>
    </dxf>
    <dxf>
      <font>
        <color theme="1"/>
      </font>
      <fill>
        <patternFill>
          <bgColor theme="4" tint="0.39994506668294322"/>
        </patternFill>
      </fill>
    </dxf>
    <dxf>
      <font>
        <color theme="1"/>
      </font>
      <fill>
        <patternFill>
          <bgColor theme="5" tint="0.59996337778862885"/>
        </patternFill>
      </fill>
    </dxf>
    <dxf>
      <fill>
        <patternFill>
          <bgColor rgb="FFFF6600"/>
        </patternFill>
      </fill>
    </dxf>
    <dxf>
      <font>
        <color theme="1"/>
      </font>
      <fill>
        <patternFill>
          <bgColor theme="7" tint="0.59996337778862885"/>
        </patternFill>
      </fill>
    </dxf>
    <dxf>
      <font>
        <color theme="1"/>
      </font>
      <fill>
        <patternFill>
          <bgColor theme="6" tint="0.39994506668294322"/>
        </patternFill>
      </fill>
    </dxf>
    <dxf>
      <font>
        <color theme="1"/>
      </font>
      <fill>
        <patternFill>
          <bgColor theme="5" tint="0.59996337778862885"/>
        </patternFill>
      </fill>
    </dxf>
    <dxf>
      <font>
        <color theme="1"/>
      </font>
      <fill>
        <patternFill>
          <bgColor theme="4" tint="0.39994506668294322"/>
        </patternFill>
      </fill>
    </dxf>
    <dxf>
      <fill>
        <patternFill>
          <bgColor theme="6" tint="0.39994506668294322"/>
        </patternFill>
      </fill>
    </dxf>
    <dxf>
      <fill>
        <patternFill>
          <bgColor theme="9" tint="-0.24994659260841701"/>
        </patternFill>
      </fill>
    </dxf>
    <dxf>
      <font>
        <color theme="1"/>
      </font>
      <fill>
        <patternFill>
          <bgColor theme="8" tint="0.59996337778862885"/>
        </patternFill>
      </fill>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numFmt numFmtId="0" formatCode="General"/>
      <fill>
        <patternFill patternType="none">
          <fgColor indexed="64"/>
          <bgColor indexed="65"/>
        </patternFill>
      </fill>
      <protection locked="1" hidden="0"/>
    </dxf>
    <dxf>
      <alignment horizontal="center" vertical="center" textRotation="0" wrapText="0" indent="0" justifyLastLine="0" shrinkToFit="0" readingOrder="0"/>
    </dxf>
    <dxf>
      <protection locked="1" hidden="0"/>
    </dxf>
    <dxf>
      <protection locked="1" hidden="0"/>
    </dxf>
    <dxf>
      <protection locked="1" hidden="0"/>
    </dxf>
    <dxf>
      <fill>
        <patternFill>
          <bgColor rgb="FFFF6600"/>
        </patternFill>
      </fill>
    </dxf>
    <dxf>
      <fill>
        <patternFill>
          <fgColor theme="9" tint="-0.24994659260841701"/>
        </patternFill>
      </fill>
    </dxf>
    <dxf>
      <font>
        <color theme="1"/>
      </font>
      <fill>
        <patternFill>
          <bgColor theme="8" tint="0.59996337778862885"/>
        </patternFill>
      </fill>
    </dxf>
    <dxf>
      <font>
        <color theme="1"/>
      </font>
      <fill>
        <patternFill>
          <bgColor theme="6" tint="0.39994506668294322"/>
        </patternFill>
      </fill>
    </dxf>
    <dxf>
      <fill>
        <patternFill>
          <bgColor theme="6" tint="0.39994506668294322"/>
        </patternFill>
      </fill>
    </dxf>
    <dxf>
      <font>
        <color theme="1"/>
      </font>
      <fill>
        <patternFill>
          <bgColor theme="5" tint="0.59996337778862885"/>
        </patternFill>
      </fill>
    </dxf>
    <dxf>
      <font>
        <color theme="1"/>
      </font>
      <fill>
        <patternFill>
          <bgColor theme="4" tint="0.39994506668294322"/>
        </patternFill>
      </fill>
    </dxf>
    <dxf>
      <font>
        <color theme="1"/>
      </font>
      <fill>
        <patternFill>
          <bgColor theme="7" tint="0.59996337778862885"/>
        </patternFill>
      </fill>
    </dxf>
    <dxf>
      <fill>
        <patternFill>
          <bgColor theme="9" tint="-0.24994659260841701"/>
        </patternFill>
      </fill>
    </dxf>
    <dxf>
      <fill>
        <patternFill>
          <bgColor theme="6" tint="0.39994506668294322"/>
        </patternFill>
      </fill>
    </dxf>
    <dxf>
      <fill>
        <patternFill>
          <bgColor theme="9" tint="-0.24994659260841701"/>
        </patternFill>
      </fill>
    </dxf>
    <dxf>
      <fill>
        <patternFill>
          <fgColor theme="9" tint="-0.24994659260841701"/>
        </patternFill>
      </fill>
    </dxf>
    <dxf>
      <font>
        <color theme="1"/>
      </font>
      <fill>
        <patternFill>
          <bgColor theme="8" tint="0.59996337778862885"/>
        </patternFill>
      </fill>
    </dxf>
    <dxf>
      <font>
        <color theme="1"/>
      </font>
      <fill>
        <patternFill>
          <bgColor theme="7" tint="0.59996337778862885"/>
        </patternFill>
      </fill>
    </dxf>
    <dxf>
      <font>
        <color theme="1"/>
      </font>
      <fill>
        <patternFill>
          <bgColor theme="6" tint="0.39994506668294322"/>
        </patternFill>
      </fill>
    </dxf>
    <dxf>
      <font>
        <color theme="1"/>
      </font>
      <fill>
        <patternFill>
          <bgColor theme="4" tint="0.39994506668294322"/>
        </patternFill>
      </fill>
    </dxf>
    <dxf>
      <font>
        <color theme="1"/>
      </font>
      <fill>
        <patternFill>
          <bgColor theme="5" tint="0.59996337778862885"/>
        </patternFill>
      </fill>
    </dxf>
    <dxf>
      <fill>
        <patternFill>
          <bgColor rgb="FFFF6600"/>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ill>
        <patternFill>
          <fgColor theme="9" tint="-0.24994659260841701"/>
        </patternFill>
      </fill>
    </dxf>
    <dxf>
      <fill>
        <patternFill>
          <bgColor rgb="FFFF6600"/>
        </patternFill>
      </fill>
    </dxf>
    <dxf>
      <fill>
        <patternFill>
          <bgColor theme="9" tint="-0.24994659260841701"/>
        </patternFill>
      </fill>
    </dxf>
    <dxf>
      <fill>
        <patternFill>
          <bgColor theme="6" tint="0.39994506668294322"/>
        </patternFill>
      </fill>
    </dxf>
    <dxf>
      <font>
        <color theme="1"/>
      </font>
      <fill>
        <patternFill>
          <bgColor theme="4" tint="0.39994506668294322"/>
        </patternFill>
      </fill>
    </dxf>
    <dxf>
      <font>
        <color theme="1"/>
      </font>
      <fill>
        <patternFill>
          <bgColor theme="5" tint="0.59996337778862885"/>
        </patternFill>
      </fill>
    </dxf>
    <dxf>
      <fill>
        <patternFill>
          <bgColor theme="6" tint="0.39994506668294322"/>
        </patternFill>
      </fill>
    </dxf>
    <dxf>
      <fill>
        <patternFill>
          <bgColor theme="9" tint="-0.24994659260841701"/>
        </patternFill>
      </fill>
    </dxf>
    <dxf>
      <font>
        <color theme="1"/>
      </font>
      <fill>
        <patternFill>
          <bgColor theme="8" tint="0.59996337778862885"/>
        </patternFill>
      </fill>
    </dxf>
    <dxf>
      <font>
        <color theme="1"/>
      </font>
      <fill>
        <patternFill>
          <bgColor theme="7" tint="0.59996337778862885"/>
        </patternFill>
      </fill>
    </dxf>
    <dxf>
      <font>
        <color theme="1"/>
      </font>
      <fill>
        <patternFill>
          <bgColor theme="6" tint="0.39994506668294322"/>
        </patternFill>
      </fill>
    </dxf>
    <dxf>
      <font>
        <color theme="1"/>
      </font>
      <fill>
        <patternFill>
          <bgColor theme="5" tint="0.59996337778862885"/>
        </patternFill>
      </fill>
    </dxf>
    <dxf>
      <font>
        <color theme="1"/>
      </font>
      <fill>
        <patternFill>
          <bgColor theme="4" tint="0.39994506668294322"/>
        </patternFill>
      </fill>
    </dxf>
    <dxf>
      <fill>
        <patternFill>
          <bgColor rgb="FFFF6600"/>
        </patternFill>
      </fill>
    </dxf>
    <dxf>
      <fill>
        <patternFill>
          <fgColor theme="9" tint="-0.24994659260841701"/>
        </patternFill>
      </fill>
    </dxf>
    <dxf>
      <font>
        <color theme="1"/>
      </font>
      <fill>
        <patternFill>
          <bgColor theme="8" tint="0.59996337778862885"/>
        </patternFill>
      </fill>
    </dxf>
    <dxf>
      <font>
        <color theme="1"/>
      </font>
      <fill>
        <patternFill>
          <bgColor theme="7" tint="0.59996337778862885"/>
        </patternFill>
      </fill>
    </dxf>
    <dxf>
      <font>
        <color theme="1"/>
      </font>
      <fill>
        <patternFill>
          <bgColor theme="6" tint="0.39994506668294322"/>
        </patternFill>
      </fill>
    </dxf>
    <dxf>
      <font>
        <color theme="1"/>
      </font>
      <fill>
        <patternFill>
          <bgColor theme="5" tint="0.59996337778862885"/>
        </patternFill>
      </fill>
    </dxf>
    <dxf>
      <font>
        <color theme="1"/>
      </font>
      <fill>
        <patternFill>
          <bgColor theme="4" tint="0.39994506668294322"/>
        </patternFill>
      </fill>
    </dxf>
    <dxf>
      <fill>
        <patternFill>
          <bgColor theme="9" tint="-0.24994659260841701"/>
        </patternFill>
      </fill>
    </dxf>
    <dxf>
      <fill>
        <patternFill>
          <bgColor theme="6" tint="0.39994506668294322"/>
        </patternFill>
      </fill>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numFmt numFmtId="0" formatCode="General"/>
      <fill>
        <patternFill patternType="none">
          <fgColor indexed="64"/>
          <bgColor indexed="65"/>
        </patternFill>
      </fill>
      <protection locked="1" hidden="0"/>
    </dxf>
    <dxf>
      <alignment horizontal="center" vertical="center" textRotation="0" wrapText="0" indent="0" justifyLastLine="0" shrinkToFit="0" readingOrder="0"/>
    </dxf>
    <dxf>
      <protection locked="1" hidden="0"/>
    </dxf>
    <dxf>
      <protection locked="1" hidden="0"/>
    </dxf>
    <dxf>
      <protection locked="1" hidden="0"/>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ill>
        <patternFill>
          <fgColor theme="9" tint="-0.24994659260841701"/>
        </patternFill>
      </fill>
    </dxf>
    <dxf>
      <fill>
        <patternFill>
          <bgColor rgb="FFFF6600"/>
        </patternFill>
      </fill>
    </dxf>
    <dxf>
      <fill>
        <patternFill>
          <bgColor theme="9" tint="-0.24994659260841701"/>
        </patternFill>
      </fill>
    </dxf>
    <dxf>
      <fill>
        <patternFill>
          <bgColor theme="6" tint="0.39994506668294322"/>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ill>
        <patternFill>
          <fgColor theme="9" tint="-0.24994659260841701"/>
        </patternFill>
      </fill>
    </dxf>
    <dxf>
      <fill>
        <patternFill>
          <bgColor rgb="FFFF6600"/>
        </patternFill>
      </fill>
    </dxf>
    <dxf>
      <fill>
        <patternFill>
          <bgColor theme="9" tint="-0.24994659260841701"/>
        </patternFill>
      </fill>
    </dxf>
    <dxf>
      <fill>
        <patternFill>
          <bgColor theme="6" tint="0.39994506668294322"/>
        </patternFill>
      </fill>
    </dxf>
    <dxf>
      <font>
        <color theme="1"/>
      </font>
      <fill>
        <patternFill>
          <bgColor theme="4" tint="0.39994506668294322"/>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ill>
        <patternFill>
          <fgColor theme="9" tint="-0.24994659260841701"/>
        </patternFill>
      </fill>
    </dxf>
    <dxf>
      <fill>
        <patternFill>
          <bgColor rgb="FFFF6600"/>
        </patternFill>
      </fill>
    </dxf>
    <dxf>
      <fill>
        <patternFill>
          <bgColor theme="9" tint="-0.24994659260841701"/>
        </patternFill>
      </fill>
    </dxf>
    <dxf>
      <fill>
        <patternFill>
          <bgColor theme="6" tint="0.39994506668294322"/>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ill>
        <patternFill>
          <bgColor theme="9" tint="-0.24994659260841701"/>
        </patternFill>
      </fill>
    </dxf>
    <dxf>
      <fill>
        <patternFill>
          <bgColor theme="6" tint="0.39994506668294322"/>
        </patternFill>
      </fill>
    </dxf>
    <dxf>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ill>
        <patternFill patternType="none">
          <fgColor indexed="64"/>
          <bgColor indexed="65"/>
        </patternFill>
      </fill>
      <protection locked="1" hidden="0"/>
    </dxf>
    <dxf>
      <alignment horizontal="center" vertical="center" textRotation="0" wrapText="0" indent="0" justifyLastLine="0" shrinkToFit="0" readingOrder="0"/>
    </dxf>
    <dxf>
      <protection locked="1" hidden="0"/>
    </dxf>
    <dxf>
      <protection locked="1" hidden="0"/>
    </dxf>
    <dxf>
      <protection locked="1" hidden="0"/>
    </dxf>
    <dxf>
      <font>
        <b val="0"/>
        <i val="0"/>
        <color theme="3"/>
      </font>
      <border>
        <vertical/>
        <horizontal/>
      </border>
    </dxf>
    <dxf>
      <font>
        <color theme="0"/>
      </font>
      <border>
        <vertical/>
        <horizontal/>
      </border>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ill>
        <patternFill>
          <fgColor theme="9" tint="-0.24994659260841701"/>
        </patternFill>
      </fill>
    </dxf>
    <dxf>
      <fill>
        <patternFill>
          <bgColor rgb="FFFF6600"/>
        </patternFill>
      </fill>
    </dxf>
    <dxf>
      <fill>
        <patternFill>
          <bgColor theme="9" tint="-0.24994659260841701"/>
        </patternFill>
      </fill>
    </dxf>
    <dxf>
      <fill>
        <patternFill>
          <bgColor theme="6" tint="0.39994506668294322"/>
        </patternFill>
      </fill>
    </dxf>
    <dxf>
      <fill>
        <patternFill>
          <bgColor theme="7" tint="-0.24994659260841701"/>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ill>
        <patternFill>
          <bgColor theme="9" tint="-0.24994659260841701"/>
        </patternFill>
      </fill>
    </dxf>
    <dxf>
      <fill>
        <patternFill>
          <bgColor theme="6" tint="0.39994506668294322"/>
        </patternFill>
      </fill>
    </dxf>
    <dxf>
      <protection locked="1"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protection locked="0" hidden="0"/>
    </dxf>
    <dxf>
      <numFmt numFmtId="168" formatCode="0;0;"/>
      <alignment horizontal="center" vertical="center" textRotation="0" wrapText="0" indent="0" justifyLastLine="0" shrinkToFit="0" readingOrder="0"/>
    </dxf>
    <dxf>
      <fill>
        <patternFill patternType="none">
          <fgColor indexed="64"/>
          <bgColor indexed="65"/>
        </patternFill>
      </fill>
    </dxf>
    <dxf>
      <alignment horizontal="center" vertical="center" textRotation="0" wrapText="0" indent="0" justifyLastLine="0" shrinkToFit="0" readingOrder="0"/>
    </dxf>
    <dxf>
      <protection locked="1" hidden="0"/>
    </dxf>
    <dxf>
      <protection locked="1" hidden="0"/>
    </dxf>
    <dxf>
      <alignment horizontal="center" vertical="center" textRotation="0" wrapText="0" indent="0" justifyLastLine="0" shrinkToFit="0" readingOrder="0"/>
    </dxf>
    <dxf>
      <fill>
        <patternFill>
          <bgColor rgb="FFFF6600"/>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ill>
        <patternFill>
          <fgColor theme="9" tint="-0.24994659260841701"/>
        </patternFill>
      </fill>
    </dxf>
    <dxf>
      <fill>
        <patternFill>
          <bgColor rgb="FFFF6600"/>
        </patternFill>
      </fill>
    </dxf>
    <dxf>
      <fill>
        <patternFill>
          <bgColor theme="9" tint="-0.24994659260841701"/>
        </patternFill>
      </fill>
    </dxf>
    <dxf>
      <fill>
        <patternFill>
          <bgColor theme="6" tint="0.39994506668294322"/>
        </patternFill>
      </fill>
    </dxf>
    <dxf>
      <fill>
        <patternFill patternType="solid">
          <bgColor theme="5" tint="0.39994506668294322"/>
        </patternFill>
      </fill>
      <border diagonalUp="0" diagonalDown="0">
        <left/>
        <right/>
        <top style="thin">
          <color theme="5" tint="0.59996337778862885"/>
        </top>
        <bottom style="thick">
          <color theme="5"/>
        </bottom>
        <vertical style="thick">
          <color theme="0"/>
        </vertical>
        <horizontal style="thin">
          <color theme="5" tint="0.59996337778862885"/>
        </horizontal>
      </border>
    </dxf>
    <dxf>
      <font>
        <color theme="1"/>
      </font>
      <fill>
        <patternFill patternType="solid">
          <bgColor theme="5" tint="0.39994506668294322"/>
        </patternFill>
      </fill>
      <border diagonalUp="0" diagonalDown="0">
        <left/>
        <right/>
        <top style="thin">
          <color theme="5" tint="0.59996337778862885"/>
        </top>
        <bottom style="thick">
          <color theme="5"/>
        </bottom>
        <vertical style="thick">
          <color theme="0"/>
        </vertical>
        <horizontal style="thin">
          <color theme="5" tint="0.59996337778862885"/>
        </horizontal>
      </border>
    </dxf>
    <dxf>
      <font>
        <color theme="1"/>
      </font>
      <fill>
        <patternFill patternType="solid">
          <bgColor theme="2"/>
        </patternFill>
      </fill>
      <border diagonalUp="0" diagonalDown="0">
        <left/>
        <right/>
        <top/>
        <bottom style="thin">
          <color theme="0" tint="-0.14996795556505021"/>
        </bottom>
        <vertical/>
        <horizontal/>
      </border>
    </dxf>
    <dxf>
      <font>
        <color theme="1"/>
      </font>
      <fill>
        <patternFill patternType="none">
          <bgColor auto="1"/>
        </patternFill>
      </fill>
      <border diagonalUp="0" diagonalDown="0">
        <left/>
        <right/>
        <top style="thin">
          <color theme="0" tint="-0.14996795556505021"/>
        </top>
        <bottom style="thin">
          <color theme="0" tint="-0.14993743705557422"/>
        </bottom>
        <vertical/>
        <horizontal/>
      </border>
    </dxf>
    <dxf>
      <fill>
        <patternFill>
          <bgColor theme="0" tint="-0.14996795556505021"/>
        </patternFill>
      </fill>
      <border>
        <left style="thin">
          <color theme="0"/>
        </left>
        <right style="thin">
          <color theme="0"/>
        </right>
        <vertical style="thin">
          <color theme="0"/>
        </vertical>
      </border>
    </dxf>
    <dxf>
      <fill>
        <patternFill>
          <bgColor theme="0" tint="-4.9989318521683403E-2"/>
        </patternFill>
      </fill>
      <border>
        <left style="thin">
          <color theme="0"/>
        </left>
        <right style="thin">
          <color theme="0"/>
        </right>
        <top style="thick">
          <color theme="5" tint="0.59996337778862885"/>
        </top>
        <bottom style="thick">
          <color theme="5" tint="0.59996337778862885"/>
        </bottom>
        <vertical style="thin">
          <color theme="0"/>
        </vertical>
        <horizontal style="thick">
          <color theme="5" tint="0.59996337778862885"/>
        </horizontal>
      </border>
    </dxf>
    <dxf>
      <fill>
        <patternFill>
          <bgColor theme="5" tint="0.79998168889431442"/>
        </patternFill>
      </fill>
      <border>
        <top style="thick">
          <color theme="0"/>
        </top>
        <bottom style="thick">
          <color theme="0"/>
        </bottom>
        <horizontal style="thick">
          <color theme="0"/>
        </horizontal>
      </border>
    </dxf>
    <dxf>
      <fill>
        <patternFill patternType="none">
          <fgColor auto="1"/>
          <bgColor auto="1"/>
        </patternFill>
      </fill>
      <border>
        <top style="thick">
          <color theme="0"/>
        </top>
        <bottom style="thick">
          <color theme="0"/>
        </bottom>
        <horizontal style="thick">
          <color theme="0"/>
        </horizontal>
      </border>
    </dxf>
    <dxf>
      <font>
        <b/>
        <i val="0"/>
        <color theme="1"/>
      </font>
      <fill>
        <patternFill patternType="none">
          <bgColor auto="1"/>
        </patternFill>
      </fill>
      <border diagonalUp="0" diagonalDown="0">
        <left/>
        <right/>
        <top style="thin">
          <color theme="5" tint="0.59996337778862885"/>
        </top>
        <bottom style="thin">
          <color theme="5" tint="0.59996337778862885"/>
        </bottom>
        <vertical/>
        <horizontal style="thin">
          <color theme="5" tint="0.59996337778862885"/>
        </horizontal>
      </border>
    </dxf>
    <dxf>
      <font>
        <color theme="1"/>
      </font>
      <fill>
        <patternFill patternType="none">
          <bgColor auto="1"/>
        </patternFill>
      </fill>
      <border>
        <left/>
        <right/>
        <top style="thin">
          <color theme="5" tint="0.59996337778862885"/>
        </top>
        <bottom style="thin">
          <color theme="5" tint="0.59996337778862885"/>
        </bottom>
        <vertical/>
        <horizontal style="thin">
          <color theme="5" tint="0.59996337778862885"/>
        </horizontal>
      </border>
    </dxf>
    <dxf>
      <font>
        <color theme="1"/>
      </font>
      <fill>
        <patternFill>
          <bgColor theme="5" tint="0.39994506668294322"/>
        </patternFill>
      </fill>
      <border diagonalUp="0" diagonalDown="0">
        <left style="thin">
          <color theme="0"/>
        </left>
        <right style="thin">
          <color theme="0"/>
        </right>
        <top style="thick">
          <color theme="0"/>
        </top>
        <bottom style="thick">
          <color theme="5"/>
        </bottom>
        <vertical style="thick">
          <color theme="0"/>
        </vertical>
        <horizontal/>
      </border>
    </dxf>
    <dxf>
      <font>
        <color theme="0"/>
      </font>
      <fill>
        <patternFill>
          <bgColor theme="5" tint="-0.24994659260841701"/>
        </patternFill>
      </fill>
      <border>
        <top style="thin">
          <color theme="5" tint="0.59996337778862885"/>
        </top>
        <bottom style="thin">
          <color theme="5" tint="0.59996337778862885"/>
        </bottom>
        <horizontal style="thin">
          <color theme="5" tint="0.59996337778862885"/>
        </horizontal>
      </border>
    </dxf>
    <dxf>
      <font>
        <b/>
        <i val="0"/>
        <color theme="0"/>
      </font>
      <border diagonalUp="0" diagonalDown="0">
        <left/>
        <right/>
        <top/>
        <bottom style="thick">
          <color theme="0"/>
        </bottom>
        <vertical style="thick">
          <color theme="0"/>
        </vertical>
        <horizontal style="thick">
          <color theme="0"/>
        </horizontal>
      </border>
    </dxf>
    <dxf>
      <fill>
        <patternFill patternType="solid">
          <fgColor theme="5" tint="0.39994506668294322"/>
          <bgColor theme="5" tint="0.39991454817346722"/>
        </patternFill>
      </fill>
      <border diagonalUp="0" diagonalDown="0">
        <left/>
        <right/>
        <top style="thin">
          <color theme="5" tint="0.59996337778862885"/>
        </top>
        <bottom style="thick">
          <color theme="5"/>
        </bottom>
        <vertical style="thick">
          <color theme="0"/>
        </vertical>
        <horizontal style="thin">
          <color theme="5" tint="0.59996337778862885"/>
        </horizontal>
      </border>
    </dxf>
    <dxf>
      <font>
        <color theme="1"/>
      </font>
      <fill>
        <patternFill patternType="solid">
          <fgColor theme="5" tint="0.39994506668294322"/>
          <bgColor theme="5" tint="0.39991454817346722"/>
        </patternFill>
      </fill>
      <border diagonalUp="0" diagonalDown="0">
        <left/>
        <right/>
        <top style="thin">
          <color theme="5" tint="0.59996337778862885"/>
        </top>
        <bottom style="thick">
          <color theme="5"/>
        </bottom>
        <vertical style="thick">
          <color theme="0"/>
        </vertical>
        <horizontal style="thin">
          <color theme="5" tint="0.59996337778862885"/>
        </horizontal>
      </border>
    </dxf>
    <dxf>
      <font>
        <color auto="1"/>
      </font>
      <fill>
        <patternFill patternType="none">
          <bgColor auto="1"/>
        </patternFill>
      </fill>
      <border diagonalUp="0" diagonalDown="0">
        <left/>
        <right/>
        <top style="thin">
          <color theme="5" tint="0.59996337778862885"/>
        </top>
        <bottom style="thin">
          <color theme="5" tint="0.59996337778862885"/>
        </bottom>
        <vertical/>
        <horizontal style="thin">
          <color theme="5" tint="0.59996337778862885"/>
        </horizontal>
      </border>
    </dxf>
    <dxf>
      <font>
        <color auto="1"/>
      </font>
      <fill>
        <patternFill patternType="none">
          <bgColor auto="1"/>
        </patternFill>
      </fill>
      <border diagonalUp="0" diagonalDown="0">
        <left/>
        <right/>
        <top style="thin">
          <color theme="5" tint="0.59996337778862885"/>
        </top>
        <bottom style="thin">
          <color theme="5" tint="0.59996337778862885"/>
        </bottom>
        <vertical/>
        <horizontal style="thin">
          <color theme="5" tint="0.59996337778862885"/>
        </horizontal>
      </border>
    </dxf>
    <dxf>
      <fill>
        <patternFill>
          <bgColor theme="5" tint="0.79998168889431442"/>
        </patternFill>
      </fill>
      <border>
        <top style="thick">
          <color theme="0"/>
        </top>
        <bottom style="thick">
          <color theme="0"/>
        </bottom>
        <horizontal style="thick">
          <color theme="0"/>
        </horizontal>
      </border>
    </dxf>
    <dxf>
      <fill>
        <patternFill patternType="none">
          <fgColor auto="1"/>
          <bgColor auto="1"/>
        </patternFill>
      </fill>
      <border>
        <top style="thick">
          <color theme="0"/>
        </top>
        <bottom style="thick">
          <color theme="0"/>
        </bottom>
        <horizontal style="thick">
          <color theme="0"/>
        </horizontal>
      </border>
    </dxf>
    <dxf>
      <font>
        <color auto="1"/>
      </font>
      <fill>
        <patternFill>
          <fgColor theme="5" tint="0.39994506668294322"/>
          <bgColor theme="5" tint="0.39991454817346722"/>
        </patternFill>
      </fill>
      <border diagonalUp="0" diagonalDown="0">
        <left style="thin">
          <color theme="0"/>
        </left>
        <right style="thin">
          <color theme="0"/>
        </right>
        <top style="thin">
          <color theme="5" tint="0.59996337778862885"/>
        </top>
        <bottom style="thick">
          <color theme="5"/>
        </bottom>
        <vertical style="thick">
          <color theme="0"/>
        </vertical>
        <horizontal style="thin">
          <color theme="5" tint="0.59996337778862885"/>
        </horizontal>
      </border>
    </dxf>
    <dxf>
      <font>
        <color theme="0"/>
      </font>
      <fill>
        <patternFill>
          <fgColor theme="5" tint="-0.24994659260841701"/>
          <bgColor theme="5" tint="-0.24994659260841701"/>
        </patternFill>
      </fill>
      <border>
        <top style="thin">
          <color theme="5" tint="0.59996337778862885"/>
        </top>
        <bottom style="thin">
          <color theme="5" tint="0.59996337778862885"/>
        </bottom>
        <horizontal style="thin">
          <color theme="5" tint="0.59996337778862885"/>
        </horizontal>
      </border>
    </dxf>
    <dxf>
      <font>
        <b/>
        <i val="0"/>
        <color auto="1"/>
      </font>
      <border diagonalUp="0" diagonalDown="0">
        <left style="thin">
          <color theme="0"/>
        </left>
        <right/>
        <top style="thin">
          <color theme="0"/>
        </top>
        <bottom style="thin">
          <color theme="0"/>
        </bottom>
        <vertical style="thick">
          <color theme="0"/>
        </vertical>
        <horizontal style="thick">
          <color theme="0"/>
        </horizontal>
      </border>
    </dxf>
  </dxfs>
  <tableStyles count="2" defaultPivotStyle="PivotStyleLight16">
    <tableStyle name="Tabela de Faltas dos Funcionários" pivot="0" count="9" xr9:uid="{00000000-0011-0000-FFFF-FFFF00000000}">
      <tableStyleElement type="wholeTable" dxfId="1164"/>
      <tableStyleElement type="headerRow" dxfId="1163"/>
      <tableStyleElement type="totalRow" dxfId="1162"/>
      <tableStyleElement type="firstRowStripe" dxfId="1161"/>
      <tableStyleElement type="secondRowStripe" dxfId="1160"/>
      <tableStyleElement type="firstHeaderCell" dxfId="1159"/>
      <tableStyleElement type="lastHeaderCell" dxfId="1158"/>
      <tableStyleElement type="firstTotalCell" dxfId="1157"/>
      <tableStyleElement type="lastTotalCell" dxfId="1156"/>
    </tableStyle>
    <tableStyle name="Tabela de Faltas dos Funcionários 2" pivot="0" count="13" xr9:uid="{3374F2B5-EC6B-E245-A90B-F84953DFCF99}">
      <tableStyleElement type="wholeTable" dxfId="1155"/>
      <tableStyleElement type="headerRow" dxfId="1154"/>
      <tableStyleElement type="totalRow" dxfId="1153"/>
      <tableStyleElement type="firstColumn" dxfId="1152"/>
      <tableStyleElement type="lastColumn" dxfId="1151"/>
      <tableStyleElement type="firstRowStripe" dxfId="1150"/>
      <tableStyleElement type="secondRowStripe" dxfId="1149"/>
      <tableStyleElement type="firstColumnStripe" dxfId="1148"/>
      <tableStyleElement type="secondColumnStripe" dxfId="1147"/>
      <tableStyleElement type="firstHeaderCell" dxfId="1146"/>
      <tableStyleElement type="lastHeaderCell" dxfId="1145"/>
      <tableStyleElement type="firstTotalCell" dxfId="1144"/>
      <tableStyleElement type="lastTotalCell" dxfId="1143"/>
    </tableStyle>
  </tableStyles>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Janeiro" displayName="Janeiro" ref="B7:AH18" totalsRowCount="1" headerRowDxfId="1132" dataDxfId="1131" totalsRowDxfId="1130">
  <tableColumns count="33">
    <tableColumn id="1" xr3:uid="{00000000-0010-0000-0000-000001000000}" name="Diretor" totalsRowLabel="Total de afastamentos" dataDxfId="1128" totalsRowDxfId="1129" dataCellStyle="Funcionário"/>
    <tableColumn id="2" xr3:uid="{00000000-0010-0000-0000-000002000000}" name="1" totalsRowFunction="custom" dataDxfId="1126" totalsRowDxfId="1127" dataCellStyle="Total">
      <totalsRowFormula>COUNTA(C8,C10,C12,C14,C16)</totalsRowFormula>
    </tableColumn>
    <tableColumn id="3" xr3:uid="{00000000-0010-0000-0000-000003000000}" name="2" totalsRowFunction="custom" dataDxfId="1124" totalsRowDxfId="1125" dataCellStyle="Total">
      <totalsRowFormula>COUNTA(D8,D10,D12,D14,D16)</totalsRowFormula>
    </tableColumn>
    <tableColumn id="4" xr3:uid="{00000000-0010-0000-0000-000004000000}" name="3" totalsRowFunction="custom" dataDxfId="1122" totalsRowDxfId="1123" dataCellStyle="Total">
      <totalsRowFormula>COUNTA(E8,E10,E12,E14,E16)</totalsRowFormula>
    </tableColumn>
    <tableColumn id="5" xr3:uid="{00000000-0010-0000-0000-000005000000}" name="4" totalsRowFunction="custom" dataDxfId="1120" totalsRowDxfId="1121" dataCellStyle="Total">
      <totalsRowFormula>COUNTA(F8,F10,F12,F14,F16)</totalsRowFormula>
    </tableColumn>
    <tableColumn id="6" xr3:uid="{00000000-0010-0000-0000-000006000000}" name="5" totalsRowFunction="custom" dataDxfId="1118" totalsRowDxfId="1119" dataCellStyle="Total">
      <totalsRowFormula>COUNTA(G8,G10,G12,G14,G16)</totalsRowFormula>
    </tableColumn>
    <tableColumn id="7" xr3:uid="{00000000-0010-0000-0000-000007000000}" name="6" totalsRowFunction="custom" dataDxfId="1116" totalsRowDxfId="1117" dataCellStyle="Total">
      <totalsRowFormula>COUNTA(H8,H10,H12,H14,H16)</totalsRowFormula>
    </tableColumn>
    <tableColumn id="8" xr3:uid="{00000000-0010-0000-0000-000008000000}" name="7" totalsRowFunction="custom" dataDxfId="1114" totalsRowDxfId="1115" dataCellStyle="Total">
      <totalsRowFormula>COUNTA(I8,I10,I12,I14,I16)</totalsRowFormula>
    </tableColumn>
    <tableColumn id="9" xr3:uid="{00000000-0010-0000-0000-000009000000}" name="8" totalsRowFunction="custom" dataDxfId="1112" totalsRowDxfId="1113" dataCellStyle="Total">
      <totalsRowFormula>COUNTA(J8,J10,J12,J14,J16)</totalsRowFormula>
    </tableColumn>
    <tableColumn id="10" xr3:uid="{00000000-0010-0000-0000-00000A000000}" name="9" totalsRowFunction="custom" dataDxfId="1110" totalsRowDxfId="1111" dataCellStyle="Total">
      <totalsRowFormula>COUNTA(K8,K10,K12,K14,K16)</totalsRowFormula>
    </tableColumn>
    <tableColumn id="11" xr3:uid="{00000000-0010-0000-0000-00000B000000}" name="10" totalsRowFunction="custom" dataDxfId="1108" totalsRowDxfId="1109" dataCellStyle="Total">
      <totalsRowFormula>COUNTA(L8,L10,L12,L14,L16)</totalsRowFormula>
    </tableColumn>
    <tableColumn id="12" xr3:uid="{00000000-0010-0000-0000-00000C000000}" name="11" totalsRowFunction="custom" dataDxfId="1106" totalsRowDxfId="1107" dataCellStyle="Total">
      <totalsRowFormula>COUNTA(M8,M10,M12,M14,M16)</totalsRowFormula>
    </tableColumn>
    <tableColumn id="13" xr3:uid="{00000000-0010-0000-0000-00000D000000}" name="12" totalsRowFunction="custom" dataDxfId="1104" totalsRowDxfId="1105" dataCellStyle="Total">
      <totalsRowFormula>COUNTA(N8,N10,N12,N14,N16)</totalsRowFormula>
    </tableColumn>
    <tableColumn id="14" xr3:uid="{00000000-0010-0000-0000-00000E000000}" name="13" totalsRowFunction="custom" dataDxfId="1102" totalsRowDxfId="1103" dataCellStyle="Total">
      <totalsRowFormula>COUNTA(O8,O10,O12,O14,O16)</totalsRowFormula>
    </tableColumn>
    <tableColumn id="15" xr3:uid="{00000000-0010-0000-0000-00000F000000}" name="14" totalsRowFunction="custom" dataDxfId="1100" totalsRowDxfId="1101" dataCellStyle="Total">
      <totalsRowFormula>COUNTA(P8,P10,P12,P14,P16)</totalsRowFormula>
    </tableColumn>
    <tableColumn id="16" xr3:uid="{00000000-0010-0000-0000-000010000000}" name="15" totalsRowFunction="custom" dataDxfId="1098" totalsRowDxfId="1099" dataCellStyle="Total">
      <totalsRowFormula>COUNTA(Q8,Q10,Q12,Q14,Q16)</totalsRowFormula>
    </tableColumn>
    <tableColumn id="17" xr3:uid="{00000000-0010-0000-0000-000011000000}" name="16" totalsRowFunction="custom" dataDxfId="1096" totalsRowDxfId="1097" dataCellStyle="Total">
      <totalsRowFormula>COUNTA(R8,R10,R12,R14,R16)</totalsRowFormula>
    </tableColumn>
    <tableColumn id="18" xr3:uid="{00000000-0010-0000-0000-000012000000}" name="17" totalsRowFunction="custom" dataDxfId="1094" totalsRowDxfId="1095" dataCellStyle="Total">
      <totalsRowFormula>COUNTA(S8,S10,S12,S14,S16)</totalsRowFormula>
    </tableColumn>
    <tableColumn id="19" xr3:uid="{00000000-0010-0000-0000-000013000000}" name="18" totalsRowFunction="custom" dataDxfId="1092" totalsRowDxfId="1093" dataCellStyle="Total">
      <totalsRowFormula>COUNTA(T8,T10,T12,T14,T16)</totalsRowFormula>
    </tableColumn>
    <tableColumn id="20" xr3:uid="{00000000-0010-0000-0000-000014000000}" name="19" totalsRowFunction="custom" dataDxfId="1090" totalsRowDxfId="1091" dataCellStyle="Total">
      <totalsRowFormula>COUNTA(U8,U10,U12,U14,U16)</totalsRowFormula>
    </tableColumn>
    <tableColumn id="21" xr3:uid="{00000000-0010-0000-0000-000015000000}" name="20" totalsRowFunction="custom" dataDxfId="1088" totalsRowDxfId="1089" dataCellStyle="Total">
      <totalsRowFormula>COUNTA(V8,V10,V12,V14,V16)</totalsRowFormula>
    </tableColumn>
    <tableColumn id="22" xr3:uid="{00000000-0010-0000-0000-000016000000}" name="21" totalsRowFunction="custom" dataDxfId="1086" totalsRowDxfId="1087" dataCellStyle="Total">
      <totalsRowFormula>COUNTA(W8,W10,W12,W14,W16)</totalsRowFormula>
    </tableColumn>
    <tableColumn id="23" xr3:uid="{00000000-0010-0000-0000-000017000000}" name="22" totalsRowFunction="custom" dataDxfId="1084" totalsRowDxfId="1085" dataCellStyle="Total">
      <totalsRowFormula>COUNTA(X8,X10,X12,X14,X16)</totalsRowFormula>
    </tableColumn>
    <tableColumn id="24" xr3:uid="{00000000-0010-0000-0000-000018000000}" name="23" totalsRowFunction="custom" dataDxfId="1082" totalsRowDxfId="1083" dataCellStyle="Total">
      <totalsRowFormula>COUNTA(Y8,Y10,Y12,Y14,Y16)</totalsRowFormula>
    </tableColumn>
    <tableColumn id="25" xr3:uid="{00000000-0010-0000-0000-000019000000}" name="24" totalsRowFunction="custom" dataDxfId="1080" totalsRowDxfId="1081" dataCellStyle="Total">
      <totalsRowFormula>COUNTA(Z8,Z10,Z12,Z14,Z16)</totalsRowFormula>
    </tableColumn>
    <tableColumn id="26" xr3:uid="{00000000-0010-0000-0000-00001A000000}" name="25" totalsRowFunction="custom" dataDxfId="1078" totalsRowDxfId="1079" dataCellStyle="Total">
      <totalsRowFormula>COUNTA(AA8,AA10,AA12,AA14,AA16)</totalsRowFormula>
    </tableColumn>
    <tableColumn id="27" xr3:uid="{00000000-0010-0000-0000-00001B000000}" name="26" totalsRowFunction="custom" dataDxfId="1076" totalsRowDxfId="1077" dataCellStyle="Total">
      <totalsRowFormula>COUNTA(AB8,AB10,AB12,AB14,AB16)</totalsRowFormula>
    </tableColumn>
    <tableColumn id="28" xr3:uid="{00000000-0010-0000-0000-00001C000000}" name="27" totalsRowFunction="custom" dataDxfId="1074" totalsRowDxfId="1075" dataCellStyle="Total">
      <totalsRowFormula>COUNTA(AC8,AC10,AC12,AC14,AC16)</totalsRowFormula>
    </tableColumn>
    <tableColumn id="29" xr3:uid="{00000000-0010-0000-0000-00001D000000}" name="28" totalsRowFunction="custom" dataDxfId="1072" totalsRowDxfId="1073" dataCellStyle="Total">
      <totalsRowFormula>COUNTA(AD8,AD10,AD12,AD14,AD16)</totalsRowFormula>
    </tableColumn>
    <tableColumn id="30" xr3:uid="{00000000-0010-0000-0000-00001E000000}" name="29" totalsRowFunction="custom" dataDxfId="1070" totalsRowDxfId="1071" dataCellStyle="Total">
      <totalsRowFormula>COUNTA(AE8,AE10,AE12,AE14,AE16)</totalsRowFormula>
    </tableColumn>
    <tableColumn id="31" xr3:uid="{00000000-0010-0000-0000-00001F000000}" name="30" totalsRowFunction="custom" dataDxfId="1068" totalsRowDxfId="1069" dataCellStyle="Total">
      <totalsRowFormula>COUNTA(AF8,AF10,AF12,AF14,AF16)</totalsRowFormula>
    </tableColumn>
    <tableColumn id="32" xr3:uid="{00000000-0010-0000-0000-000020000000}" name="31" totalsRowFunction="custom" dataDxfId="1066" totalsRowDxfId="1067" dataCellStyle="Total">
      <totalsRowFormula>COUNTA(AG8,AG10,AG12,AG14,AG16)</totalsRowFormula>
    </tableColumn>
    <tableColumn id="33" xr3:uid="{00000000-0010-0000-0000-000021000000}" name="Total de dias" dataDxfId="1064" totalsRowDxfId="1065" dataCellStyle="Total">
      <calculatedColumnFormula>COUNTA(Janeiro!$C8:$AG8)</calculatedColumnFormula>
    </tableColumn>
  </tableColumns>
  <tableStyleInfo name="Tabela de Faltas dos Funcionários" showFirstColumn="1" showLastColumn="1" showRowStripes="1" showColumnStripes="0"/>
  <extLst>
    <ext xmlns:x14="http://schemas.microsoft.com/office/spreadsheetml/2009/9/main" uri="{504A1905-F514-4f6f-8877-14C23A59335A}">
      <x14:table altTextSummary="Forneça os nomes dos funcionários e as datas de falta. Registre o tipo de falta de acordo com a chave na linha 12: F=Férias, L=Licença médica, P=Pessoal e dois espaços reservados para entradas personalizada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evereiro" displayName="Fevereiro" ref="B7:AF18" totalsRowCount="1" headerRowDxfId="1044" dataDxfId="1043" totalsRowDxfId="1042">
  <tableColumns count="31">
    <tableColumn id="1" xr3:uid="{00000000-0010-0000-0100-000001000000}" name="Diretor" totalsRowLabel="Total de afastamentos" dataDxfId="1040" totalsRowDxfId="1041" dataCellStyle="Funcionário"/>
    <tableColumn id="2" xr3:uid="{00000000-0010-0000-0100-000002000000}" name="1" totalsRowFunction="custom" dataDxfId="1038" totalsRowDxfId="1039" dataCellStyle="Total">
      <totalsRowFormula>COUNTA(C8,C10,C12,C14,C16)</totalsRowFormula>
    </tableColumn>
    <tableColumn id="3" xr3:uid="{00000000-0010-0000-0100-000003000000}" name="2" totalsRowFunction="custom" dataDxfId="1036" totalsRowDxfId="1037" dataCellStyle="Total">
      <totalsRowFormula>COUNTA(D8,D10,D12,D14,D16)</totalsRowFormula>
    </tableColumn>
    <tableColumn id="4" xr3:uid="{00000000-0010-0000-0100-000004000000}" name="3" totalsRowFunction="custom" dataDxfId="1034" totalsRowDxfId="1035" dataCellStyle="Total">
      <totalsRowFormula>COUNTA(E8,E10,E12,E14,E16)</totalsRowFormula>
    </tableColumn>
    <tableColumn id="5" xr3:uid="{00000000-0010-0000-0100-000005000000}" name="4" totalsRowFunction="custom" dataDxfId="1032" totalsRowDxfId="1033" dataCellStyle="Total">
      <totalsRowFormula>COUNTA(F8,F10,F12,F14,F16)</totalsRowFormula>
    </tableColumn>
    <tableColumn id="6" xr3:uid="{00000000-0010-0000-0100-000006000000}" name="5" totalsRowFunction="custom" dataDxfId="1030" totalsRowDxfId="1031" dataCellStyle="Total">
      <totalsRowFormula>COUNTA(G8,G10,G12,G14,G16)</totalsRowFormula>
    </tableColumn>
    <tableColumn id="7" xr3:uid="{00000000-0010-0000-0100-000007000000}" name="6" totalsRowFunction="custom" dataDxfId="1028" totalsRowDxfId="1029" dataCellStyle="Total">
      <totalsRowFormula>COUNTA(H8,H10,H12,H14,H16)</totalsRowFormula>
    </tableColumn>
    <tableColumn id="8" xr3:uid="{00000000-0010-0000-0100-000008000000}" name="7" totalsRowFunction="custom" dataDxfId="1026" totalsRowDxfId="1027" dataCellStyle="Total">
      <totalsRowFormula>COUNTA(I8,I10,I12,I14,I16)</totalsRowFormula>
    </tableColumn>
    <tableColumn id="9" xr3:uid="{00000000-0010-0000-0100-000009000000}" name="8" totalsRowFunction="custom" dataDxfId="1024" totalsRowDxfId="1025" dataCellStyle="Total">
      <totalsRowFormula>COUNTA(J8,J10,J12,J14,J16)</totalsRowFormula>
    </tableColumn>
    <tableColumn id="10" xr3:uid="{00000000-0010-0000-0100-00000A000000}" name="9" totalsRowFunction="custom" dataDxfId="1022" totalsRowDxfId="1023" dataCellStyle="Total">
      <totalsRowFormula>COUNTA(K8,K10,K12,K14,K16)</totalsRowFormula>
    </tableColumn>
    <tableColumn id="11" xr3:uid="{00000000-0010-0000-0100-00000B000000}" name="10" totalsRowFunction="custom" dataDxfId="1020" totalsRowDxfId="1021" dataCellStyle="Total">
      <totalsRowFormula>COUNTA(L8,L10,L12,L14,L16)</totalsRowFormula>
    </tableColumn>
    <tableColumn id="12" xr3:uid="{00000000-0010-0000-0100-00000C000000}" name="11" totalsRowFunction="custom" dataDxfId="1018" totalsRowDxfId="1019" dataCellStyle="Total">
      <totalsRowFormula>COUNTA(M8,M10,M12,M14,M16)</totalsRowFormula>
    </tableColumn>
    <tableColumn id="13" xr3:uid="{00000000-0010-0000-0100-00000D000000}" name="12" totalsRowFunction="custom" dataDxfId="1016" totalsRowDxfId="1017" dataCellStyle="Total">
      <totalsRowFormula>COUNTA(N8,N10,N12,N14,N16)</totalsRowFormula>
    </tableColumn>
    <tableColumn id="14" xr3:uid="{00000000-0010-0000-0100-00000E000000}" name="13" totalsRowFunction="custom" dataDxfId="1014" totalsRowDxfId="1015" dataCellStyle="Total">
      <totalsRowFormula>COUNTA(O8,O10,O12,O14,O16)</totalsRowFormula>
    </tableColumn>
    <tableColumn id="15" xr3:uid="{00000000-0010-0000-0100-00000F000000}" name="14" totalsRowFunction="custom" dataDxfId="1012" totalsRowDxfId="1013" dataCellStyle="Total">
      <totalsRowFormula>COUNTA(P8,P10,P12,P14,P16)</totalsRowFormula>
    </tableColumn>
    <tableColumn id="16" xr3:uid="{00000000-0010-0000-0100-000010000000}" name="15" totalsRowFunction="custom" dataDxfId="1010" totalsRowDxfId="1011" dataCellStyle="Total">
      <totalsRowFormula>COUNTA(Q8,Q10,Q12,Q14,Q16)</totalsRowFormula>
    </tableColumn>
    <tableColumn id="17" xr3:uid="{00000000-0010-0000-0100-000011000000}" name="16" totalsRowFunction="custom" dataDxfId="1008" totalsRowDxfId="1009" dataCellStyle="Total">
      <totalsRowFormula>COUNTA(R8,R10,R12,R14,R16)</totalsRowFormula>
    </tableColumn>
    <tableColumn id="18" xr3:uid="{00000000-0010-0000-0100-000012000000}" name="17" totalsRowFunction="custom" dataDxfId="1006" totalsRowDxfId="1007" dataCellStyle="Total">
      <totalsRowFormula>COUNTA(S8,S10,S12,S14,S16)</totalsRowFormula>
    </tableColumn>
    <tableColumn id="19" xr3:uid="{00000000-0010-0000-0100-000013000000}" name="18" totalsRowFunction="custom" dataDxfId="1004" totalsRowDxfId="1005" dataCellStyle="Total">
      <totalsRowFormula>COUNTA(T8,T10,T12,T14,T16)</totalsRowFormula>
    </tableColumn>
    <tableColumn id="20" xr3:uid="{00000000-0010-0000-0100-000014000000}" name="19" totalsRowFunction="custom" dataDxfId="1002" totalsRowDxfId="1003" dataCellStyle="Total">
      <totalsRowFormula>COUNTA(U8,U10,U12,U14,U16)</totalsRowFormula>
    </tableColumn>
    <tableColumn id="21" xr3:uid="{00000000-0010-0000-0100-000015000000}" name="20" totalsRowFunction="custom" dataDxfId="1000" totalsRowDxfId="1001" dataCellStyle="Total">
      <totalsRowFormula>COUNTA(V8,V10,V12,V14,V16)</totalsRowFormula>
    </tableColumn>
    <tableColumn id="22" xr3:uid="{00000000-0010-0000-0100-000016000000}" name="21" totalsRowFunction="custom" dataDxfId="998" totalsRowDxfId="999" dataCellStyle="Total">
      <totalsRowFormula>COUNTA(W8,W10,W12,W14,W16)</totalsRowFormula>
    </tableColumn>
    <tableColumn id="23" xr3:uid="{00000000-0010-0000-0100-000017000000}" name="22" totalsRowFunction="custom" dataDxfId="996" totalsRowDxfId="997" dataCellStyle="Total">
      <totalsRowFormula>COUNTA(X8,X10,X12,X14,X16)</totalsRowFormula>
    </tableColumn>
    <tableColumn id="24" xr3:uid="{00000000-0010-0000-0100-000018000000}" name="23" totalsRowFunction="custom" dataDxfId="994" totalsRowDxfId="995" dataCellStyle="Total">
      <totalsRowFormula>COUNTA(Y8,Y10,Y12,Y14,Y16)</totalsRowFormula>
    </tableColumn>
    <tableColumn id="25" xr3:uid="{00000000-0010-0000-0100-000019000000}" name="24" totalsRowFunction="custom" dataDxfId="992" totalsRowDxfId="993" dataCellStyle="Total">
      <totalsRowFormula>COUNTA(Z8,Z10,Z12,Z14,Z16)</totalsRowFormula>
    </tableColumn>
    <tableColumn id="26" xr3:uid="{00000000-0010-0000-0100-00001A000000}" name="25" totalsRowFunction="custom" dataDxfId="990" totalsRowDxfId="991" dataCellStyle="Total">
      <totalsRowFormula>COUNTA(AA8,AA10,AA12,AA14,AA16)</totalsRowFormula>
    </tableColumn>
    <tableColumn id="27" xr3:uid="{00000000-0010-0000-0100-00001B000000}" name="26" totalsRowFunction="custom" dataDxfId="988" totalsRowDxfId="989" dataCellStyle="Total">
      <totalsRowFormula>COUNTA(AB8,AB10,AB12,AB14,AB16)</totalsRowFormula>
    </tableColumn>
    <tableColumn id="28" xr3:uid="{00000000-0010-0000-0100-00001C000000}" name="27" totalsRowFunction="custom" dataDxfId="986" totalsRowDxfId="987" dataCellStyle="Total">
      <totalsRowFormula>COUNTA(AC8,AC10,AC12,AC14,AC16)</totalsRowFormula>
    </tableColumn>
    <tableColumn id="29" xr3:uid="{00000000-0010-0000-0100-00001D000000}" name="28" totalsRowFunction="custom" dataDxfId="984" totalsRowDxfId="985" dataCellStyle="Total">
      <totalsRowFormula>COUNTA(AD8,AD10,AD12,AD14,AD16)</totalsRowFormula>
    </tableColumn>
    <tableColumn id="30" xr3:uid="{00000000-0010-0000-0100-00001E000000}" name="29" totalsRowFunction="custom" dataDxfId="982" totalsRowDxfId="983" dataCellStyle="Total">
      <totalsRowFormula>COUNTA(AE8,AE10,AE12,AE14,AE16)</totalsRowFormula>
    </tableColumn>
    <tableColumn id="33" xr3:uid="{00000000-0010-0000-0100-000021000000}" name="Total de dias" dataDxfId="980" totalsRowDxfId="981" dataCellStyle="Total">
      <calculatedColumnFormula>COUNTA(Fevereiro[[#This Row],[1]:[29]])</calculatedColumnFormula>
    </tableColumn>
  </tableColumns>
  <tableStyleInfo name="Tabela de Faltas dos Funcionários" showFirstColumn="1" showLastColumn="1" showRowStripes="1" showColumnStripes="0"/>
  <extLst>
    <ext xmlns:x14="http://schemas.microsoft.com/office/spreadsheetml/2009/9/main" uri="{504A1905-F514-4f6f-8877-14C23A59335A}">
      <x14:table altTextSummary="Forneça os nomes dos funcionários e as datas de falta. Registre o tipo de falta de acordo com a chave na linha 12: F=Férias, L=Licença médica, P=Pessoal e dois espaços reservados para entradas personalizada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2000000}" name="Março" displayName="Março" ref="B7:AH18" totalsRowCount="1" headerRowDxfId="945" dataDxfId="944" totalsRowDxfId="943">
  <tableColumns count="33">
    <tableColumn id="1" xr3:uid="{00000000-0010-0000-0200-000001000000}" name="Diretor" totalsRowLabel="Total de afastamentos" dataDxfId="941" totalsRowDxfId="942" dataCellStyle="Funcionário"/>
    <tableColumn id="2" xr3:uid="{00000000-0010-0000-0200-000002000000}" name="1" totalsRowFunction="custom" dataDxfId="939" totalsRowDxfId="940">
      <totalsRowFormula>COUNTA(C8,C10,C12,C14,C16)</totalsRowFormula>
    </tableColumn>
    <tableColumn id="3" xr3:uid="{00000000-0010-0000-0200-000003000000}" name="2" totalsRowFunction="custom" dataDxfId="937" totalsRowDxfId="938">
      <totalsRowFormula>COUNTA(D8,D10,D12,D14,D16)</totalsRowFormula>
    </tableColumn>
    <tableColumn id="4" xr3:uid="{00000000-0010-0000-0200-000004000000}" name="3" totalsRowFunction="custom" dataDxfId="935" totalsRowDxfId="936">
      <totalsRowFormula>COUNTA(E8,E10,E12,E14,E16)</totalsRowFormula>
    </tableColumn>
    <tableColumn id="5" xr3:uid="{00000000-0010-0000-0200-000005000000}" name="4" totalsRowFunction="custom" dataDxfId="933" totalsRowDxfId="934">
      <totalsRowFormula>COUNTA(F8,F10,F12,F14,F16)</totalsRowFormula>
    </tableColumn>
    <tableColumn id="6" xr3:uid="{00000000-0010-0000-0200-000006000000}" name="5" totalsRowFunction="custom" dataDxfId="931" totalsRowDxfId="932">
      <totalsRowFormula>COUNTA(G8,G10,G12,G14,G16)</totalsRowFormula>
    </tableColumn>
    <tableColumn id="7" xr3:uid="{00000000-0010-0000-0200-000007000000}" name="6" totalsRowFunction="custom" dataDxfId="929" totalsRowDxfId="930">
      <totalsRowFormula>COUNTA(H8,H10,H12,H14,H16)</totalsRowFormula>
    </tableColumn>
    <tableColumn id="8" xr3:uid="{00000000-0010-0000-0200-000008000000}" name="7" totalsRowFunction="custom" dataDxfId="927" totalsRowDxfId="928">
      <totalsRowFormula>COUNTA(I8,I10,I12,I14,I16)</totalsRowFormula>
    </tableColumn>
    <tableColumn id="9" xr3:uid="{00000000-0010-0000-0200-000009000000}" name="8" totalsRowFunction="custom" dataDxfId="925" totalsRowDxfId="926">
      <totalsRowFormula>COUNTA(J8,J10,J12,J14,J16)</totalsRowFormula>
    </tableColumn>
    <tableColumn id="10" xr3:uid="{00000000-0010-0000-0200-00000A000000}" name="9" totalsRowFunction="custom" dataDxfId="923" totalsRowDxfId="924">
      <totalsRowFormula>COUNTA(K8,K10,K12,K14,K16)</totalsRowFormula>
    </tableColumn>
    <tableColumn id="11" xr3:uid="{00000000-0010-0000-0200-00000B000000}" name="10" totalsRowFunction="custom" dataDxfId="921" totalsRowDxfId="922">
      <totalsRowFormula>COUNTA(L8,L10,L12,L14,L16)</totalsRowFormula>
    </tableColumn>
    <tableColumn id="12" xr3:uid="{00000000-0010-0000-0200-00000C000000}" name="11" totalsRowFunction="custom" dataDxfId="919" totalsRowDxfId="920">
      <totalsRowFormula>COUNTA(M8,M10,M12,M14,M16)</totalsRowFormula>
    </tableColumn>
    <tableColumn id="13" xr3:uid="{00000000-0010-0000-0200-00000D000000}" name="12" totalsRowFunction="custom" dataDxfId="917" totalsRowDxfId="918">
      <totalsRowFormula>COUNTA(N8,N10,N12,N14,N16)</totalsRowFormula>
    </tableColumn>
    <tableColumn id="14" xr3:uid="{00000000-0010-0000-0200-00000E000000}" name="13" totalsRowFunction="custom" dataDxfId="915" totalsRowDxfId="916">
      <totalsRowFormula>COUNTA(O8,O10,O12,O14,O16)</totalsRowFormula>
    </tableColumn>
    <tableColumn id="15" xr3:uid="{00000000-0010-0000-0200-00000F000000}" name="14" totalsRowFunction="custom" dataDxfId="913" totalsRowDxfId="914">
      <totalsRowFormula>COUNTA(P8,P10,P12,P14,P16)</totalsRowFormula>
    </tableColumn>
    <tableColumn id="16" xr3:uid="{00000000-0010-0000-0200-000010000000}" name="15" totalsRowFunction="custom" dataDxfId="911" totalsRowDxfId="912">
      <totalsRowFormula>COUNTA(Q8,Q10,Q12,Q14,Q16)</totalsRowFormula>
    </tableColumn>
    <tableColumn id="17" xr3:uid="{00000000-0010-0000-0200-000011000000}" name="16" totalsRowFunction="custom" dataDxfId="909" totalsRowDxfId="910">
      <totalsRowFormula>COUNTA(R8,R10,R12,R14,R16)</totalsRowFormula>
    </tableColumn>
    <tableColumn id="18" xr3:uid="{00000000-0010-0000-0200-000012000000}" name="17" totalsRowFunction="custom" dataDxfId="907" totalsRowDxfId="908">
      <totalsRowFormula>COUNTA(S8,S10,S12,S14,S16)</totalsRowFormula>
    </tableColumn>
    <tableColumn id="19" xr3:uid="{00000000-0010-0000-0200-000013000000}" name="18" totalsRowFunction="custom" dataDxfId="905" totalsRowDxfId="906">
      <totalsRowFormula>COUNTA(T8,T10,T12,T14,T16)</totalsRowFormula>
    </tableColumn>
    <tableColumn id="20" xr3:uid="{00000000-0010-0000-0200-000014000000}" name="19" totalsRowFunction="custom" dataDxfId="903" totalsRowDxfId="904">
      <totalsRowFormula>COUNTA(U8,U10,U12,U14,U16)</totalsRowFormula>
    </tableColumn>
    <tableColumn id="21" xr3:uid="{00000000-0010-0000-0200-000015000000}" name="20" totalsRowFunction="custom" dataDxfId="901" totalsRowDxfId="902">
      <totalsRowFormula>COUNTA(V8,V10,V12,V14,V16)</totalsRowFormula>
    </tableColumn>
    <tableColumn id="22" xr3:uid="{00000000-0010-0000-0200-000016000000}" name="21" totalsRowFunction="custom" dataDxfId="899" totalsRowDxfId="900">
      <totalsRowFormula>COUNTA(W8,W10,W12,W14,W16)</totalsRowFormula>
    </tableColumn>
    <tableColumn id="23" xr3:uid="{00000000-0010-0000-0200-000017000000}" name="22" totalsRowFunction="custom" dataDxfId="897" totalsRowDxfId="898">
      <totalsRowFormula>COUNTA(X8,X10,X12,X14,X16)</totalsRowFormula>
    </tableColumn>
    <tableColumn id="24" xr3:uid="{00000000-0010-0000-0200-000018000000}" name="23" totalsRowFunction="custom" dataDxfId="895" totalsRowDxfId="896">
      <totalsRowFormula>COUNTA(Y8,Y10,Y12,Y14,Y16)</totalsRowFormula>
    </tableColumn>
    <tableColumn id="25" xr3:uid="{00000000-0010-0000-0200-000019000000}" name="24" totalsRowFunction="custom" dataDxfId="893" totalsRowDxfId="894">
      <totalsRowFormula>COUNTA(Z8,Z10,Z12,Z14,Z16)</totalsRowFormula>
    </tableColumn>
    <tableColumn id="26" xr3:uid="{00000000-0010-0000-0200-00001A000000}" name="25" totalsRowFunction="custom" dataDxfId="891" totalsRowDxfId="892">
      <totalsRowFormula>COUNTA(AA8,AA10,AA12,AA14,AA16)</totalsRowFormula>
    </tableColumn>
    <tableColumn id="27" xr3:uid="{00000000-0010-0000-0200-00001B000000}" name="26" totalsRowFunction="custom" dataDxfId="889" totalsRowDxfId="890">
      <totalsRowFormula>COUNTA(AB8,AB10,AB12,AB14,AB16)</totalsRowFormula>
    </tableColumn>
    <tableColumn id="28" xr3:uid="{00000000-0010-0000-0200-00001C000000}" name="27" totalsRowFunction="custom" dataDxfId="887" totalsRowDxfId="888">
      <totalsRowFormula>COUNTA(AC8,AC10,AC12,AC14,AC16)</totalsRowFormula>
    </tableColumn>
    <tableColumn id="29" xr3:uid="{00000000-0010-0000-0200-00001D000000}" name="28" totalsRowFunction="custom" dataDxfId="885" totalsRowDxfId="886">
      <totalsRowFormula>COUNTA(AD8,AD10,AD12,AD14,AD16)</totalsRowFormula>
    </tableColumn>
    <tableColumn id="30" xr3:uid="{00000000-0010-0000-0200-00001E000000}" name="29" totalsRowFunction="custom" dataDxfId="883" totalsRowDxfId="884">
      <totalsRowFormula>COUNTA(AE8,AE10,AE12,AE14,AE16)</totalsRowFormula>
    </tableColumn>
    <tableColumn id="31" xr3:uid="{00000000-0010-0000-0200-00001F000000}" name="30" totalsRowFunction="custom" dataDxfId="881" totalsRowDxfId="882">
      <totalsRowFormula>COUNTA(AF8,AF10,AF12,AF14,AF16)</totalsRowFormula>
    </tableColumn>
    <tableColumn id="32" xr3:uid="{00000000-0010-0000-0200-000020000000}" name="31" totalsRowFunction="custom" dataDxfId="879" totalsRowDxfId="880" dataCellStyle="Total">
      <totalsRowFormula>COUNTA(AG8,AG10,AG12,AG14,AG16)</totalsRowFormula>
    </tableColumn>
    <tableColumn id="33" xr3:uid="{00000000-0010-0000-0200-000021000000}" name="Total de dias" totalsRowFunction="sum" dataDxfId="877" totalsRowDxfId="878" dataCellStyle="Total">
      <calculatedColumnFormula>COUNTA(Março[[#This Row],[1]:[31]])</calculatedColumnFormula>
    </tableColumn>
  </tableColumns>
  <tableStyleInfo name="Tabela de Faltas dos Funcionários" showFirstColumn="1" showLastColumn="1" showRowStripes="1" showColumnStripes="0"/>
  <extLst>
    <ext xmlns:x14="http://schemas.microsoft.com/office/spreadsheetml/2009/9/main" uri="{504A1905-F514-4f6f-8877-14C23A59335A}">
      <x14:table altTextSummary="Forneça os nomes dos funcionários e as datas de falta. Registre o tipo de falta de acordo com a chave na linha 12: F=Férias, L=Licença médica, P=Pessoal e dois espaços reservados para entradas personalizada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0214BC2-F1A9-794B-922E-B532EC6BBFDF}" name="March5" displayName="March5" ref="B7:AG18" totalsRowCount="1" headerRowDxfId="833" dataDxfId="832" totalsRowDxfId="831">
  <tableColumns count="32">
    <tableColumn id="1" xr3:uid="{5251F992-E710-C643-B160-C37BB2131D31}" name="Diretor" totalsRowLabel="Total de afastamentos" dataDxfId="829" totalsRowDxfId="830" dataCellStyle="Funcionário"/>
    <tableColumn id="2" xr3:uid="{9AEC3AA3-9F0E-4B4E-A8ED-026BAE9C428F}" name="1" totalsRowFunction="custom" dataDxfId="827" totalsRowDxfId="828">
      <totalsRowFormula>COUNTA(C8,C10,C12,C14,C16)</totalsRowFormula>
    </tableColumn>
    <tableColumn id="3" xr3:uid="{55750F7A-05DD-CB41-95C5-BE1F874725AE}" name="2" totalsRowFunction="custom" dataDxfId="825" totalsRowDxfId="826">
      <totalsRowFormula>COUNTA(D8,D10,D12,D14,D16)</totalsRowFormula>
    </tableColumn>
    <tableColumn id="4" xr3:uid="{259912E4-C37B-5145-B99B-93F989E18A49}" name="3" totalsRowFunction="custom" dataDxfId="823" totalsRowDxfId="824">
      <totalsRowFormula>COUNTA(E8,E10,E12,E14,E16)</totalsRowFormula>
    </tableColumn>
    <tableColumn id="5" xr3:uid="{44743504-4BFF-3B46-87DE-A0AE5C8C9FC0}" name="4" totalsRowFunction="custom" dataDxfId="821" totalsRowDxfId="822">
      <totalsRowFormula>COUNTA(F8,F10,F12,F14,F16)</totalsRowFormula>
    </tableColumn>
    <tableColumn id="6" xr3:uid="{471BE969-F222-D642-8D1A-B386CCC29AB2}" name="5" totalsRowFunction="custom" dataDxfId="819" totalsRowDxfId="820">
      <totalsRowFormula>COUNTA(G8,G10,G12,G14,G16)</totalsRowFormula>
    </tableColumn>
    <tableColumn id="7" xr3:uid="{35FEC3F2-5280-D342-A070-AB9A3C3BCF0A}" name="6" totalsRowFunction="custom" dataDxfId="817" totalsRowDxfId="818">
      <totalsRowFormula>COUNTA(H8,H10,H12,H14,H16)</totalsRowFormula>
    </tableColumn>
    <tableColumn id="8" xr3:uid="{D4047C63-7046-5242-9483-0BC31BD18200}" name="7" totalsRowFunction="custom" dataDxfId="815" totalsRowDxfId="816">
      <totalsRowFormula>COUNTA(I8,I10,I12,I14,I16)</totalsRowFormula>
    </tableColumn>
    <tableColumn id="9" xr3:uid="{79A2B7D0-444A-5942-9296-2BD32E471C66}" name="8" totalsRowFunction="custom" dataDxfId="813" totalsRowDxfId="814">
      <totalsRowFormula>COUNTA(J8,J10,J12,J14,J16)</totalsRowFormula>
    </tableColumn>
    <tableColumn id="10" xr3:uid="{B46D113E-7D39-5A43-BAA4-11739C4AD0C2}" name="9" totalsRowFunction="custom" dataDxfId="811" totalsRowDxfId="812">
      <totalsRowFormula>COUNTA(K8,K10,K12,K14,K16)</totalsRowFormula>
    </tableColumn>
    <tableColumn id="11" xr3:uid="{977EC8E9-AEB6-3E40-BE79-A406D4D3444D}" name="10" totalsRowFunction="custom" dataDxfId="809" totalsRowDxfId="810">
      <totalsRowFormula>COUNTA(L8,L10,L12,L14,L16)</totalsRowFormula>
    </tableColumn>
    <tableColumn id="12" xr3:uid="{42883C66-F682-394E-8D72-6C0286CB27EA}" name="11" totalsRowFunction="custom" dataDxfId="807" totalsRowDxfId="808">
      <totalsRowFormula>COUNTA(M8,M10,M12,M14,M16)</totalsRowFormula>
    </tableColumn>
    <tableColumn id="13" xr3:uid="{9A10401F-4CF0-8641-BCEB-2237315C8881}" name="12" totalsRowFunction="custom" dataDxfId="805" totalsRowDxfId="806">
      <totalsRowFormula>COUNTA(N8,N10,N12,N14,N16)</totalsRowFormula>
    </tableColumn>
    <tableColumn id="14" xr3:uid="{9C8C4D04-BE8B-FB44-9666-B515D905B2D6}" name="13" totalsRowFunction="custom" dataDxfId="803" totalsRowDxfId="804">
      <totalsRowFormula>COUNTA(O8,O10,O12,O14,O16)</totalsRowFormula>
    </tableColumn>
    <tableColumn id="15" xr3:uid="{E996717D-17EC-B048-A561-2AD987D342D0}" name="14" totalsRowFunction="custom" dataDxfId="801" totalsRowDxfId="802">
      <totalsRowFormula>COUNTA(P8,P10,P12,P14,P16)</totalsRowFormula>
    </tableColumn>
    <tableColumn id="16" xr3:uid="{3BFEBF2B-F60F-A142-86F2-75C9DC96AFDB}" name="15" totalsRowFunction="custom" dataDxfId="799" totalsRowDxfId="800">
      <totalsRowFormula>COUNTA(Q8,Q10,Q12,Q14,Q16)</totalsRowFormula>
    </tableColumn>
    <tableColumn id="17" xr3:uid="{0C97EF54-1361-BE43-8F7F-1BCE23E1AB5A}" name="16" totalsRowFunction="custom" dataDxfId="797" totalsRowDxfId="798">
      <totalsRowFormula>COUNTA(R8,R10,R12,R14,R16)</totalsRowFormula>
    </tableColumn>
    <tableColumn id="18" xr3:uid="{257791F4-E1CB-0642-BD3B-FB1B81C57DF1}" name="17" totalsRowFunction="custom" dataDxfId="795" totalsRowDxfId="796">
      <totalsRowFormula>COUNTA(S8,S10,S12,S14,S16)</totalsRowFormula>
    </tableColumn>
    <tableColumn id="19" xr3:uid="{BB7AB6EF-7B76-5946-B53A-22DB3EB1F3FC}" name="18" totalsRowFunction="custom" dataDxfId="793" totalsRowDxfId="794">
      <totalsRowFormula>COUNTA(T8,T10,T12,T14,T16)</totalsRowFormula>
    </tableColumn>
    <tableColumn id="20" xr3:uid="{85AEA6C3-1E60-234F-8E68-DD23536D850B}" name="19" totalsRowFunction="custom" dataDxfId="791" totalsRowDxfId="792">
      <totalsRowFormula>COUNTA(U8,U10,U12,U14,U16)</totalsRowFormula>
    </tableColumn>
    <tableColumn id="21" xr3:uid="{A73B9507-91D4-9B42-8C0E-1E0FB67905F8}" name="20" totalsRowFunction="custom" dataDxfId="789" totalsRowDxfId="790">
      <totalsRowFormula>COUNTA(V8,V10,V12,V14,V16)</totalsRowFormula>
    </tableColumn>
    <tableColumn id="22" xr3:uid="{5C7BDCBF-0A5A-4549-B80B-C8343893EAF7}" name="21" totalsRowFunction="custom" dataDxfId="787" totalsRowDxfId="788">
      <totalsRowFormula>COUNTA(W8,W10,W12,W14,W16)</totalsRowFormula>
    </tableColumn>
    <tableColumn id="23" xr3:uid="{EC439ECF-E0C6-5D41-9DA2-07E3E82FF691}" name="22" totalsRowFunction="custom" dataDxfId="785" totalsRowDxfId="786">
      <totalsRowFormula>COUNTA(X8,X10,X12,X14,X16)</totalsRowFormula>
    </tableColumn>
    <tableColumn id="24" xr3:uid="{97854A72-AEC9-604B-B1D4-06EC15436469}" name="23" totalsRowFunction="custom" dataDxfId="783" totalsRowDxfId="784">
      <totalsRowFormula>COUNTA(Y8,Y10,Y12,Y14,Y16)</totalsRowFormula>
    </tableColumn>
    <tableColumn id="25" xr3:uid="{F701FD79-E584-DF4B-83E9-A152532FDD15}" name="24" totalsRowFunction="custom" dataDxfId="781" totalsRowDxfId="782">
      <totalsRowFormula>COUNTA(Z8,Z10,Z12,Z14,Z16)</totalsRowFormula>
    </tableColumn>
    <tableColumn id="26" xr3:uid="{C662F6C1-F102-5942-8719-E32AD8792020}" name="25" totalsRowFunction="custom" dataDxfId="779" totalsRowDxfId="780">
      <totalsRowFormula>COUNTA(AA8,AA10,AA12,AA14,AA16)</totalsRowFormula>
    </tableColumn>
    <tableColumn id="27" xr3:uid="{50B9E2E5-9F39-0F45-AE9B-4555A77D295D}" name="26" totalsRowFunction="custom" dataDxfId="777" totalsRowDxfId="778">
      <totalsRowFormula>COUNTA(AB8,AB10,AB12,AB14,AB16)</totalsRowFormula>
    </tableColumn>
    <tableColumn id="28" xr3:uid="{3E4AF3CF-CB70-0842-B373-83CF59CBDA1D}" name="27" totalsRowFunction="custom" dataDxfId="775" totalsRowDxfId="776">
      <totalsRowFormula>COUNTA(AC8,AC10,AC12,AC14,AC16)</totalsRowFormula>
    </tableColumn>
    <tableColumn id="29" xr3:uid="{C5FCD875-31A1-4B41-AAF6-09E535D80C81}" name="28" totalsRowFunction="custom" dataDxfId="773" totalsRowDxfId="774">
      <totalsRowFormula>COUNTA(AD8,AD10,AD12,AD14,AD16)</totalsRowFormula>
    </tableColumn>
    <tableColumn id="30" xr3:uid="{84F06E67-080B-CA42-8EEC-59690B041A03}" name="29" totalsRowFunction="custom" dataDxfId="771" totalsRowDxfId="772">
      <totalsRowFormula>COUNTA(AE8,AE10,AE12,AE14,AE16)</totalsRowFormula>
    </tableColumn>
    <tableColumn id="31" xr3:uid="{284765D5-58F9-F440-84EA-ACE449176ACA}" name="30" totalsRowFunction="custom" dataDxfId="769" totalsRowDxfId="770">
      <totalsRowFormula>COUNTA(AF8,AF10,AF12,AF14,AF16)</totalsRowFormula>
    </tableColumn>
    <tableColumn id="33" xr3:uid="{0DA7656D-8525-2046-AEDA-1F40E411BD0D}" name="Total de dias" dataDxfId="767" totalsRowDxfId="768" dataCellStyle="Total">
      <calculatedColumnFormula>COUNTA(#REF!)</calculatedColumnFormula>
    </tableColumn>
  </tableColumns>
  <tableStyleInfo name="Tabela de Faltas dos Funcionários" showFirstColumn="1" showLastColumn="1" showRowStripes="1" showColumnStripes="0"/>
  <extLst>
    <ext xmlns:x14="http://schemas.microsoft.com/office/spreadsheetml/2009/9/main" uri="{504A1905-F514-4f6f-8877-14C23A59335A}">
      <x14:table altTextSummary="Forneça os nomes dos funcionários e as datas de falta. Registre o tipo de falta de acordo com a chave na linha 12: F=Férias, L=Licença médica, P=Pessoal e dois espaços reservados para entradas personalizada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E83FD69-EC79-6B43-9728-DBC90C3FDC77}" name="March58" displayName="March58" ref="B7:AH18" totalsRowCount="1" headerRowDxfId="723" dataDxfId="722" totalsRowDxfId="721">
  <tableColumns count="33">
    <tableColumn id="1" xr3:uid="{5910D0B6-76A8-1646-97A8-4AE2D1756125}" name="Diretor" totalsRowLabel="Total de afastamentos" dataDxfId="719" totalsRowDxfId="720" dataCellStyle="Funcionário"/>
    <tableColumn id="2" xr3:uid="{69C27970-12EA-0E42-AF5F-351BA83FD215}" name="1" totalsRowFunction="custom" dataDxfId="717" totalsRowDxfId="718">
      <totalsRowFormula>COUNTA(C8,C10,C12,C14,C16)</totalsRowFormula>
    </tableColumn>
    <tableColumn id="3" xr3:uid="{2DB67051-6E13-964F-86B0-B00AA9A5BFAF}" name="2" totalsRowFunction="custom" dataDxfId="715" totalsRowDxfId="716">
      <totalsRowFormula>COUNTA(D8,D10,D12,D14,D16)</totalsRowFormula>
    </tableColumn>
    <tableColumn id="4" xr3:uid="{CF201FDD-65B9-BE4B-BE51-45EFCA258036}" name="3" totalsRowFunction="custom" dataDxfId="713" totalsRowDxfId="714">
      <totalsRowFormula>COUNTA(E8,E10,E12,E14,E16)</totalsRowFormula>
    </tableColumn>
    <tableColumn id="5" xr3:uid="{E03823B4-0CCA-7D47-BCFD-4BB07A97D88C}" name="4" totalsRowFunction="custom" dataDxfId="711" totalsRowDxfId="712">
      <totalsRowFormula>COUNTA(F8,F10,F12,F14,F16)</totalsRowFormula>
    </tableColumn>
    <tableColumn id="6" xr3:uid="{5F39FD90-2520-0847-B186-6CA5B07A072F}" name="5" totalsRowFunction="custom" dataDxfId="709" totalsRowDxfId="710">
      <totalsRowFormula>COUNTA(G8,G10,G12,G14,G16)</totalsRowFormula>
    </tableColumn>
    <tableColumn id="7" xr3:uid="{D7992C25-6255-D54A-8B77-C3032B2914E8}" name="6" totalsRowFunction="custom" dataDxfId="707" totalsRowDxfId="708">
      <totalsRowFormula>COUNTA(H8,H10,H12,H14,H16)</totalsRowFormula>
    </tableColumn>
    <tableColumn id="8" xr3:uid="{161AB8A2-4451-FA40-9408-833AFFC6D7CD}" name="7" totalsRowFunction="custom" dataDxfId="705" totalsRowDxfId="706">
      <totalsRowFormula>COUNTA(I8,I10,I12,I14,I16)</totalsRowFormula>
    </tableColumn>
    <tableColumn id="9" xr3:uid="{82432B13-145C-AC4E-A84F-0C211DED3AEE}" name="8" totalsRowFunction="custom" dataDxfId="703" totalsRowDxfId="704">
      <totalsRowFormula>COUNTA(J8,J10,J12,J14,J16)</totalsRowFormula>
    </tableColumn>
    <tableColumn id="10" xr3:uid="{994E3A00-A93E-8A4C-A93F-5DF73DB59AA5}" name="9" totalsRowFunction="custom" dataDxfId="701" totalsRowDxfId="702">
      <totalsRowFormula>COUNTA(K8,K10,K12,K14,K16)</totalsRowFormula>
    </tableColumn>
    <tableColumn id="11" xr3:uid="{ADA642AC-6B5D-4749-B631-64A63466A02A}" name="10" totalsRowFunction="custom" dataDxfId="699" totalsRowDxfId="700">
      <totalsRowFormula>COUNTA(L8,L10,L12,L14,L16)</totalsRowFormula>
    </tableColumn>
    <tableColumn id="12" xr3:uid="{E1D9D052-9150-4B4A-873C-04B0C9F0EAA0}" name="11" totalsRowFunction="custom" dataDxfId="697" totalsRowDxfId="698">
      <totalsRowFormula>COUNTA(M8,M10,M12,M14,M16)</totalsRowFormula>
    </tableColumn>
    <tableColumn id="13" xr3:uid="{7804DD46-EEB3-7047-A68F-A81094B2F0E0}" name="12" totalsRowFunction="custom" dataDxfId="695" totalsRowDxfId="696">
      <totalsRowFormula>COUNTA(N8,N10,N12,N14,N16)</totalsRowFormula>
    </tableColumn>
    <tableColumn id="14" xr3:uid="{39F98B96-5BF4-7747-A3D2-F58049C2C331}" name="13" totalsRowFunction="custom" dataDxfId="693" totalsRowDxfId="694">
      <totalsRowFormula>COUNTA(O8,O10,O12,O14,O16)</totalsRowFormula>
    </tableColumn>
    <tableColumn id="15" xr3:uid="{8908FF7E-1791-CA41-8CF3-4A9F971974C3}" name="14" totalsRowFunction="custom" dataDxfId="691" totalsRowDxfId="692">
      <totalsRowFormula>COUNTA(P8,P10,P12,P14,P16)</totalsRowFormula>
    </tableColumn>
    <tableColumn id="16" xr3:uid="{773FDBBE-AB42-A546-8329-8BDAEF4D06C4}" name="15" totalsRowFunction="custom" dataDxfId="689" totalsRowDxfId="690">
      <totalsRowFormula>COUNTA(Q8,Q10,Q12,Q14,Q16)</totalsRowFormula>
    </tableColumn>
    <tableColumn id="17" xr3:uid="{01EE92EC-B490-AF40-BDB2-290F1B1C3C58}" name="16" totalsRowFunction="custom" dataDxfId="687" totalsRowDxfId="688">
      <totalsRowFormula>COUNTA(R8,R10,R12,R14,R16)</totalsRowFormula>
    </tableColumn>
    <tableColumn id="18" xr3:uid="{DF22A54C-2BE2-1340-BC66-FDDF323ABBE0}" name="17" totalsRowFunction="custom" dataDxfId="685" totalsRowDxfId="686">
      <totalsRowFormula>COUNTA(S8,S10,S12,S14,S16)</totalsRowFormula>
    </tableColumn>
    <tableColumn id="19" xr3:uid="{BB1CDCA3-E15B-8D4E-ABE5-0D5BE02A950E}" name="18" totalsRowFunction="custom" dataDxfId="683" totalsRowDxfId="684">
      <totalsRowFormula>COUNTA(T8,T10,T12,T14,T16)</totalsRowFormula>
    </tableColumn>
    <tableColumn id="20" xr3:uid="{4D5E657B-D9D2-8C4A-A4EB-E29B4B8BCF70}" name="19" totalsRowFunction="custom" dataDxfId="681" totalsRowDxfId="682">
      <totalsRowFormula>COUNTA(U8,U10,U12,U14,U16)</totalsRowFormula>
    </tableColumn>
    <tableColumn id="21" xr3:uid="{B5D1019E-86BD-A146-A976-653D87FAC02B}" name="20" totalsRowFunction="custom" dataDxfId="679" totalsRowDxfId="680">
      <totalsRowFormula>COUNTA(V8,V10,V12,V14,V16)</totalsRowFormula>
    </tableColumn>
    <tableColumn id="22" xr3:uid="{D1F7F5A1-B363-AC44-9332-4BA33D6CCEA8}" name="21" totalsRowFunction="custom" dataDxfId="677" totalsRowDxfId="678">
      <totalsRowFormula>COUNTA(W8,W10,W12,W14,W16)</totalsRowFormula>
    </tableColumn>
    <tableColumn id="23" xr3:uid="{0EEDA366-AE45-0947-A354-D1B1BEB67F28}" name="22" totalsRowFunction="custom" dataDxfId="675" totalsRowDxfId="676">
      <totalsRowFormula>COUNTA(X8,X10,X12,X14,X16)</totalsRowFormula>
    </tableColumn>
    <tableColumn id="24" xr3:uid="{8DB56569-FE6B-4249-B364-D76AC1D9BE79}" name="23" totalsRowFunction="custom" dataDxfId="673" totalsRowDxfId="674">
      <totalsRowFormula>COUNTA(Y8,Y10,Y12,Y14,Y16)</totalsRowFormula>
    </tableColumn>
    <tableColumn id="25" xr3:uid="{5BECBC0C-925A-8245-AD6D-847781A68957}" name="24" totalsRowFunction="custom" dataDxfId="671" totalsRowDxfId="672">
      <totalsRowFormula>COUNTA(Z8,Z10,Z12,Z14,Z16)</totalsRowFormula>
    </tableColumn>
    <tableColumn id="26" xr3:uid="{7D745BDB-6C53-8B4B-BA72-5FBDCB5D9CCC}" name="25" totalsRowFunction="custom" dataDxfId="669" totalsRowDxfId="670">
      <totalsRowFormula>COUNTA(AA8,AA10,AA12,AA14,AA16)</totalsRowFormula>
    </tableColumn>
    <tableColumn id="27" xr3:uid="{FA6FFB4C-5E6D-DA4E-8F87-EEC900B26695}" name="26" totalsRowFunction="custom" dataDxfId="667" totalsRowDxfId="668">
      <totalsRowFormula>COUNTA(AB8,AB10,AB12,AB14,AB16)</totalsRowFormula>
    </tableColumn>
    <tableColumn id="28" xr3:uid="{A50BDA94-D72B-C043-A8B2-E1E178EA827F}" name="27" totalsRowFunction="custom" dataDxfId="665" totalsRowDxfId="666">
      <totalsRowFormula>COUNTA(AC8,AC10,AC12,AC14,AC16)</totalsRowFormula>
    </tableColumn>
    <tableColumn id="29" xr3:uid="{D68B12D0-F485-FF42-B2E6-30EC0E2C418D}" name="28" totalsRowFunction="custom" dataDxfId="663" totalsRowDxfId="664">
      <totalsRowFormula>COUNTA(AD8,AD10,AD12,AD14,AD16)</totalsRowFormula>
    </tableColumn>
    <tableColumn id="30" xr3:uid="{695C2584-A6A5-D742-A768-02D19E90DEBC}" name="29" totalsRowFunction="custom" dataDxfId="661" totalsRowDxfId="662">
      <totalsRowFormula>COUNTA(AE8,AE10,AE12,AE14,AE16)</totalsRowFormula>
    </tableColumn>
    <tableColumn id="31" xr3:uid="{0B002160-8CE9-4B4E-A7A4-CFE8C54F8781}" name="30" totalsRowFunction="custom" dataDxfId="659" totalsRowDxfId="660">
      <totalsRowFormula>COUNTA(AF8,AF10,AF12,AF14,AF16)</totalsRowFormula>
    </tableColumn>
    <tableColumn id="32" xr3:uid="{9A241B27-F77F-9E49-9678-7978D0423F17}" name="31" totalsRowFunction="custom" dataDxfId="657" totalsRowDxfId="658" dataCellStyle="Total">
      <totalsRowFormula>COUNTA(AG8,AG10,AG12,AG14,AG16)</totalsRowFormula>
    </tableColumn>
    <tableColumn id="33" xr3:uid="{C85EB010-29D3-FD4A-9882-B705BDC3D2EF}" name="Total de dias" dataDxfId="655" totalsRowDxfId="656" dataCellStyle="Total">
      <calculatedColumnFormula>COUNTA(March58[[#This Row],[1]:[31]])</calculatedColumnFormula>
    </tableColumn>
  </tableColumns>
  <tableStyleInfo name="Tabela de Faltas dos Funcionários" showFirstColumn="1" showLastColumn="1" showRowStripes="1" showColumnStripes="0"/>
  <extLst>
    <ext xmlns:x14="http://schemas.microsoft.com/office/spreadsheetml/2009/9/main" uri="{504A1905-F514-4f6f-8877-14C23A59335A}">
      <x14:table altTextSummary="Forneça os nomes dos funcionários e as datas de falta. Registre o tipo de falta de acordo com a chave na linha 12: F=Férias, L=Licença médica, P=Pessoal e dois espaços reservados para entradas personalizadas."/>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5000000}" name="Junho" displayName="Junho" ref="B7:AG18" totalsRowCount="1" headerRowDxfId="638" dataDxfId="637" totalsRowDxfId="636">
  <tableColumns count="32">
    <tableColumn id="1" xr3:uid="{00000000-0010-0000-0500-000001000000}" name="Diretor" totalsRowLabel="Total de afastamentos" dataDxfId="634" totalsRowDxfId="635" dataCellStyle="Funcionário"/>
    <tableColumn id="2" xr3:uid="{00000000-0010-0000-0500-000002000000}" name="1" totalsRowFunction="custom" dataDxfId="632" totalsRowDxfId="633">
      <totalsRowFormula>COUNTA(C8,C10,C12,C14,C16)</totalsRowFormula>
    </tableColumn>
    <tableColumn id="3" xr3:uid="{00000000-0010-0000-0500-000003000000}" name="2" totalsRowFunction="custom" dataDxfId="630" totalsRowDxfId="631">
      <totalsRowFormula>COUNTA(D8,D10,D12,D14,D16)</totalsRowFormula>
    </tableColumn>
    <tableColumn id="4" xr3:uid="{00000000-0010-0000-0500-000004000000}" name="3" totalsRowFunction="custom" dataDxfId="628" totalsRowDxfId="629">
      <totalsRowFormula>COUNTA(E8,E10,E12,E14,E16)</totalsRowFormula>
    </tableColumn>
    <tableColumn id="5" xr3:uid="{00000000-0010-0000-0500-000005000000}" name="4" totalsRowFunction="custom" dataDxfId="626" totalsRowDxfId="627">
      <totalsRowFormula>COUNTA(F8,F10,F12,F14,F16)</totalsRowFormula>
    </tableColumn>
    <tableColumn id="6" xr3:uid="{00000000-0010-0000-0500-000006000000}" name="5" totalsRowFunction="custom" dataDxfId="624" totalsRowDxfId="625">
      <totalsRowFormula>COUNTA(G8,G10,G12,G14,G16)</totalsRowFormula>
    </tableColumn>
    <tableColumn id="7" xr3:uid="{00000000-0010-0000-0500-000007000000}" name="6" totalsRowFunction="custom" dataDxfId="622" totalsRowDxfId="623">
      <totalsRowFormula>COUNTA(H8,H10,H12,H14,H16)</totalsRowFormula>
    </tableColumn>
    <tableColumn id="8" xr3:uid="{00000000-0010-0000-0500-000008000000}" name="7" totalsRowFunction="custom" dataDxfId="620" totalsRowDxfId="621">
      <totalsRowFormula>COUNTA(I8,I10,I12,I14,I16)</totalsRowFormula>
    </tableColumn>
    <tableColumn id="9" xr3:uid="{00000000-0010-0000-0500-000009000000}" name="8" totalsRowFunction="custom" dataDxfId="618" totalsRowDxfId="619">
      <totalsRowFormula>COUNTA(J8,J10,J12,J14,J16)</totalsRowFormula>
    </tableColumn>
    <tableColumn id="10" xr3:uid="{00000000-0010-0000-0500-00000A000000}" name="9" totalsRowFunction="custom" dataDxfId="616" totalsRowDxfId="617">
      <totalsRowFormula>COUNTA(K8,K10,K12,K14,K16)</totalsRowFormula>
    </tableColumn>
    <tableColumn id="11" xr3:uid="{00000000-0010-0000-0500-00000B000000}" name="10" totalsRowFunction="custom" dataDxfId="614" totalsRowDxfId="615">
      <totalsRowFormula>COUNTA(L8,L10,L12,L14,L16)</totalsRowFormula>
    </tableColumn>
    <tableColumn id="12" xr3:uid="{00000000-0010-0000-0500-00000C000000}" name="11" totalsRowFunction="custom" dataDxfId="612" totalsRowDxfId="613">
      <totalsRowFormula>COUNTA(M8,M10,M12,M14,M16)</totalsRowFormula>
    </tableColumn>
    <tableColumn id="13" xr3:uid="{00000000-0010-0000-0500-00000D000000}" name="12" totalsRowFunction="custom" dataDxfId="610" totalsRowDxfId="611">
      <totalsRowFormula>COUNTA(N8,N10,N12,N14,N16)</totalsRowFormula>
    </tableColumn>
    <tableColumn id="14" xr3:uid="{00000000-0010-0000-0500-00000E000000}" name="13" totalsRowFunction="custom" dataDxfId="608" totalsRowDxfId="609">
      <totalsRowFormula>COUNTA(O8,O10,O12,O14,O16)</totalsRowFormula>
    </tableColumn>
    <tableColumn id="15" xr3:uid="{00000000-0010-0000-0500-00000F000000}" name="14" totalsRowFunction="custom" dataDxfId="606" totalsRowDxfId="607">
      <totalsRowFormula>COUNTA(P8,P10,P12,P14,P16)</totalsRowFormula>
    </tableColumn>
    <tableColumn id="16" xr3:uid="{00000000-0010-0000-0500-000010000000}" name="15" totalsRowFunction="custom" dataDxfId="604" totalsRowDxfId="605">
      <totalsRowFormula>COUNTA(Q8,Q10,Q12,Q14,Q16)</totalsRowFormula>
    </tableColumn>
    <tableColumn id="17" xr3:uid="{00000000-0010-0000-0500-000011000000}" name="16" totalsRowFunction="custom" dataDxfId="602" totalsRowDxfId="603">
      <totalsRowFormula>COUNTA(R8,R10,R12,R14,R16)</totalsRowFormula>
    </tableColumn>
    <tableColumn id="18" xr3:uid="{00000000-0010-0000-0500-000012000000}" name="17" totalsRowFunction="custom" dataDxfId="600" totalsRowDxfId="601">
      <totalsRowFormula>COUNTA(S8,S10,S12,S14,S16)</totalsRowFormula>
    </tableColumn>
    <tableColumn id="19" xr3:uid="{00000000-0010-0000-0500-000013000000}" name="18" totalsRowFunction="custom" dataDxfId="598" totalsRowDxfId="599">
      <totalsRowFormula>COUNTA(T8,T10,T12,T14,T16)</totalsRowFormula>
    </tableColumn>
    <tableColumn id="20" xr3:uid="{00000000-0010-0000-0500-000014000000}" name="19" totalsRowFunction="custom" dataDxfId="596" totalsRowDxfId="597">
      <totalsRowFormula>COUNTA(U8,U10,U12,U14,U16)</totalsRowFormula>
    </tableColumn>
    <tableColumn id="21" xr3:uid="{00000000-0010-0000-0500-000015000000}" name="20" totalsRowFunction="custom" dataDxfId="594" totalsRowDxfId="595">
      <totalsRowFormula>COUNTA(V8,V10,V12,V14,V16)</totalsRowFormula>
    </tableColumn>
    <tableColumn id="22" xr3:uid="{00000000-0010-0000-0500-000016000000}" name="21" totalsRowFunction="custom" dataDxfId="592" totalsRowDxfId="593">
      <totalsRowFormula>COUNTA(W8,W10,W12,W14,W16)</totalsRowFormula>
    </tableColumn>
    <tableColumn id="23" xr3:uid="{00000000-0010-0000-0500-000017000000}" name="22" totalsRowFunction="custom" dataDxfId="590" totalsRowDxfId="591">
      <totalsRowFormula>COUNTA(X8,X10,X12,X14,X16)</totalsRowFormula>
    </tableColumn>
    <tableColumn id="24" xr3:uid="{00000000-0010-0000-0500-000018000000}" name="23" totalsRowFunction="custom" dataDxfId="588" totalsRowDxfId="589">
      <totalsRowFormula>COUNTA(Y8,Y10,Y12,Y14,Y16)</totalsRowFormula>
    </tableColumn>
    <tableColumn id="25" xr3:uid="{00000000-0010-0000-0500-000019000000}" name="24" totalsRowFunction="custom" dataDxfId="586" totalsRowDxfId="587">
      <totalsRowFormula>COUNTA(Z8,Z10,Z12,Z14,Z16)</totalsRowFormula>
    </tableColumn>
    <tableColumn id="26" xr3:uid="{00000000-0010-0000-0500-00001A000000}" name="25" totalsRowFunction="custom" dataDxfId="584" totalsRowDxfId="585">
      <totalsRowFormula>COUNTA(AA8,AA10,AA12,AA14,AA16)</totalsRowFormula>
    </tableColumn>
    <tableColumn id="27" xr3:uid="{00000000-0010-0000-0500-00001B000000}" name="26" totalsRowFunction="custom" dataDxfId="582" totalsRowDxfId="583">
      <totalsRowFormula>COUNTA(AB8,AB10,AB12,AB14,AB16)</totalsRowFormula>
    </tableColumn>
    <tableColumn id="28" xr3:uid="{00000000-0010-0000-0500-00001C000000}" name="27" totalsRowFunction="custom" dataDxfId="580" totalsRowDxfId="581">
      <totalsRowFormula>COUNTA(AC8,AC10,AC12,AC14,AC16)</totalsRowFormula>
    </tableColumn>
    <tableColumn id="29" xr3:uid="{00000000-0010-0000-0500-00001D000000}" name="28" totalsRowFunction="custom" dataDxfId="578" totalsRowDxfId="579">
      <totalsRowFormula>COUNTA(AD8,AD10,AD12,AD14,AD16)</totalsRowFormula>
    </tableColumn>
    <tableColumn id="30" xr3:uid="{00000000-0010-0000-0500-00001E000000}" name="29" totalsRowFunction="custom" dataDxfId="576" totalsRowDxfId="577">
      <totalsRowFormula>COUNTA(AE8,AE10,AE12,AE14,AE16)</totalsRowFormula>
    </tableColumn>
    <tableColumn id="31" xr3:uid="{00000000-0010-0000-0500-00001F000000}" name="30" totalsRowFunction="custom" dataDxfId="574" totalsRowDxfId="575">
      <totalsRowFormula>COUNTA(AF8,AF10,AF12,AF14,AF16)</totalsRowFormula>
    </tableColumn>
    <tableColumn id="33" xr3:uid="{00000000-0010-0000-0500-000021000000}" name="Total de dias" dataDxfId="572" totalsRowDxfId="573" dataCellStyle="Total">
      <calculatedColumnFormula>COUNTA(#REF!)</calculatedColumnFormula>
    </tableColumn>
  </tableColumns>
  <tableStyleInfo name="Tabela de Faltas dos Funcionários" showFirstColumn="1" showLastColumn="1" showRowStripes="1" showColumnStripes="0"/>
  <extLst>
    <ext xmlns:x14="http://schemas.microsoft.com/office/spreadsheetml/2009/9/main" uri="{504A1905-F514-4f6f-8877-14C23A59335A}">
      <x14:table altTextSummary="Forneça os nomes dos funcionários e as datas de falta. Registre o tipo de falta de acordo com a chave na linha 12: F=Férias, L=Licença médica, P=Pessoal e dois espaços reservados para entradas personalizada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6000000}" name="Julho" displayName="Julho" ref="B7:AH18" totalsRowCount="1" headerRowDxfId="510" dataDxfId="509" totalsRowDxfId="508">
  <tableColumns count="33">
    <tableColumn id="1" xr3:uid="{00000000-0010-0000-0600-000001000000}" name="Diretor" totalsRowLabel="Total de afastamentos" dataDxfId="506" totalsRowDxfId="507" dataCellStyle="Funcionário"/>
    <tableColumn id="2" xr3:uid="{00000000-0010-0000-0600-000002000000}" name="1" totalsRowFunction="custom" dataDxfId="504" totalsRowDxfId="505">
      <totalsRowFormula>COUNTA(C8,C10,C12,C14,C16)</totalsRowFormula>
    </tableColumn>
    <tableColumn id="3" xr3:uid="{00000000-0010-0000-0600-000003000000}" name="2" totalsRowFunction="custom" dataDxfId="502" totalsRowDxfId="503">
      <totalsRowFormula>COUNTA(D8,D10,D12,D14,D16)</totalsRowFormula>
    </tableColumn>
    <tableColumn id="4" xr3:uid="{00000000-0010-0000-0600-000004000000}" name="3" totalsRowFunction="custom" dataDxfId="500" totalsRowDxfId="501">
      <totalsRowFormula>COUNTA(E8,E10,E12,E14,E16)</totalsRowFormula>
    </tableColumn>
    <tableColumn id="5" xr3:uid="{00000000-0010-0000-0600-000005000000}" name="4" totalsRowFunction="custom" dataDxfId="498" totalsRowDxfId="499">
      <totalsRowFormula>COUNTA(F8,F10,F12,F14,F16)</totalsRowFormula>
    </tableColumn>
    <tableColumn id="6" xr3:uid="{00000000-0010-0000-0600-000006000000}" name="5" totalsRowFunction="custom" dataDxfId="496" totalsRowDxfId="497">
      <totalsRowFormula>COUNTA(G8,G10,G12,G14,G16)</totalsRowFormula>
    </tableColumn>
    <tableColumn id="7" xr3:uid="{00000000-0010-0000-0600-000007000000}" name="6" totalsRowFunction="custom" dataDxfId="494" totalsRowDxfId="495">
      <totalsRowFormula>COUNTA(H8,H10,H12,H14,H16)</totalsRowFormula>
    </tableColumn>
    <tableColumn id="8" xr3:uid="{00000000-0010-0000-0600-000008000000}" name="7" totalsRowFunction="custom" dataDxfId="492" totalsRowDxfId="493">
      <totalsRowFormula>COUNTA(I8,I10,I12,I14,I16)</totalsRowFormula>
    </tableColumn>
    <tableColumn id="9" xr3:uid="{00000000-0010-0000-0600-000009000000}" name="8" totalsRowFunction="custom" dataDxfId="490" totalsRowDxfId="491">
      <totalsRowFormula>COUNTA(J8,J10,J12,J14,J16)</totalsRowFormula>
    </tableColumn>
    <tableColumn id="10" xr3:uid="{00000000-0010-0000-0600-00000A000000}" name="9" totalsRowFunction="custom" dataDxfId="488" totalsRowDxfId="489">
      <totalsRowFormula>COUNTA(K8,K10,K12,K14,K16)</totalsRowFormula>
    </tableColumn>
    <tableColumn id="11" xr3:uid="{00000000-0010-0000-0600-00000B000000}" name="10" totalsRowFunction="custom" dataDxfId="486" totalsRowDxfId="487">
      <totalsRowFormula>COUNTA(L8,L10,L12,L14,L16)</totalsRowFormula>
    </tableColumn>
    <tableColumn id="12" xr3:uid="{00000000-0010-0000-0600-00000C000000}" name="11" totalsRowFunction="custom" dataDxfId="484" totalsRowDxfId="485">
      <totalsRowFormula>COUNTA(M8,M10,M12,M14,M16)</totalsRowFormula>
    </tableColumn>
    <tableColumn id="13" xr3:uid="{00000000-0010-0000-0600-00000D000000}" name="12" totalsRowFunction="custom" dataDxfId="482" totalsRowDxfId="483">
      <totalsRowFormula>COUNTA(N8,N10,N12,N14,N16)</totalsRowFormula>
    </tableColumn>
    <tableColumn id="14" xr3:uid="{00000000-0010-0000-0600-00000E000000}" name="13" totalsRowFunction="custom" dataDxfId="480" totalsRowDxfId="481">
      <totalsRowFormula>COUNTA(O8,O10,O12,O14,O16)</totalsRowFormula>
    </tableColumn>
    <tableColumn id="15" xr3:uid="{00000000-0010-0000-0600-00000F000000}" name="14" totalsRowFunction="custom" dataDxfId="478" totalsRowDxfId="479">
      <totalsRowFormula>COUNTA(P8,P10,P12,P14,P16)</totalsRowFormula>
    </tableColumn>
    <tableColumn id="16" xr3:uid="{00000000-0010-0000-0600-000010000000}" name="15" totalsRowFunction="custom" dataDxfId="476" totalsRowDxfId="477">
      <totalsRowFormula>COUNTA(Q8,Q10,Q12,Q14,Q16)</totalsRowFormula>
    </tableColumn>
    <tableColumn id="17" xr3:uid="{00000000-0010-0000-0600-000011000000}" name="16" totalsRowFunction="custom" dataDxfId="474" totalsRowDxfId="475">
      <totalsRowFormula>COUNTA(R8,R10,R12,R14,R16)</totalsRowFormula>
    </tableColumn>
    <tableColumn id="18" xr3:uid="{00000000-0010-0000-0600-000012000000}" name="17" totalsRowFunction="custom" dataDxfId="472" totalsRowDxfId="473">
      <totalsRowFormula>COUNTA(S8,S10,S12,S14,S16)</totalsRowFormula>
    </tableColumn>
    <tableColumn id="19" xr3:uid="{00000000-0010-0000-0600-000013000000}" name="18" totalsRowFunction="custom" dataDxfId="470" totalsRowDxfId="471">
      <totalsRowFormula>COUNTA(T8,T10,T12,T14,T16)</totalsRowFormula>
    </tableColumn>
    <tableColumn id="20" xr3:uid="{00000000-0010-0000-0600-000014000000}" name="19" totalsRowFunction="custom" dataDxfId="468" totalsRowDxfId="469">
      <totalsRowFormula>COUNTA(U8,U10,U12,U14,U16)</totalsRowFormula>
    </tableColumn>
    <tableColumn id="21" xr3:uid="{00000000-0010-0000-0600-000015000000}" name="20" totalsRowFunction="custom" dataDxfId="466" totalsRowDxfId="467">
      <totalsRowFormula>COUNTA(V8,V10,V12,V14,V16)</totalsRowFormula>
    </tableColumn>
    <tableColumn id="22" xr3:uid="{00000000-0010-0000-0600-000016000000}" name="21" totalsRowFunction="custom" dataDxfId="464" totalsRowDxfId="465">
      <totalsRowFormula>COUNTA(W8,W10,W12,W14,W16)</totalsRowFormula>
    </tableColumn>
    <tableColumn id="23" xr3:uid="{00000000-0010-0000-0600-000017000000}" name="22" totalsRowFunction="custom" dataDxfId="462" totalsRowDxfId="463">
      <totalsRowFormula>COUNTA(X8,X10,X12,X14,X16)</totalsRowFormula>
    </tableColumn>
    <tableColumn id="24" xr3:uid="{00000000-0010-0000-0600-000018000000}" name="23" totalsRowFunction="custom" dataDxfId="460" totalsRowDxfId="461">
      <totalsRowFormula>COUNTA(Y8,Y10,Y12,Y14,Y16)</totalsRowFormula>
    </tableColumn>
    <tableColumn id="25" xr3:uid="{00000000-0010-0000-0600-000019000000}" name="24" totalsRowFunction="custom" dataDxfId="458" totalsRowDxfId="459">
      <totalsRowFormula>COUNTA(Z8,Z10,Z12,Z14,Z16)</totalsRowFormula>
    </tableColumn>
    <tableColumn id="26" xr3:uid="{00000000-0010-0000-0600-00001A000000}" name="25" totalsRowFunction="custom" dataDxfId="456" totalsRowDxfId="457">
      <totalsRowFormula>COUNTA(AA8,AA10,AA12,AA14,AA16)</totalsRowFormula>
    </tableColumn>
    <tableColumn id="27" xr3:uid="{00000000-0010-0000-0600-00001B000000}" name="26" totalsRowFunction="custom" dataDxfId="454" totalsRowDxfId="455">
      <totalsRowFormula>COUNTA(AB8,AB10,AB12,AB14,AB16)</totalsRowFormula>
    </tableColumn>
    <tableColumn id="28" xr3:uid="{00000000-0010-0000-0600-00001C000000}" name="27" totalsRowFunction="custom" dataDxfId="452" totalsRowDxfId="453">
      <totalsRowFormula>COUNTA(AC8,AC10,AC12,AC14,AC16)</totalsRowFormula>
    </tableColumn>
    <tableColumn id="29" xr3:uid="{00000000-0010-0000-0600-00001D000000}" name="28" totalsRowFunction="custom" dataDxfId="450" totalsRowDxfId="451">
      <totalsRowFormula>COUNTA(AD8,AD10,AD12,AD14,AD16)</totalsRowFormula>
    </tableColumn>
    <tableColumn id="30" xr3:uid="{00000000-0010-0000-0600-00001E000000}" name="29" totalsRowFunction="custom" dataDxfId="448" totalsRowDxfId="449">
      <totalsRowFormula>COUNTA(AE8,AE10,AE12,AE14,AE16)</totalsRowFormula>
    </tableColumn>
    <tableColumn id="31" xr3:uid="{00000000-0010-0000-0600-00001F000000}" name="30" totalsRowFunction="custom" dataDxfId="446" totalsRowDxfId="447">
      <totalsRowFormula>COUNTA(AF8,AF10,AF12,AF14,AF16)</totalsRowFormula>
    </tableColumn>
    <tableColumn id="32" xr3:uid="{00000000-0010-0000-0600-000020000000}" name="31" totalsRowFunction="custom" dataDxfId="444" totalsRowDxfId="445" dataCellStyle="Total">
      <totalsRowFormula>COUNTA(AG8,AG10,AG12,AG14,AG16)</totalsRowFormula>
    </tableColumn>
    <tableColumn id="33" xr3:uid="{00000000-0010-0000-0600-000021000000}" name="Total de dias" dataDxfId="442" totalsRowDxfId="443" dataCellStyle="Total">
      <calculatedColumnFormula>COUNTA(Julho[[#This Row],[1]:[31]])</calculatedColumnFormula>
    </tableColumn>
  </tableColumns>
  <tableStyleInfo name="Tabela de Faltas dos Funcionários" showFirstColumn="1" showLastColumn="1" showRowStripes="1" showColumnStripes="0"/>
  <extLst>
    <ext xmlns:x14="http://schemas.microsoft.com/office/spreadsheetml/2009/9/main" uri="{504A1905-F514-4f6f-8877-14C23A59335A}">
      <x14:table altTextSummary="Forneça os nomes dos funcionários e as datas de falta. Registre o tipo de falta de acordo com a chave na linha 12: F=Férias, L=Licença médica, P=Pessoal e dois espaços reservados para entradas personalizada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7000000}" name="Agosto" displayName="Agosto" ref="B7:AH18" totalsRowCount="1" headerRowDxfId="409" dataDxfId="408" totalsRowDxfId="407">
  <tableColumns count="33">
    <tableColumn id="1" xr3:uid="{00000000-0010-0000-0700-000001000000}" name="Diretor" totalsRowLabel="Total de afastamentos" dataDxfId="405" totalsRowDxfId="406" dataCellStyle="Funcionário"/>
    <tableColumn id="2" xr3:uid="{00000000-0010-0000-0700-000002000000}" name="1" totalsRowFunction="custom" dataDxfId="403" totalsRowDxfId="404">
      <totalsRowFormula>COUNTA(C8,C10,C12,C14,C16)</totalsRowFormula>
    </tableColumn>
    <tableColumn id="3" xr3:uid="{00000000-0010-0000-0700-000003000000}" name="2" totalsRowFunction="custom" dataDxfId="401" totalsRowDxfId="402">
      <totalsRowFormula>COUNTA(D8,D10,D12,D14,D16)</totalsRowFormula>
    </tableColumn>
    <tableColumn id="4" xr3:uid="{00000000-0010-0000-0700-000004000000}" name="3" totalsRowFunction="custom" dataDxfId="399" totalsRowDxfId="400">
      <totalsRowFormula>COUNTA(E8,E10,E12,E14,E16)</totalsRowFormula>
    </tableColumn>
    <tableColumn id="5" xr3:uid="{00000000-0010-0000-0700-000005000000}" name="4" totalsRowFunction="custom" dataDxfId="397" totalsRowDxfId="398">
      <totalsRowFormula>COUNTA(F8,F10,F12,F14,F16)</totalsRowFormula>
    </tableColumn>
    <tableColumn id="6" xr3:uid="{00000000-0010-0000-0700-000006000000}" name="5" totalsRowFunction="custom" dataDxfId="395" totalsRowDxfId="396">
      <totalsRowFormula>COUNTA(G8,G10,G12,G14,G16)</totalsRowFormula>
    </tableColumn>
    <tableColumn id="7" xr3:uid="{00000000-0010-0000-0700-000007000000}" name="6" totalsRowFunction="custom" dataDxfId="393" totalsRowDxfId="394">
      <totalsRowFormula>COUNTA(H8,H10,H12,H14,H16)</totalsRowFormula>
    </tableColumn>
    <tableColumn id="8" xr3:uid="{00000000-0010-0000-0700-000008000000}" name="7" totalsRowFunction="custom" dataDxfId="391" totalsRowDxfId="392">
      <totalsRowFormula>COUNTA(I8,I10,I12,I14,I16)</totalsRowFormula>
    </tableColumn>
    <tableColumn id="9" xr3:uid="{00000000-0010-0000-0700-000009000000}" name="8" totalsRowFunction="custom" dataDxfId="389" totalsRowDxfId="390">
      <totalsRowFormula>COUNTA(J8,J10,J12,J14,J16)</totalsRowFormula>
    </tableColumn>
    <tableColumn id="10" xr3:uid="{00000000-0010-0000-0700-00000A000000}" name="9" totalsRowFunction="custom" dataDxfId="387" totalsRowDxfId="388">
      <totalsRowFormula>COUNTA(K8,K10,K12,K14,K16)</totalsRowFormula>
    </tableColumn>
    <tableColumn id="11" xr3:uid="{00000000-0010-0000-0700-00000B000000}" name="10" totalsRowFunction="custom" dataDxfId="385" totalsRowDxfId="386">
      <totalsRowFormula>COUNTA(L8,L10,L12,L14,L16)</totalsRowFormula>
    </tableColumn>
    <tableColumn id="12" xr3:uid="{00000000-0010-0000-0700-00000C000000}" name="11" totalsRowFunction="custom" dataDxfId="383" totalsRowDxfId="384">
      <totalsRowFormula>COUNTA(M8,M10,M12,M14,M16)</totalsRowFormula>
    </tableColumn>
    <tableColumn id="13" xr3:uid="{00000000-0010-0000-0700-00000D000000}" name="12" totalsRowFunction="custom" dataDxfId="381" totalsRowDxfId="382">
      <totalsRowFormula>COUNTA(N8,N10,N12,N14,N16)</totalsRowFormula>
    </tableColumn>
    <tableColumn id="14" xr3:uid="{00000000-0010-0000-0700-00000E000000}" name="13" totalsRowFunction="custom" dataDxfId="379" totalsRowDxfId="380">
      <totalsRowFormula>COUNTA(O8,O10,O12,O14,O16)</totalsRowFormula>
    </tableColumn>
    <tableColumn id="15" xr3:uid="{00000000-0010-0000-0700-00000F000000}" name="14" totalsRowFunction="custom" dataDxfId="377" totalsRowDxfId="378">
      <totalsRowFormula>COUNTA(P8,P10,P12,P14,P16)</totalsRowFormula>
    </tableColumn>
    <tableColumn id="16" xr3:uid="{00000000-0010-0000-0700-000010000000}" name="15" totalsRowFunction="custom" dataDxfId="375" totalsRowDxfId="376">
      <totalsRowFormula>COUNTA(Q8,Q10,Q12,Q14,Q16)</totalsRowFormula>
    </tableColumn>
    <tableColumn id="17" xr3:uid="{00000000-0010-0000-0700-000011000000}" name="16" totalsRowFunction="custom" dataDxfId="373" totalsRowDxfId="374">
      <totalsRowFormula>COUNTA(R8,R10,R12,R14,R16)</totalsRowFormula>
    </tableColumn>
    <tableColumn id="18" xr3:uid="{00000000-0010-0000-0700-000012000000}" name="17" totalsRowFunction="custom" dataDxfId="371" totalsRowDxfId="372">
      <totalsRowFormula>COUNTA(S8,S10,S12,S14,S16)</totalsRowFormula>
    </tableColumn>
    <tableColumn id="19" xr3:uid="{00000000-0010-0000-0700-000013000000}" name="18" totalsRowFunction="custom" dataDxfId="369" totalsRowDxfId="370">
      <totalsRowFormula>COUNTA(T8,T10,T12,T14,T16)</totalsRowFormula>
    </tableColumn>
    <tableColumn id="20" xr3:uid="{00000000-0010-0000-0700-000014000000}" name="19" totalsRowFunction="custom" dataDxfId="367" totalsRowDxfId="368">
      <totalsRowFormula>COUNTA(U8,U10,U12,U14,U16)</totalsRowFormula>
    </tableColumn>
    <tableColumn id="21" xr3:uid="{00000000-0010-0000-0700-000015000000}" name="20" totalsRowFunction="custom" dataDxfId="365" totalsRowDxfId="366">
      <totalsRowFormula>COUNTA(V8,V10,V12,V14,V16)</totalsRowFormula>
    </tableColumn>
    <tableColumn id="22" xr3:uid="{00000000-0010-0000-0700-000016000000}" name="21" totalsRowFunction="custom" dataDxfId="363" totalsRowDxfId="364">
      <totalsRowFormula>COUNTA(W8,W10,W12,W14,W16)</totalsRowFormula>
    </tableColumn>
    <tableColumn id="23" xr3:uid="{00000000-0010-0000-0700-000017000000}" name="22" totalsRowFunction="custom" dataDxfId="361" totalsRowDxfId="362">
      <totalsRowFormula>COUNTA(X8,X10,X12,X14,X16)</totalsRowFormula>
    </tableColumn>
    <tableColumn id="24" xr3:uid="{00000000-0010-0000-0700-000018000000}" name="23" totalsRowFunction="custom" dataDxfId="359" totalsRowDxfId="360">
      <totalsRowFormula>COUNTA(Y8,Y10,Y12,Y14,Y16)</totalsRowFormula>
    </tableColumn>
    <tableColumn id="25" xr3:uid="{00000000-0010-0000-0700-000019000000}" name="24" totalsRowFunction="custom" dataDxfId="357" totalsRowDxfId="358">
      <totalsRowFormula>COUNTA(Z8,Z10,Z12,Z14,Z16)</totalsRowFormula>
    </tableColumn>
    <tableColumn id="26" xr3:uid="{00000000-0010-0000-0700-00001A000000}" name="25" totalsRowFunction="custom" dataDxfId="355" totalsRowDxfId="356">
      <totalsRowFormula>COUNTA(AA8,AA10,AA12,AA14,AA16)</totalsRowFormula>
    </tableColumn>
    <tableColumn id="27" xr3:uid="{00000000-0010-0000-0700-00001B000000}" name="26" totalsRowFunction="custom" dataDxfId="353" totalsRowDxfId="354">
      <totalsRowFormula>COUNTA(AB8,AB10,AB12,AB14,AB16)</totalsRowFormula>
    </tableColumn>
    <tableColumn id="28" xr3:uid="{00000000-0010-0000-0700-00001C000000}" name="27" totalsRowFunction="custom" dataDxfId="351" totalsRowDxfId="352">
      <totalsRowFormula>COUNTA(AC8,AC10,AC12,AC14,AC16)</totalsRowFormula>
    </tableColumn>
    <tableColumn id="29" xr3:uid="{00000000-0010-0000-0700-00001D000000}" name="28" totalsRowFunction="custom" dataDxfId="349" totalsRowDxfId="350">
      <totalsRowFormula>COUNTA(AD8,AD10,AD12,AD14,AD16)</totalsRowFormula>
    </tableColumn>
    <tableColumn id="30" xr3:uid="{00000000-0010-0000-0700-00001E000000}" name="29" totalsRowFunction="custom" dataDxfId="347" totalsRowDxfId="348">
      <totalsRowFormula>COUNTA(AE8,AE10,AE12,AE14,AE16)</totalsRowFormula>
    </tableColumn>
    <tableColumn id="31" xr3:uid="{00000000-0010-0000-0700-00001F000000}" name="30" totalsRowFunction="custom" dataDxfId="345" totalsRowDxfId="346">
      <totalsRowFormula>COUNTA(AF8,AF10,AF12,AF14,AF16)</totalsRowFormula>
    </tableColumn>
    <tableColumn id="32" xr3:uid="{00000000-0010-0000-0700-000020000000}" name="31" totalsRowFunction="custom" dataDxfId="343" totalsRowDxfId="344" dataCellStyle="Total">
      <totalsRowFormula>COUNTA(AG8,AG10,AG12,AG14,AG16)</totalsRowFormula>
    </tableColumn>
    <tableColumn id="33" xr3:uid="{00000000-0010-0000-0700-000021000000}" name="Total de dias" dataDxfId="341" totalsRowDxfId="342" dataCellStyle="Total">
      <calculatedColumnFormula>COUNTA(Agosto[[#This Row],[1]:[31]])</calculatedColumnFormula>
    </tableColumn>
  </tableColumns>
  <tableStyleInfo name="Tabela de Faltas dos Funcionários" showFirstColumn="1" showLastColumn="1" showRowStripes="1" showColumnStripes="0"/>
  <extLst>
    <ext xmlns:x14="http://schemas.microsoft.com/office/spreadsheetml/2009/9/main" uri="{504A1905-F514-4f6f-8877-14C23A59335A}">
      <x14:table altTextSummary="Forneça os nomes dos funcionários e as datas de falta. Registre o tipo de falta de acordo com a chave na linha 12: F=Férias, L=Licença médica, P=Pessoal e dois espaços reservados para entradas personalizadas."/>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8000000}" name="Setembro" displayName="Setembro" ref="B7:AG18" totalsRowCount="1" headerRowDxfId="333" dataDxfId="332" totalsRowDxfId="331">
  <tableColumns count="32">
    <tableColumn id="1" xr3:uid="{00000000-0010-0000-0800-000001000000}" name="Diretor" totalsRowLabel="Total de afastamentos" dataDxfId="329" totalsRowDxfId="330" dataCellStyle="Funcionário"/>
    <tableColumn id="2" xr3:uid="{00000000-0010-0000-0800-000002000000}" name="1" totalsRowFunction="custom" dataDxfId="327" totalsRowDxfId="328">
      <totalsRowFormula>COUNTA(C8,C10,C12,C14,C16)</totalsRowFormula>
    </tableColumn>
    <tableColumn id="3" xr3:uid="{00000000-0010-0000-0800-000003000000}" name="2" totalsRowFunction="custom" dataDxfId="325" totalsRowDxfId="326">
      <totalsRowFormula>COUNTA(D8,D10,D12,D14,D16)</totalsRowFormula>
    </tableColumn>
    <tableColumn id="4" xr3:uid="{00000000-0010-0000-0800-000004000000}" name="3" totalsRowFunction="custom" dataDxfId="323" totalsRowDxfId="324">
      <totalsRowFormula>COUNTA(E8,E10,E12,E14,E16)</totalsRowFormula>
    </tableColumn>
    <tableColumn id="5" xr3:uid="{00000000-0010-0000-0800-000005000000}" name="4" totalsRowFunction="custom" dataDxfId="321" totalsRowDxfId="322">
      <totalsRowFormula>COUNTA(F8,F10,F12,F14,F16)</totalsRowFormula>
    </tableColumn>
    <tableColumn id="6" xr3:uid="{00000000-0010-0000-0800-000006000000}" name="5" totalsRowFunction="custom" dataDxfId="319" totalsRowDxfId="320">
      <totalsRowFormula>COUNTA(G8,G10,G12,G14,G16)</totalsRowFormula>
    </tableColumn>
    <tableColumn id="7" xr3:uid="{00000000-0010-0000-0800-000007000000}" name="6" totalsRowFunction="custom" dataDxfId="317" totalsRowDxfId="318">
      <totalsRowFormula>COUNTA(H8,H10,H12,H14,H16)</totalsRowFormula>
    </tableColumn>
    <tableColumn id="8" xr3:uid="{00000000-0010-0000-0800-000008000000}" name="7" totalsRowFunction="custom" dataDxfId="315" totalsRowDxfId="316">
      <totalsRowFormula>COUNTA(I8,I10,I12,I14,I16)</totalsRowFormula>
    </tableColumn>
    <tableColumn id="9" xr3:uid="{00000000-0010-0000-0800-000009000000}" name="8" totalsRowFunction="custom" dataDxfId="313" totalsRowDxfId="314">
      <totalsRowFormula>COUNTA(J8,J10,J12,J14,J16)</totalsRowFormula>
    </tableColumn>
    <tableColumn id="10" xr3:uid="{00000000-0010-0000-0800-00000A000000}" name="9" totalsRowFunction="custom" dataDxfId="311" totalsRowDxfId="312">
      <totalsRowFormula>COUNTA(K8,K10,K12,K14,K16)</totalsRowFormula>
    </tableColumn>
    <tableColumn id="11" xr3:uid="{00000000-0010-0000-0800-00000B000000}" name="10" totalsRowFunction="custom" dataDxfId="309" totalsRowDxfId="310">
      <totalsRowFormula>COUNTA(L8,L10,L12,L14,L16)</totalsRowFormula>
    </tableColumn>
    <tableColumn id="12" xr3:uid="{00000000-0010-0000-0800-00000C000000}" name="11" totalsRowFunction="custom" dataDxfId="307" totalsRowDxfId="308">
      <totalsRowFormula>COUNTA(M8,M10,M12,M14,M16)</totalsRowFormula>
    </tableColumn>
    <tableColumn id="13" xr3:uid="{00000000-0010-0000-0800-00000D000000}" name="12" totalsRowFunction="custom" dataDxfId="305" totalsRowDxfId="306">
      <totalsRowFormula>COUNTA(N8,N10,N12,N14,N16)</totalsRowFormula>
    </tableColumn>
    <tableColumn id="14" xr3:uid="{00000000-0010-0000-0800-00000E000000}" name="13" totalsRowFunction="custom" dataDxfId="303" totalsRowDxfId="304">
      <totalsRowFormula>COUNTA(O8,O10,O12,O14,O16)</totalsRowFormula>
    </tableColumn>
    <tableColumn id="15" xr3:uid="{00000000-0010-0000-0800-00000F000000}" name="14" totalsRowFunction="custom" dataDxfId="301" totalsRowDxfId="302">
      <totalsRowFormula>COUNTA(P8,P10,P12,P14,P16)</totalsRowFormula>
    </tableColumn>
    <tableColumn id="16" xr3:uid="{00000000-0010-0000-0800-000010000000}" name="15" totalsRowFunction="custom" dataDxfId="299" totalsRowDxfId="300">
      <totalsRowFormula>COUNTA(Q8,Q10,Q12,Q14,Q16)</totalsRowFormula>
    </tableColumn>
    <tableColumn id="17" xr3:uid="{00000000-0010-0000-0800-000011000000}" name="16" totalsRowFunction="custom" dataDxfId="297" totalsRowDxfId="298">
      <totalsRowFormula>COUNTA(R8,R10,R12,R14,R16)</totalsRowFormula>
    </tableColumn>
    <tableColumn id="18" xr3:uid="{00000000-0010-0000-0800-000012000000}" name="17" totalsRowFunction="custom" dataDxfId="295" totalsRowDxfId="296">
      <totalsRowFormula>COUNTA(S8,S10,S12,S14,S16)</totalsRowFormula>
    </tableColumn>
    <tableColumn id="19" xr3:uid="{00000000-0010-0000-0800-000013000000}" name="18" totalsRowFunction="custom" dataDxfId="293" totalsRowDxfId="294">
      <totalsRowFormula>COUNTA(T8,T10,T12,T14,T16)</totalsRowFormula>
    </tableColumn>
    <tableColumn id="20" xr3:uid="{00000000-0010-0000-0800-000014000000}" name="19" totalsRowFunction="custom" dataDxfId="291" totalsRowDxfId="292">
      <totalsRowFormula>COUNTA(U8,U10,U12,U14,U16)</totalsRowFormula>
    </tableColumn>
    <tableColumn id="21" xr3:uid="{00000000-0010-0000-0800-000015000000}" name="20" totalsRowFunction="custom" dataDxfId="289" totalsRowDxfId="290">
      <totalsRowFormula>COUNTA(V8,V10,V12,V14,V16)</totalsRowFormula>
    </tableColumn>
    <tableColumn id="22" xr3:uid="{00000000-0010-0000-0800-000016000000}" name="21" totalsRowFunction="custom" dataDxfId="287" totalsRowDxfId="288">
      <totalsRowFormula>COUNTA(W8,W10,W12,W14,W16)</totalsRowFormula>
    </tableColumn>
    <tableColumn id="23" xr3:uid="{00000000-0010-0000-0800-000017000000}" name="22" totalsRowFunction="custom" dataDxfId="285" totalsRowDxfId="286">
      <totalsRowFormula>COUNTA(X8,X10,X12,X14,X16)</totalsRowFormula>
    </tableColumn>
    <tableColumn id="24" xr3:uid="{00000000-0010-0000-0800-000018000000}" name="23" totalsRowFunction="custom" dataDxfId="283" totalsRowDxfId="284">
      <totalsRowFormula>COUNTA(Y8,Y10,Y12,Y14,Y16)</totalsRowFormula>
    </tableColumn>
    <tableColumn id="25" xr3:uid="{00000000-0010-0000-0800-000019000000}" name="24" totalsRowFunction="custom" dataDxfId="281" totalsRowDxfId="282">
      <totalsRowFormula>COUNTA(Z8,Z10,Z12,Z14,Z16)</totalsRowFormula>
    </tableColumn>
    <tableColumn id="26" xr3:uid="{00000000-0010-0000-0800-00001A000000}" name="25" totalsRowFunction="custom" dataDxfId="279" totalsRowDxfId="280">
      <totalsRowFormula>COUNTA(AA8,AA10,AA12,AA14,AA16)</totalsRowFormula>
    </tableColumn>
    <tableColumn id="27" xr3:uid="{00000000-0010-0000-0800-00001B000000}" name="26" totalsRowFunction="custom" dataDxfId="277" totalsRowDxfId="278">
      <totalsRowFormula>COUNTA(AB8,AB10,AB12,AB14,AB16)</totalsRowFormula>
    </tableColumn>
    <tableColumn id="28" xr3:uid="{00000000-0010-0000-0800-00001C000000}" name="27" totalsRowFunction="custom" dataDxfId="275" totalsRowDxfId="276">
      <totalsRowFormula>COUNTA(AC8,AC10,AC12,AC14,AC16)</totalsRowFormula>
    </tableColumn>
    <tableColumn id="29" xr3:uid="{00000000-0010-0000-0800-00001D000000}" name="28" totalsRowFunction="custom" dataDxfId="273" totalsRowDxfId="274">
      <totalsRowFormula>COUNTA(AD8,AD10,AD12,AD14,AD16)</totalsRowFormula>
    </tableColumn>
    <tableColumn id="30" xr3:uid="{00000000-0010-0000-0800-00001E000000}" name="29" totalsRowFunction="custom" dataDxfId="271" totalsRowDxfId="272">
      <totalsRowFormula>COUNTA(AE8,AE10,AE12,AE14,AE16)</totalsRowFormula>
    </tableColumn>
    <tableColumn id="31" xr3:uid="{00000000-0010-0000-0800-00001F000000}" name="30" totalsRowFunction="custom" dataDxfId="269" totalsRowDxfId="270">
      <totalsRowFormula>COUNTA(AF8,AF10,AF12,AF14,AF16)</totalsRowFormula>
    </tableColumn>
    <tableColumn id="33" xr3:uid="{00000000-0010-0000-0800-000021000000}" name="Total de dias" dataDxfId="267" totalsRowDxfId="268" dataCellStyle="Total">
      <calculatedColumnFormula>COUNTA(#REF!)</calculatedColumnFormula>
    </tableColumn>
  </tableColumns>
  <tableStyleInfo name="Tabela de Faltas dos Funcionários" showFirstColumn="1" showLastColumn="1" showRowStripes="1" showColumnStripes="0"/>
  <extLst>
    <ext xmlns:x14="http://schemas.microsoft.com/office/spreadsheetml/2009/9/main" uri="{504A1905-F514-4f6f-8877-14C23A59335A}">
      <x14:table altTextSummary="Forneça os nomes dos funcionários e as datas de falta. Registre o tipo de falta de acordo com a chave na linha 12: F=Férias, L=Licença médica, P=Pessoal e dois espaços reservados para entradas personalizadas."/>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9000000}" name="Outubro" displayName="Outubro" ref="B7:AH18" totalsRowCount="1" headerRowDxfId="250" dataDxfId="249" totalsRowDxfId="248">
  <tableColumns count="33">
    <tableColumn id="1" xr3:uid="{00000000-0010-0000-0900-000001000000}" name="Diretor" totalsRowLabel="Total de afastamentos" dataDxfId="246" totalsRowDxfId="247" dataCellStyle="Funcionário"/>
    <tableColumn id="2" xr3:uid="{00000000-0010-0000-0900-000002000000}" name="1" totalsRowFunction="custom" dataDxfId="244" totalsRowDxfId="245">
      <totalsRowFormula>COUNTA(C8,C10,C12,C14,C16)</totalsRowFormula>
    </tableColumn>
    <tableColumn id="3" xr3:uid="{00000000-0010-0000-0900-000003000000}" name="2" totalsRowFunction="custom" dataDxfId="242" totalsRowDxfId="243">
      <totalsRowFormula>COUNTA(D8,D10,D12,D14,D16)</totalsRowFormula>
    </tableColumn>
    <tableColumn id="4" xr3:uid="{00000000-0010-0000-0900-000004000000}" name="3" totalsRowFunction="custom" dataDxfId="240" totalsRowDxfId="241">
      <totalsRowFormula>COUNTA(E8,E10,E12,E14,E16)</totalsRowFormula>
    </tableColumn>
    <tableColumn id="5" xr3:uid="{00000000-0010-0000-0900-000005000000}" name="4" totalsRowFunction="custom" dataDxfId="238" totalsRowDxfId="239">
      <totalsRowFormula>COUNTA(F8,F10,F12,F14,F16)</totalsRowFormula>
    </tableColumn>
    <tableColumn id="6" xr3:uid="{00000000-0010-0000-0900-000006000000}" name="5" totalsRowFunction="custom" dataDxfId="236" totalsRowDxfId="237">
      <totalsRowFormula>COUNTA(G8,G10,G12,G14,G16)</totalsRowFormula>
    </tableColumn>
    <tableColumn id="7" xr3:uid="{00000000-0010-0000-0900-000007000000}" name="6" totalsRowFunction="custom" dataDxfId="234" totalsRowDxfId="235">
      <totalsRowFormula>COUNTA(H8,H10,H12,H14,H16)</totalsRowFormula>
    </tableColumn>
    <tableColumn id="8" xr3:uid="{00000000-0010-0000-0900-000008000000}" name="7" totalsRowFunction="custom" dataDxfId="232" totalsRowDxfId="233">
      <totalsRowFormula>COUNTA(I8,I10,I12,I14,I16)</totalsRowFormula>
    </tableColumn>
    <tableColumn id="9" xr3:uid="{00000000-0010-0000-0900-000009000000}" name="8" totalsRowFunction="custom" dataDxfId="230" totalsRowDxfId="231">
      <totalsRowFormula>COUNTA(J8,J10,J12,J14,J16)</totalsRowFormula>
    </tableColumn>
    <tableColumn id="10" xr3:uid="{00000000-0010-0000-0900-00000A000000}" name="9" totalsRowFunction="custom" dataDxfId="228" totalsRowDxfId="229">
      <totalsRowFormula>COUNTA(K8,K10,K12,K14,K16)</totalsRowFormula>
    </tableColumn>
    <tableColumn id="11" xr3:uid="{00000000-0010-0000-0900-00000B000000}" name="10" totalsRowFunction="custom" dataDxfId="226" totalsRowDxfId="227">
      <totalsRowFormula>COUNTA(L8,L10,L12,L14,L16)</totalsRowFormula>
    </tableColumn>
    <tableColumn id="12" xr3:uid="{00000000-0010-0000-0900-00000C000000}" name="11" totalsRowFunction="custom" dataDxfId="224" totalsRowDxfId="225">
      <totalsRowFormula>COUNTA(M8,M10,M12,M14,M16)</totalsRowFormula>
    </tableColumn>
    <tableColumn id="13" xr3:uid="{00000000-0010-0000-0900-00000D000000}" name="12" totalsRowFunction="custom" dataDxfId="222" totalsRowDxfId="223">
      <totalsRowFormula>COUNTA(N8,N10,N12,N14,N16)</totalsRowFormula>
    </tableColumn>
    <tableColumn id="14" xr3:uid="{00000000-0010-0000-0900-00000E000000}" name="13" totalsRowFunction="custom" dataDxfId="220" totalsRowDxfId="221">
      <totalsRowFormula>COUNTA(O8,O10,O12,O14,O16)</totalsRowFormula>
    </tableColumn>
    <tableColumn id="15" xr3:uid="{00000000-0010-0000-0900-00000F000000}" name="14" totalsRowFunction="custom" dataDxfId="218" totalsRowDxfId="219">
      <totalsRowFormula>COUNTA(P8,P10,P12,P14,P16)</totalsRowFormula>
    </tableColumn>
    <tableColumn id="16" xr3:uid="{00000000-0010-0000-0900-000010000000}" name="15" totalsRowFunction="custom" dataDxfId="216" totalsRowDxfId="217">
      <totalsRowFormula>COUNTA(Q8,Q10,Q12,Q14,Q16)</totalsRowFormula>
    </tableColumn>
    <tableColumn id="17" xr3:uid="{00000000-0010-0000-0900-000011000000}" name="16" totalsRowFunction="custom" dataDxfId="214" totalsRowDxfId="215">
      <totalsRowFormula>COUNTA(R8,R10,R12,R14,R16)</totalsRowFormula>
    </tableColumn>
    <tableColumn id="18" xr3:uid="{00000000-0010-0000-0900-000012000000}" name="17" totalsRowFunction="custom" dataDxfId="212" totalsRowDxfId="213">
      <totalsRowFormula>COUNTA(S8,S10,S12,S14,S16)</totalsRowFormula>
    </tableColumn>
    <tableColumn id="19" xr3:uid="{00000000-0010-0000-0900-000013000000}" name="18" totalsRowFunction="custom" dataDxfId="210" totalsRowDxfId="211">
      <totalsRowFormula>COUNTA(T8,T10,T12,T14,T16)</totalsRowFormula>
    </tableColumn>
    <tableColumn id="20" xr3:uid="{00000000-0010-0000-0900-000014000000}" name="19" totalsRowFunction="custom" dataDxfId="208" totalsRowDxfId="209">
      <totalsRowFormula>COUNTA(U8,U10,U12,U14,U16)</totalsRowFormula>
    </tableColumn>
    <tableColumn id="21" xr3:uid="{00000000-0010-0000-0900-000015000000}" name="20" totalsRowFunction="custom" dataDxfId="206" totalsRowDxfId="207">
      <totalsRowFormula>COUNTA(V8,V10,V12,V14,V16)</totalsRowFormula>
    </tableColumn>
    <tableColumn id="22" xr3:uid="{00000000-0010-0000-0900-000016000000}" name="21" totalsRowFunction="custom" dataDxfId="204" totalsRowDxfId="205">
      <totalsRowFormula>COUNTA(W8,W10,W12,W14,W16)</totalsRowFormula>
    </tableColumn>
    <tableColumn id="23" xr3:uid="{00000000-0010-0000-0900-000017000000}" name="22" totalsRowFunction="custom" dataDxfId="202" totalsRowDxfId="203">
      <totalsRowFormula>COUNTA(X8,X10,X12,X14,X16)</totalsRowFormula>
    </tableColumn>
    <tableColumn id="24" xr3:uid="{00000000-0010-0000-0900-000018000000}" name="23" totalsRowFunction="custom" dataDxfId="200" totalsRowDxfId="201">
      <totalsRowFormula>COUNTA(Y8,Y10,Y12,Y14,Y16)</totalsRowFormula>
    </tableColumn>
    <tableColumn id="25" xr3:uid="{00000000-0010-0000-0900-000019000000}" name="24" totalsRowFunction="custom" dataDxfId="198" totalsRowDxfId="199">
      <totalsRowFormula>COUNTA(Z8,Z10,Z12,Z14,Z16)</totalsRowFormula>
    </tableColumn>
    <tableColumn id="26" xr3:uid="{00000000-0010-0000-0900-00001A000000}" name="25" totalsRowFunction="custom" dataDxfId="196" totalsRowDxfId="197">
      <totalsRowFormula>COUNTA(AA8,AA10,AA12,AA14,AA16)</totalsRowFormula>
    </tableColumn>
    <tableColumn id="27" xr3:uid="{00000000-0010-0000-0900-00001B000000}" name="26" totalsRowFunction="custom" dataDxfId="194" totalsRowDxfId="195">
      <totalsRowFormula>COUNTA(AB8,AB10,AB12,AB14,AB16)</totalsRowFormula>
    </tableColumn>
    <tableColumn id="28" xr3:uid="{00000000-0010-0000-0900-00001C000000}" name="27" totalsRowFunction="custom" dataDxfId="192" totalsRowDxfId="193">
      <totalsRowFormula>COUNTA(AC8,AC10,AC12,AC14,AC16)</totalsRowFormula>
    </tableColumn>
    <tableColumn id="29" xr3:uid="{00000000-0010-0000-0900-00001D000000}" name="28" totalsRowFunction="custom" dataDxfId="190" totalsRowDxfId="191">
      <totalsRowFormula>COUNTA(AD8,AD10,AD12,AD14,AD16)</totalsRowFormula>
    </tableColumn>
    <tableColumn id="30" xr3:uid="{00000000-0010-0000-0900-00001E000000}" name="29" totalsRowFunction="custom" dataDxfId="188" totalsRowDxfId="189">
      <totalsRowFormula>COUNTA(AE8,AE10,AE12,AE14,AE16)</totalsRowFormula>
    </tableColumn>
    <tableColumn id="31" xr3:uid="{00000000-0010-0000-0900-00001F000000}" name="30" totalsRowFunction="custom" dataDxfId="186" totalsRowDxfId="187">
      <totalsRowFormula>COUNTA(AF8,AF10,AF12,AF14,AF16)</totalsRowFormula>
    </tableColumn>
    <tableColumn id="32" xr3:uid="{00000000-0010-0000-0900-000020000000}" name="31" totalsRowFunction="custom" dataDxfId="184" totalsRowDxfId="185" dataCellStyle="Total">
      <totalsRowFormula>COUNTA(AG8,AG10,AG12,AG14,AG16)</totalsRowFormula>
    </tableColumn>
    <tableColumn id="33" xr3:uid="{00000000-0010-0000-0900-000021000000}" name="Total de dias" dataDxfId="182" totalsRowDxfId="183" dataCellStyle="Total">
      <calculatedColumnFormula>COUNTA(Outubro[[#This Row],[1]:[31]])</calculatedColumnFormula>
    </tableColumn>
  </tableColumns>
  <tableStyleInfo name="Tabela de Faltas dos Funcionários" showFirstColumn="1" showLastColumn="1" showRowStripes="1" showColumnStripes="0"/>
  <extLst>
    <ext xmlns:x14="http://schemas.microsoft.com/office/spreadsheetml/2009/9/main" uri="{504A1905-F514-4f6f-8877-14C23A59335A}">
      <x14:table altTextSummary="Forneça os nomes dos funcionários e as datas de falta. Registre o tipo de falta de acordo com a chave na linha 12: F=Férias, L=Licença médica, P=Pessoal e dois espaços reservados para entradas personalizadas."/>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A000000}" name="Novembro" displayName="Novembro" ref="B7:AG18" totalsRowCount="1" headerRowDxfId="156" dataDxfId="155" totalsRowDxfId="154">
  <tableColumns count="32">
    <tableColumn id="1" xr3:uid="{00000000-0010-0000-0A00-000001000000}" name="Diretor" totalsRowLabel="Total de afastamentos" dataDxfId="152" totalsRowDxfId="153" dataCellStyle="Funcionário"/>
    <tableColumn id="2" xr3:uid="{00000000-0010-0000-0A00-000002000000}" name="1" totalsRowFunction="custom" dataDxfId="150" totalsRowDxfId="151">
      <totalsRowFormula>COUNTA(C8,C10,C12,C14,C16)</totalsRowFormula>
    </tableColumn>
    <tableColumn id="3" xr3:uid="{00000000-0010-0000-0A00-000003000000}" name="2" totalsRowFunction="custom" dataDxfId="148" totalsRowDxfId="149">
      <totalsRowFormula>COUNTA(D8,D10,D12,D14,D16)</totalsRowFormula>
    </tableColumn>
    <tableColumn id="4" xr3:uid="{00000000-0010-0000-0A00-000004000000}" name="3" totalsRowFunction="custom" dataDxfId="146" totalsRowDxfId="147">
      <totalsRowFormula>COUNTA(E8,E10,E12,E14,E16)</totalsRowFormula>
    </tableColumn>
    <tableColumn id="5" xr3:uid="{00000000-0010-0000-0A00-000005000000}" name="4" totalsRowFunction="custom" dataDxfId="144" totalsRowDxfId="145">
      <totalsRowFormula>COUNTA(F8,F10,F12,F14,F16)</totalsRowFormula>
    </tableColumn>
    <tableColumn id="6" xr3:uid="{00000000-0010-0000-0A00-000006000000}" name="5" totalsRowFunction="custom" dataDxfId="142" totalsRowDxfId="143">
      <totalsRowFormula>COUNTA(G8,G10,G12,G14,G16)</totalsRowFormula>
    </tableColumn>
    <tableColumn id="7" xr3:uid="{00000000-0010-0000-0A00-000007000000}" name="6" totalsRowFunction="custom" dataDxfId="140" totalsRowDxfId="141">
      <totalsRowFormula>COUNTA(H8,H10,H12,H14,H16)</totalsRowFormula>
    </tableColumn>
    <tableColumn id="8" xr3:uid="{00000000-0010-0000-0A00-000008000000}" name="7" totalsRowFunction="custom" dataDxfId="138" totalsRowDxfId="139">
      <totalsRowFormula>COUNTA(I8,I10,I12,I14,I16)</totalsRowFormula>
    </tableColumn>
    <tableColumn id="9" xr3:uid="{00000000-0010-0000-0A00-000009000000}" name="8" totalsRowFunction="custom" dataDxfId="136" totalsRowDxfId="137">
      <totalsRowFormula>COUNTA(J8,J10,J12,J14,J16)</totalsRowFormula>
    </tableColumn>
    <tableColumn id="10" xr3:uid="{00000000-0010-0000-0A00-00000A000000}" name="9" totalsRowFunction="custom" dataDxfId="134" totalsRowDxfId="135">
      <totalsRowFormula>COUNTA(K8,K10,K12,K14,K16)</totalsRowFormula>
    </tableColumn>
    <tableColumn id="11" xr3:uid="{00000000-0010-0000-0A00-00000B000000}" name="10" totalsRowFunction="custom" dataDxfId="132" totalsRowDxfId="133">
      <totalsRowFormula>COUNTA(L8,L10,L12,L14,L16)</totalsRowFormula>
    </tableColumn>
    <tableColumn id="12" xr3:uid="{00000000-0010-0000-0A00-00000C000000}" name="11" totalsRowFunction="custom" dataDxfId="130" totalsRowDxfId="131">
      <totalsRowFormula>COUNTA(M8,M10,M12,M14,M16)</totalsRowFormula>
    </tableColumn>
    <tableColumn id="13" xr3:uid="{00000000-0010-0000-0A00-00000D000000}" name="12" totalsRowFunction="custom" dataDxfId="128" totalsRowDxfId="129">
      <totalsRowFormula>COUNTA(N8,N10,N12,N14,N16)</totalsRowFormula>
    </tableColumn>
    <tableColumn id="14" xr3:uid="{00000000-0010-0000-0A00-00000E000000}" name="13" totalsRowFunction="custom" dataDxfId="126" totalsRowDxfId="127">
      <totalsRowFormula>COUNTA(O8,O10,O12,O14,O16)</totalsRowFormula>
    </tableColumn>
    <tableColumn id="15" xr3:uid="{00000000-0010-0000-0A00-00000F000000}" name="14" totalsRowFunction="custom" dataDxfId="124" totalsRowDxfId="125">
      <totalsRowFormula>COUNTA(P8,P10,P12,P14,P16)</totalsRowFormula>
    </tableColumn>
    <tableColumn id="16" xr3:uid="{00000000-0010-0000-0A00-000010000000}" name="15" totalsRowFunction="custom" dataDxfId="122" totalsRowDxfId="123">
      <totalsRowFormula>COUNTA(Q8,Q10,Q12,Q14,Q16)</totalsRowFormula>
    </tableColumn>
    <tableColumn id="17" xr3:uid="{00000000-0010-0000-0A00-000011000000}" name="16" totalsRowFunction="custom" dataDxfId="120" totalsRowDxfId="121">
      <totalsRowFormula>COUNTA(R8,R10,R12,R14,R16)</totalsRowFormula>
    </tableColumn>
    <tableColumn id="18" xr3:uid="{00000000-0010-0000-0A00-000012000000}" name="17" totalsRowFunction="custom" dataDxfId="118" totalsRowDxfId="119">
      <totalsRowFormula>COUNTA(S8,S10,S12,S14,S16)</totalsRowFormula>
    </tableColumn>
    <tableColumn id="19" xr3:uid="{00000000-0010-0000-0A00-000013000000}" name="18" totalsRowFunction="custom" dataDxfId="116" totalsRowDxfId="117">
      <totalsRowFormula>COUNTA(T8,T10,T12,T14,T16)</totalsRowFormula>
    </tableColumn>
    <tableColumn id="20" xr3:uid="{00000000-0010-0000-0A00-000014000000}" name="19" totalsRowFunction="custom" dataDxfId="114" totalsRowDxfId="115">
      <totalsRowFormula>COUNTA(U8,U10,U12,U14,U16)</totalsRowFormula>
    </tableColumn>
    <tableColumn id="21" xr3:uid="{00000000-0010-0000-0A00-000015000000}" name="20" totalsRowFunction="custom" dataDxfId="112" totalsRowDxfId="113">
      <totalsRowFormula>COUNTA(V8,V10,V12,V14,V16)</totalsRowFormula>
    </tableColumn>
    <tableColumn id="22" xr3:uid="{00000000-0010-0000-0A00-000016000000}" name="21" totalsRowFunction="custom" dataDxfId="110" totalsRowDxfId="111">
      <totalsRowFormula>COUNTA(W8,W10,W12,W14,W16)</totalsRowFormula>
    </tableColumn>
    <tableColumn id="23" xr3:uid="{00000000-0010-0000-0A00-000017000000}" name="22" totalsRowFunction="custom" dataDxfId="108" totalsRowDxfId="109">
      <totalsRowFormula>COUNTA(X8,X10,X12,X14,X16)</totalsRowFormula>
    </tableColumn>
    <tableColumn id="24" xr3:uid="{00000000-0010-0000-0A00-000018000000}" name="23" totalsRowFunction="custom" dataDxfId="106" totalsRowDxfId="107">
      <totalsRowFormula>COUNTA(Y8,Y10,Y12,Y14,Y16)</totalsRowFormula>
    </tableColumn>
    <tableColumn id="25" xr3:uid="{00000000-0010-0000-0A00-000019000000}" name="24" totalsRowFunction="custom" dataDxfId="104" totalsRowDxfId="105">
      <totalsRowFormula>COUNTA(Z8,Z10,Z12,Z14,Z16)</totalsRowFormula>
    </tableColumn>
    <tableColumn id="26" xr3:uid="{00000000-0010-0000-0A00-00001A000000}" name="25" totalsRowFunction="custom" dataDxfId="102" totalsRowDxfId="103">
      <totalsRowFormula>COUNTA(AA8,AA10,AA12,AA14,AA16)</totalsRowFormula>
    </tableColumn>
    <tableColumn id="27" xr3:uid="{00000000-0010-0000-0A00-00001B000000}" name="26" totalsRowFunction="custom" dataDxfId="100" totalsRowDxfId="101">
      <totalsRowFormula>COUNTA(AB8,AB10,AB12,AB14,AB16)</totalsRowFormula>
    </tableColumn>
    <tableColumn id="28" xr3:uid="{00000000-0010-0000-0A00-00001C000000}" name="27" totalsRowFunction="custom" dataDxfId="98" totalsRowDxfId="99">
      <totalsRowFormula>COUNTA(AC8,AC10,AC12,AC14,AC16)</totalsRowFormula>
    </tableColumn>
    <tableColumn id="29" xr3:uid="{00000000-0010-0000-0A00-00001D000000}" name="28" totalsRowFunction="custom" dataDxfId="96" totalsRowDxfId="97">
      <totalsRowFormula>COUNTA(AD8,AD10,AD12,AD14,AD16)</totalsRowFormula>
    </tableColumn>
    <tableColumn id="30" xr3:uid="{00000000-0010-0000-0A00-00001E000000}" name="29" totalsRowFunction="custom" dataDxfId="94" totalsRowDxfId="95">
      <totalsRowFormula>COUNTA(AE8,AE10,AE12,AE14,AE16)</totalsRowFormula>
    </tableColumn>
    <tableColumn id="31" xr3:uid="{00000000-0010-0000-0A00-00001F000000}" name="30" totalsRowFunction="custom" dataDxfId="92" totalsRowDxfId="93">
      <totalsRowFormula>COUNTA(AF8,AF10,AF12,AF14,AF16)</totalsRowFormula>
    </tableColumn>
    <tableColumn id="33" xr3:uid="{00000000-0010-0000-0A00-000021000000}" name="Total de dias" dataDxfId="90" totalsRowDxfId="91" dataCellStyle="Total">
      <calculatedColumnFormula>COUNTA(#REF!)</calculatedColumnFormula>
    </tableColumn>
  </tableColumns>
  <tableStyleInfo name="Tabela de Faltas dos Funcionários" showFirstColumn="1" showLastColumn="1" showRowStripes="1" showColumnStripes="0"/>
  <extLst>
    <ext xmlns:x14="http://schemas.microsoft.com/office/spreadsheetml/2009/9/main" uri="{504A1905-F514-4f6f-8877-14C23A59335A}">
      <x14:table altTextSummary="Forneça os nomes dos funcionários e as datas de falta. Registre o tipo de falta de acordo com a chave na linha 12: F=Férias, L=Licença médica, P=Pessoal e dois espaços reservados para entradas personalizadas."/>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Dezembro" displayName="Dezembro" ref="B7:AH18" totalsRowCount="1" headerRowDxfId="73" dataDxfId="72" totalsRowDxfId="71">
  <tableColumns count="33">
    <tableColumn id="1" xr3:uid="{00000000-0010-0000-0B00-000001000000}" name="Diretor" totalsRowLabel="Total de afastamentos" dataDxfId="69" totalsRowDxfId="70" dataCellStyle="Funcionário"/>
    <tableColumn id="2" xr3:uid="{00000000-0010-0000-0B00-000002000000}" name="1" totalsRowFunction="custom" dataDxfId="67" totalsRowDxfId="68">
      <totalsRowFormula>COUNTA(C8,C10,C12,C14,C16)</totalsRowFormula>
    </tableColumn>
    <tableColumn id="3" xr3:uid="{00000000-0010-0000-0B00-000003000000}" name="2" totalsRowFunction="custom" dataDxfId="65" totalsRowDxfId="66">
      <totalsRowFormula>COUNTA(D8,D10,D12,D14,D16)</totalsRowFormula>
    </tableColumn>
    <tableColumn id="4" xr3:uid="{00000000-0010-0000-0B00-000004000000}" name="3" totalsRowFunction="custom" dataDxfId="63" totalsRowDxfId="64">
      <totalsRowFormula>COUNTA(E8,E10,E12,E14,E16)</totalsRowFormula>
    </tableColumn>
    <tableColumn id="5" xr3:uid="{00000000-0010-0000-0B00-000005000000}" name="4" totalsRowFunction="custom" dataDxfId="61" totalsRowDxfId="62">
      <totalsRowFormula>COUNTA(F8,F10,F12,F14,F16)</totalsRowFormula>
    </tableColumn>
    <tableColumn id="6" xr3:uid="{00000000-0010-0000-0B00-000006000000}" name="5" totalsRowFunction="custom" dataDxfId="59" totalsRowDxfId="60">
      <totalsRowFormula>COUNTA(G8,G10,G12,G14,G16)</totalsRowFormula>
    </tableColumn>
    <tableColumn id="7" xr3:uid="{00000000-0010-0000-0B00-000007000000}" name="6" totalsRowFunction="custom" dataDxfId="57" totalsRowDxfId="58">
      <totalsRowFormula>COUNTA(H8,H10,H12,H14,H16)</totalsRowFormula>
    </tableColumn>
    <tableColumn id="8" xr3:uid="{00000000-0010-0000-0B00-000008000000}" name="7" totalsRowFunction="custom" dataDxfId="55" totalsRowDxfId="56">
      <totalsRowFormula>COUNTA(I8,I10,I12,I14,I16)</totalsRowFormula>
    </tableColumn>
    <tableColumn id="9" xr3:uid="{00000000-0010-0000-0B00-000009000000}" name="8" totalsRowFunction="custom" dataDxfId="53" totalsRowDxfId="54">
      <totalsRowFormula>COUNTA(J8,J10,J12,J14,J16)</totalsRowFormula>
    </tableColumn>
    <tableColumn id="10" xr3:uid="{00000000-0010-0000-0B00-00000A000000}" name="9" totalsRowFunction="custom" dataDxfId="51" totalsRowDxfId="52">
      <totalsRowFormula>COUNTA(K8,K10,K12,K14,K16)</totalsRowFormula>
    </tableColumn>
    <tableColumn id="11" xr3:uid="{00000000-0010-0000-0B00-00000B000000}" name="10" totalsRowFunction="custom" dataDxfId="49" totalsRowDxfId="50">
      <totalsRowFormula>COUNTA(L8,L10,L12,L14,L16)</totalsRowFormula>
    </tableColumn>
    <tableColumn id="12" xr3:uid="{00000000-0010-0000-0B00-00000C000000}" name="11" totalsRowFunction="custom" dataDxfId="47" totalsRowDxfId="48">
      <totalsRowFormula>COUNTA(M8,M10,M12,M14,M16)</totalsRowFormula>
    </tableColumn>
    <tableColumn id="13" xr3:uid="{00000000-0010-0000-0B00-00000D000000}" name="12" totalsRowFunction="custom" dataDxfId="45" totalsRowDxfId="46">
      <totalsRowFormula>COUNTA(N8,N10,N12,N14,N16)</totalsRowFormula>
    </tableColumn>
    <tableColumn id="14" xr3:uid="{00000000-0010-0000-0B00-00000E000000}" name="13" totalsRowFunction="custom" dataDxfId="43" totalsRowDxfId="44">
      <totalsRowFormula>COUNTA(O8,O10,O12,O14,O16)</totalsRowFormula>
    </tableColumn>
    <tableColumn id="15" xr3:uid="{00000000-0010-0000-0B00-00000F000000}" name="14" totalsRowFunction="custom" dataDxfId="41" totalsRowDxfId="42">
      <totalsRowFormula>COUNTA(P8,P10,P12,P14,P16)</totalsRowFormula>
    </tableColumn>
    <tableColumn id="16" xr3:uid="{00000000-0010-0000-0B00-000010000000}" name="15" totalsRowFunction="custom" dataDxfId="39" totalsRowDxfId="40">
      <totalsRowFormula>COUNTA(Q8,Q10,Q12,Q14,Q16)</totalsRowFormula>
    </tableColumn>
    <tableColumn id="17" xr3:uid="{00000000-0010-0000-0B00-000011000000}" name="16" totalsRowFunction="custom" dataDxfId="37" totalsRowDxfId="38">
      <totalsRowFormula>COUNTA(R8,R10,R12,R14,R16)</totalsRowFormula>
    </tableColumn>
    <tableColumn id="18" xr3:uid="{00000000-0010-0000-0B00-000012000000}" name="17" totalsRowFunction="custom" dataDxfId="35" totalsRowDxfId="36">
      <totalsRowFormula>COUNTA(S8,S10,S12,S14,S16)</totalsRowFormula>
    </tableColumn>
    <tableColumn id="19" xr3:uid="{00000000-0010-0000-0B00-000013000000}" name="18" totalsRowFunction="custom" dataDxfId="33" totalsRowDxfId="34">
      <totalsRowFormula>COUNTA(T8,T10,T12,T14,T16)</totalsRowFormula>
    </tableColumn>
    <tableColumn id="20" xr3:uid="{00000000-0010-0000-0B00-000014000000}" name="19" totalsRowFunction="custom" dataDxfId="31" totalsRowDxfId="32">
      <totalsRowFormula>COUNTA(U8,U10,U12,U14,U16)</totalsRowFormula>
    </tableColumn>
    <tableColumn id="21" xr3:uid="{00000000-0010-0000-0B00-000015000000}" name="20" totalsRowFunction="custom" dataDxfId="29" totalsRowDxfId="30">
      <totalsRowFormula>COUNTA(V8,V10,V12,V14,V16)</totalsRowFormula>
    </tableColumn>
    <tableColumn id="22" xr3:uid="{00000000-0010-0000-0B00-000016000000}" name="21" totalsRowFunction="custom" dataDxfId="27" totalsRowDxfId="28">
      <totalsRowFormula>COUNTA(W8,W10,W12,W14,W16)</totalsRowFormula>
    </tableColumn>
    <tableColumn id="23" xr3:uid="{00000000-0010-0000-0B00-000017000000}" name="22" totalsRowFunction="custom" dataDxfId="25" totalsRowDxfId="26">
      <totalsRowFormula>COUNTA(X8,X10,X12,X14,X16)</totalsRowFormula>
    </tableColumn>
    <tableColumn id="24" xr3:uid="{00000000-0010-0000-0B00-000018000000}" name="23" totalsRowFunction="custom" dataDxfId="23" totalsRowDxfId="24">
      <totalsRowFormula>COUNTA(Y8,Y10,Y12,Y14,Y16)</totalsRowFormula>
    </tableColumn>
    <tableColumn id="25" xr3:uid="{00000000-0010-0000-0B00-000019000000}" name="24" totalsRowFunction="custom" dataDxfId="21" totalsRowDxfId="22">
      <totalsRowFormula>COUNTA(Z8,Z10,Z12,Z14,Z16)</totalsRowFormula>
    </tableColumn>
    <tableColumn id="26" xr3:uid="{00000000-0010-0000-0B00-00001A000000}" name="25" totalsRowFunction="custom" dataDxfId="19" totalsRowDxfId="20">
      <totalsRowFormula>COUNTA(AA8,AA10,AA12,AA14,AA16)</totalsRowFormula>
    </tableColumn>
    <tableColumn id="27" xr3:uid="{00000000-0010-0000-0B00-00001B000000}" name="26" totalsRowFunction="custom" dataDxfId="17" totalsRowDxfId="18">
      <totalsRowFormula>COUNTA(AB8,AB10,AB12,AB14,AB16)</totalsRowFormula>
    </tableColumn>
    <tableColumn id="28" xr3:uid="{00000000-0010-0000-0B00-00001C000000}" name="27" totalsRowFunction="custom" dataDxfId="15" totalsRowDxfId="16">
      <totalsRowFormula>COUNTA(AC8,AC10,AC12,AC14,AC16)</totalsRowFormula>
    </tableColumn>
    <tableColumn id="29" xr3:uid="{00000000-0010-0000-0B00-00001D000000}" name="28" totalsRowFunction="custom" dataDxfId="13" totalsRowDxfId="14">
      <totalsRowFormula>COUNTA(AD8,AD10,AD12,AD14,AD16)</totalsRowFormula>
    </tableColumn>
    <tableColumn id="30" xr3:uid="{00000000-0010-0000-0B00-00001E000000}" name="29" totalsRowFunction="custom" dataDxfId="11" totalsRowDxfId="12">
      <totalsRowFormula>COUNTA(AE8,AE10,AE12,AE14,AE16)</totalsRowFormula>
    </tableColumn>
    <tableColumn id="31" xr3:uid="{00000000-0010-0000-0B00-00001F000000}" name="30" totalsRowFunction="custom" dataDxfId="9" totalsRowDxfId="10">
      <totalsRowFormula>COUNTA(AF8,AF10,AF12,AF14,AF16)</totalsRowFormula>
    </tableColumn>
    <tableColumn id="32" xr3:uid="{00000000-0010-0000-0B00-000020000000}" name="31" totalsRowFunction="custom" dataDxfId="7" totalsRowDxfId="8" dataCellStyle="Total">
      <totalsRowFormula>COUNTA(AG8,AG10,AG12,AG14,AG16)</totalsRowFormula>
    </tableColumn>
    <tableColumn id="33" xr3:uid="{00000000-0010-0000-0B00-000021000000}" name="Total de dias" dataDxfId="5" totalsRowDxfId="6" dataCellStyle="Total">
      <calculatedColumnFormula>COUNTA(Dezembro[[#This Row],[1]:[31]])</calculatedColumnFormula>
    </tableColumn>
  </tableColumns>
  <tableStyleInfo name="Tabela de Faltas dos Funcionários" showFirstColumn="1" showLastColumn="1" showRowStripes="1" showColumnStripes="0"/>
  <extLst>
    <ext xmlns:x14="http://schemas.microsoft.com/office/spreadsheetml/2009/9/main" uri="{504A1905-F514-4f6f-8877-14C23A59335A}">
      <x14:table altTextSummary="Fornece uma lista de nomes e datas do calendário para registrar as faltas dos funcionários e o tipo de falta específico, como F=Férias, L=Licença, P=Pessoal e dois espaços reservados para entradas personalizadas."/>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NomeDoFuncionário" displayName="NomeDoFuncionário" ref="B2:B7" totalsRowShown="0" headerRowDxfId="4" headerRowBorderDxfId="2" tableBorderDxfId="3" totalsRowBorderDxfId="1">
  <autoFilter ref="B2:B7" xr:uid="{00000000-0009-0000-0100-00000D000000}"/>
  <tableColumns count="1">
    <tableColumn id="1" xr3:uid="{00000000-0010-0000-0C00-000001000000}" name="Diretor" dataDxfId="0" dataCellStyle="Funcionário"/>
  </tableColumns>
  <tableStyleInfo name="Tabela de Faltas dos Funcionários" showFirstColumn="1" showLastColumn="1" showRowStripes="1" showColumnStripes="0"/>
  <extLst>
    <ext xmlns:x14="http://schemas.microsoft.com/office/spreadsheetml/2009/9/main" uri="{504A1905-F514-4f6f-8877-14C23A59335A}">
      <x14:table altTextSummary="Insira os nomes dos funcionários nesta tabela. Estes nomes são usados como opções na coluna B de agenda de faltas de cada mês."/>
    </ext>
  </extLst>
</table>
</file>

<file path=xl/theme/theme1.xml><?xml version="1.0" encoding="utf-8"?>
<a:theme xmlns:a="http://schemas.openxmlformats.org/drawingml/2006/main" name="Office Theme">
  <a:themeElements>
    <a:clrScheme name="TM03987167">
      <a:dk1>
        <a:srgbClr val="000000"/>
      </a:dk1>
      <a:lt1>
        <a:srgbClr val="FFFFFF"/>
      </a:lt1>
      <a:dk2>
        <a:srgbClr val="44546A"/>
      </a:dk2>
      <a:lt2>
        <a:srgbClr val="E7E6E6"/>
      </a:lt2>
      <a:accent1>
        <a:srgbClr val="1F452F"/>
      </a:accent1>
      <a:accent2>
        <a:srgbClr val="709A97"/>
      </a:accent2>
      <a:accent3>
        <a:srgbClr val="1B417C"/>
      </a:accent3>
      <a:accent4>
        <a:srgbClr val="D8A141"/>
      </a:accent4>
      <a:accent5>
        <a:srgbClr val="CAAFF3"/>
      </a:accent5>
      <a:accent6>
        <a:srgbClr val="EF5C37"/>
      </a:accent6>
      <a:hlink>
        <a:srgbClr val="0563C1"/>
      </a:hlink>
      <a:folHlink>
        <a:srgbClr val="954F72"/>
      </a:folHlink>
    </a:clrScheme>
    <a:fontScheme name="Employee Absence Schedule">
      <a:majorFont>
        <a:latin typeface="Calibri"/>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39997558519241921"/>
  </sheetPr>
  <dimension ref="A1:AM18"/>
  <sheetViews>
    <sheetView showGridLines="0" tabSelected="1" zoomScale="96" zoomScaleNormal="96" workbookViewId="0">
      <selection activeCell="B20" sqref="B20"/>
    </sheetView>
  </sheetViews>
  <sheetFormatPr defaultColWidth="8.7109375" defaultRowHeight="30" customHeight="1"/>
  <cols>
    <col min="1" max="1" width="2.7109375" customWidth="1"/>
    <col min="2" max="2" width="33.42578125" bestFit="1" customWidth="1"/>
    <col min="3" max="33" width="4.7109375" customWidth="1"/>
    <col min="34" max="34" width="14.85546875" customWidth="1"/>
    <col min="35" max="35" width="2.7109375" customWidth="1"/>
  </cols>
  <sheetData>
    <row r="1" spans="1:39" s="10" customFormat="1" ht="58.5" customHeight="1">
      <c r="A1"/>
      <c r="B1" s="75" t="s">
        <v>0</v>
      </c>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row>
    <row r="2" spans="1:39" s="10" customFormat="1" ht="15" customHeight="1">
      <c r="A2"/>
      <c r="B2" s="7"/>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row>
    <row r="3" spans="1:39" ht="30" customHeight="1">
      <c r="B3" s="24" t="s">
        <v>1</v>
      </c>
      <c r="C3" s="18" t="s">
        <v>2</v>
      </c>
      <c r="D3" s="79" t="s">
        <v>3</v>
      </c>
      <c r="E3" s="79"/>
      <c r="G3" s="73" t="s">
        <v>4</v>
      </c>
      <c r="H3" s="79" t="s">
        <v>5</v>
      </c>
      <c r="I3" s="79"/>
      <c r="J3" s="79"/>
      <c r="K3" s="79"/>
      <c r="M3" s="17" t="s">
        <v>6</v>
      </c>
      <c r="N3" s="79" t="s">
        <v>7</v>
      </c>
      <c r="O3" s="79"/>
      <c r="P3" s="38"/>
      <c r="Q3" s="78"/>
      <c r="R3" s="78"/>
      <c r="S3" s="78"/>
      <c r="T3" s="78"/>
      <c r="U3" s="19"/>
      <c r="V3" s="78"/>
      <c r="W3" s="78"/>
      <c r="X3" s="78"/>
      <c r="Y3" s="78"/>
    </row>
    <row r="4" spans="1:39" ht="15" customHeight="1">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3"/>
    </row>
    <row r="5" spans="1:39" ht="23.25">
      <c r="B5" s="5"/>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5">
        <v>2027</v>
      </c>
    </row>
    <row r="6" spans="1:39" ht="30" customHeight="1">
      <c r="B6" s="5"/>
      <c r="C6" s="15" t="str">
        <f>TEXT(WEEKDAY(DATE(AnoCalendário,1,1),1),"ddd")</f>
        <v>sex</v>
      </c>
      <c r="D6" s="15" t="str">
        <f>TEXT(WEEKDAY(DATE(AnoCalendário,1,2),1),"ddd")</f>
        <v>sáb</v>
      </c>
      <c r="E6" s="15" t="str">
        <f>TEXT(WEEKDAY(DATE(AnoCalendário,1,3),1),"ddd")</f>
        <v>dom</v>
      </c>
      <c r="F6" s="15" t="str">
        <f>TEXT(WEEKDAY(DATE(AnoCalendário,1,4),1),"ddd")</f>
        <v>seg</v>
      </c>
      <c r="G6" s="15" t="str">
        <f>TEXT(WEEKDAY(DATE(AnoCalendário,1,5),1),"ddd")</f>
        <v>ter</v>
      </c>
      <c r="H6" s="15" t="str">
        <f>TEXT(WEEKDAY(DATE(AnoCalendário,1,6),1),"ddd")</f>
        <v>qua</v>
      </c>
      <c r="I6" s="15" t="str">
        <f>TEXT(WEEKDAY(DATE(AnoCalendário,1,7),1),"ddd")</f>
        <v>qui</v>
      </c>
      <c r="J6" s="15" t="str">
        <f>TEXT(WEEKDAY(DATE(AnoCalendário,1,8),1),"ddd")</f>
        <v>sex</v>
      </c>
      <c r="K6" s="15" t="str">
        <f>TEXT(WEEKDAY(DATE(AnoCalendário,1,9),1),"ddd")</f>
        <v>sáb</v>
      </c>
      <c r="L6" s="15" t="str">
        <f>TEXT(WEEKDAY(DATE(AnoCalendário,1,10),1),"ddd")</f>
        <v>dom</v>
      </c>
      <c r="M6" s="15" t="str">
        <f>TEXT(WEEKDAY(DATE(AnoCalendário,1,11),1),"ddd")</f>
        <v>seg</v>
      </c>
      <c r="N6" s="15" t="str">
        <f>TEXT(WEEKDAY(DATE(AnoCalendário,1,12),1),"ddd")</f>
        <v>ter</v>
      </c>
      <c r="O6" s="15" t="str">
        <f>TEXT(WEEKDAY(DATE(AnoCalendário,1,13),1),"ddd")</f>
        <v>qua</v>
      </c>
      <c r="P6" s="15" t="str">
        <f>TEXT(WEEKDAY(DATE(AnoCalendário,1,14),1),"ddd")</f>
        <v>qui</v>
      </c>
      <c r="Q6" s="15" t="str">
        <f>TEXT(WEEKDAY(DATE(AnoCalendário,1,15),1),"ddd")</f>
        <v>sex</v>
      </c>
      <c r="R6" s="15" t="str">
        <f>TEXT(WEEKDAY(DATE(AnoCalendário,1,16),1),"ddd")</f>
        <v>sáb</v>
      </c>
      <c r="S6" s="15" t="str">
        <f>TEXT(WEEKDAY(DATE(AnoCalendário,1,17),1),"ddd")</f>
        <v>dom</v>
      </c>
      <c r="T6" s="15" t="str">
        <f>TEXT(WEEKDAY(DATE(AnoCalendário,1,18),1),"ddd")</f>
        <v>seg</v>
      </c>
      <c r="U6" s="15" t="str">
        <f>TEXT(WEEKDAY(DATE(AnoCalendário,1,19),1),"ddd")</f>
        <v>ter</v>
      </c>
      <c r="V6" s="15" t="str">
        <f>TEXT(WEEKDAY(DATE(AnoCalendário,1,20),1),"ddd")</f>
        <v>qua</v>
      </c>
      <c r="W6" s="15" t="str">
        <f>TEXT(WEEKDAY(DATE(AnoCalendário,1,21),1),"ddd")</f>
        <v>qui</v>
      </c>
      <c r="X6" s="15" t="str">
        <f>TEXT(WEEKDAY(DATE(AnoCalendário,1,22),1),"ddd")</f>
        <v>sex</v>
      </c>
      <c r="Y6" s="15" t="str">
        <f>TEXT(WEEKDAY(DATE(AnoCalendário,1,23),1),"ddd")</f>
        <v>sáb</v>
      </c>
      <c r="Z6" s="15" t="str">
        <f>TEXT(WEEKDAY(DATE(AnoCalendário,1,24),1),"ddd")</f>
        <v>dom</v>
      </c>
      <c r="AA6" s="15" t="str">
        <f>TEXT(WEEKDAY(DATE(AnoCalendário,1,25),1),"ddd")</f>
        <v>seg</v>
      </c>
      <c r="AB6" s="15" t="str">
        <f>TEXT(WEEKDAY(DATE(AnoCalendário,1,26),1),"ddd")</f>
        <v>ter</v>
      </c>
      <c r="AC6" s="15" t="str">
        <f>TEXT(WEEKDAY(DATE(AnoCalendário,1,27),1),"ddd")</f>
        <v>qua</v>
      </c>
      <c r="AD6" s="15" t="str">
        <f>TEXT(WEEKDAY(DATE(AnoCalendário,1,28),1),"ddd")</f>
        <v>qui</v>
      </c>
      <c r="AE6" s="15" t="str">
        <f>TEXT(WEEKDAY(DATE(AnoCalendário,1,29),1),"ddd")</f>
        <v>sex</v>
      </c>
      <c r="AF6" s="15" t="str">
        <f>TEXT(WEEKDAY(DATE(AnoCalendário,1,30),1),"ddd")</f>
        <v>sáb</v>
      </c>
      <c r="AG6" s="15" t="str">
        <f>TEXT(WEEKDAY(DATE(AnoCalendário,1,31),1),"ddd")</f>
        <v>dom</v>
      </c>
      <c r="AH6" s="5"/>
    </row>
    <row r="7" spans="1:39" ht="30" customHeight="1">
      <c r="B7" s="20" t="s">
        <v>8</v>
      </c>
      <c r="C7" s="1" t="s">
        <v>9</v>
      </c>
      <c r="D7" s="1" t="s">
        <v>10</v>
      </c>
      <c r="E7" s="1" t="s">
        <v>11</v>
      </c>
      <c r="F7" s="1" t="s">
        <v>12</v>
      </c>
      <c r="G7" s="1" t="s">
        <v>13</v>
      </c>
      <c r="H7" s="1" t="s">
        <v>14</v>
      </c>
      <c r="I7" s="1" t="s">
        <v>15</v>
      </c>
      <c r="J7" s="1" t="s">
        <v>16</v>
      </c>
      <c r="K7" s="1" t="s">
        <v>17</v>
      </c>
      <c r="L7" s="1" t="s">
        <v>18</v>
      </c>
      <c r="M7" s="1" t="s">
        <v>19</v>
      </c>
      <c r="N7" s="1" t="s">
        <v>20</v>
      </c>
      <c r="O7" s="1" t="s">
        <v>21</v>
      </c>
      <c r="P7" s="1" t="s">
        <v>22</v>
      </c>
      <c r="Q7" s="1" t="s">
        <v>23</v>
      </c>
      <c r="R7" s="1" t="s">
        <v>24</v>
      </c>
      <c r="S7" s="1" t="s">
        <v>25</v>
      </c>
      <c r="T7" s="1" t="s">
        <v>26</v>
      </c>
      <c r="U7" s="1" t="s">
        <v>27</v>
      </c>
      <c r="V7" s="1" t="s">
        <v>28</v>
      </c>
      <c r="W7" s="1" t="s">
        <v>29</v>
      </c>
      <c r="X7" s="1" t="s">
        <v>30</v>
      </c>
      <c r="Y7" s="1" t="s">
        <v>31</v>
      </c>
      <c r="Z7" s="1" t="s">
        <v>32</v>
      </c>
      <c r="AA7" s="1" t="s">
        <v>33</v>
      </c>
      <c r="AB7" s="1" t="s">
        <v>34</v>
      </c>
      <c r="AC7" s="1" t="s">
        <v>35</v>
      </c>
      <c r="AD7" s="1" t="s">
        <v>36</v>
      </c>
      <c r="AE7" s="1" t="s">
        <v>37</v>
      </c>
      <c r="AF7" s="1" t="s">
        <v>38</v>
      </c>
      <c r="AG7" s="1" t="s">
        <v>39</v>
      </c>
      <c r="AH7" s="16" t="s">
        <v>40</v>
      </c>
      <c r="AJ7" s="33"/>
      <c r="AL7" s="76"/>
      <c r="AM7" s="76"/>
    </row>
    <row r="8" spans="1:39" ht="30" customHeight="1">
      <c r="B8" s="2" t="s">
        <v>41</v>
      </c>
      <c r="C8" s="21"/>
      <c r="D8" s="21"/>
      <c r="E8" s="22"/>
      <c r="F8" s="22" t="s">
        <v>2</v>
      </c>
      <c r="G8" s="22" t="s">
        <v>2</v>
      </c>
      <c r="H8" s="22" t="s">
        <v>2</v>
      </c>
      <c r="I8" s="22" t="s">
        <v>2</v>
      </c>
      <c r="J8" s="22" t="s">
        <v>2</v>
      </c>
      <c r="K8" s="22" t="s">
        <v>2</v>
      </c>
      <c r="L8" s="22" t="s">
        <v>2</v>
      </c>
      <c r="M8" s="22" t="s">
        <v>2</v>
      </c>
      <c r="N8" s="22" t="s">
        <v>2</v>
      </c>
      <c r="O8" s="22" t="s">
        <v>2</v>
      </c>
      <c r="P8" s="22" t="s">
        <v>2</v>
      </c>
      <c r="Q8" s="22" t="s">
        <v>2</v>
      </c>
      <c r="R8" s="22" t="s">
        <v>2</v>
      </c>
      <c r="S8" s="22" t="s">
        <v>2</v>
      </c>
      <c r="T8" s="22" t="s">
        <v>2</v>
      </c>
      <c r="U8" s="22" t="s">
        <v>2</v>
      </c>
      <c r="V8" s="22" t="s">
        <v>2</v>
      </c>
      <c r="W8" s="22" t="s">
        <v>2</v>
      </c>
      <c r="X8" s="22" t="s">
        <v>2</v>
      </c>
      <c r="Y8" s="21"/>
      <c r="Z8" s="21"/>
      <c r="AA8" s="21"/>
      <c r="AB8" s="21"/>
      <c r="AC8" s="21"/>
      <c r="AD8" s="21"/>
      <c r="AE8" s="21"/>
      <c r="AF8" s="21"/>
      <c r="AG8" s="21"/>
      <c r="AH8" s="3">
        <f>COUNTA(Janeiro!$C8:$AG8)</f>
        <v>19</v>
      </c>
      <c r="AJ8" s="26"/>
      <c r="AK8" s="25"/>
      <c r="AL8" s="25"/>
      <c r="AM8" s="25"/>
    </row>
    <row r="9" spans="1:39" ht="30" customHeight="1">
      <c r="B9" s="2"/>
      <c r="C9" s="40"/>
      <c r="D9" s="40"/>
      <c r="E9" s="39"/>
      <c r="F9" s="39"/>
      <c r="G9" s="39"/>
      <c r="H9" s="39"/>
      <c r="I9" s="39"/>
      <c r="J9" s="40" t="s">
        <v>42</v>
      </c>
      <c r="K9" s="39"/>
      <c r="L9" s="39"/>
      <c r="M9" s="39"/>
      <c r="N9" s="39"/>
      <c r="O9" s="39"/>
      <c r="P9" s="39"/>
      <c r="Q9" s="39"/>
      <c r="R9" s="40"/>
      <c r="S9" s="23"/>
      <c r="T9" s="23"/>
      <c r="U9" s="23"/>
      <c r="V9" s="23"/>
      <c r="W9" s="23"/>
      <c r="X9" s="23"/>
      <c r="Y9" s="23"/>
      <c r="Z9" s="23"/>
      <c r="AA9" s="23"/>
      <c r="AB9" s="23"/>
      <c r="AC9" s="23"/>
      <c r="AD9" s="23"/>
      <c r="AE9" s="23"/>
      <c r="AF9" s="23"/>
      <c r="AG9" s="23"/>
      <c r="AH9" s="3"/>
      <c r="AJ9" s="25"/>
      <c r="AK9" s="25"/>
      <c r="AL9" s="25"/>
      <c r="AM9" s="25"/>
    </row>
    <row r="10" spans="1:39" ht="30" customHeight="1">
      <c r="B10" s="2" t="s">
        <v>43</v>
      </c>
      <c r="C10" s="2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3">
        <f>COUNTA(Janeiro!$C10:$AG10)</f>
        <v>0</v>
      </c>
      <c r="AJ10" s="25"/>
      <c r="AK10" s="25"/>
      <c r="AL10" s="25"/>
      <c r="AM10" s="25"/>
    </row>
    <row r="11" spans="1:39" ht="30" customHeight="1">
      <c r="B11" s="2"/>
      <c r="C11" s="40"/>
      <c r="D11" s="23"/>
      <c r="E11" s="23"/>
      <c r="F11" s="23"/>
      <c r="G11" s="23"/>
      <c r="H11" s="23"/>
      <c r="I11" s="23"/>
      <c r="J11" s="23"/>
      <c r="K11" s="23"/>
      <c r="L11" s="23"/>
      <c r="M11" s="23"/>
      <c r="N11" s="23"/>
      <c r="O11" s="23"/>
      <c r="P11" s="23"/>
      <c r="Q11" s="23"/>
      <c r="R11" s="59"/>
      <c r="S11" s="23"/>
      <c r="T11" s="23"/>
      <c r="U11" s="40"/>
      <c r="V11" s="23"/>
      <c r="W11" s="23"/>
      <c r="X11" s="40"/>
      <c r="Y11" s="23"/>
      <c r="Z11" s="23"/>
      <c r="AA11" s="40"/>
      <c r="AB11" s="23"/>
      <c r="AC11" s="23"/>
      <c r="AD11" s="23"/>
      <c r="AE11" s="23"/>
      <c r="AF11" s="23"/>
      <c r="AG11" s="23"/>
      <c r="AH11" s="3"/>
      <c r="AJ11" s="25"/>
      <c r="AK11" s="25"/>
      <c r="AL11" s="25"/>
      <c r="AM11" s="25"/>
    </row>
    <row r="12" spans="1:39" ht="30" customHeight="1">
      <c r="B12" s="2" t="s">
        <v>44</v>
      </c>
      <c r="C12" s="21" t="s">
        <v>2</v>
      </c>
      <c r="D12" s="21" t="s">
        <v>2</v>
      </c>
      <c r="E12" s="21" t="s">
        <v>2</v>
      </c>
      <c r="F12" s="21" t="s">
        <v>2</v>
      </c>
      <c r="G12" s="21" t="s">
        <v>2</v>
      </c>
      <c r="H12" s="21" t="s">
        <v>2</v>
      </c>
      <c r="I12" s="21" t="s">
        <v>2</v>
      </c>
      <c r="J12" s="21" t="s">
        <v>2</v>
      </c>
      <c r="K12" s="21" t="s">
        <v>2</v>
      </c>
      <c r="L12" s="21" t="s">
        <v>2</v>
      </c>
      <c r="M12" s="21" t="s">
        <v>2</v>
      </c>
      <c r="N12" s="21" t="s">
        <v>2</v>
      </c>
      <c r="O12" s="21" t="s">
        <v>2</v>
      </c>
      <c r="P12" s="21" t="s">
        <v>2</v>
      </c>
      <c r="Q12" s="21"/>
      <c r="R12" s="21"/>
      <c r="S12" s="21"/>
      <c r="T12" s="21"/>
      <c r="U12" s="21"/>
      <c r="V12" s="21"/>
      <c r="W12" s="21"/>
      <c r="X12" s="21"/>
      <c r="Y12" s="21"/>
      <c r="Z12" s="21"/>
      <c r="AA12" s="21"/>
      <c r="AB12" s="21"/>
      <c r="AC12" s="21"/>
      <c r="AD12" s="21"/>
      <c r="AE12" s="21"/>
      <c r="AF12" s="21"/>
      <c r="AG12" s="21"/>
      <c r="AH12" s="3">
        <f>COUNTA(Janeiro!$C12:$AG12)</f>
        <v>14</v>
      </c>
      <c r="AJ12" s="25"/>
      <c r="AK12" s="25"/>
      <c r="AL12" s="25"/>
      <c r="AM12" s="25"/>
    </row>
    <row r="13" spans="1:39" ht="30" customHeight="1">
      <c r="B13" s="2"/>
      <c r="C13" s="40" t="s">
        <v>45</v>
      </c>
      <c r="D13" s="23"/>
      <c r="E13" s="23"/>
      <c r="F13" s="23"/>
      <c r="G13" s="23"/>
      <c r="H13" s="23"/>
      <c r="I13" s="23"/>
      <c r="J13" s="23"/>
      <c r="K13" s="23"/>
      <c r="L13" s="23"/>
      <c r="M13" s="23"/>
      <c r="N13" s="23"/>
      <c r="O13" s="23"/>
      <c r="P13" s="23"/>
      <c r="Q13" s="23"/>
      <c r="R13" s="23"/>
      <c r="S13" s="23"/>
      <c r="T13" s="40"/>
      <c r="U13" s="23"/>
      <c r="V13" s="23"/>
      <c r="W13" s="23"/>
      <c r="X13" s="23"/>
      <c r="Y13" s="23"/>
      <c r="Z13" s="23"/>
      <c r="AA13" s="23"/>
      <c r="AB13" s="23"/>
      <c r="AC13" s="23"/>
      <c r="AD13" s="23"/>
      <c r="AE13" s="23"/>
      <c r="AF13" s="23"/>
      <c r="AG13" s="23"/>
      <c r="AH13" s="3"/>
      <c r="AJ13" s="25"/>
      <c r="AK13" s="25"/>
      <c r="AL13" s="25"/>
      <c r="AM13" s="25"/>
    </row>
    <row r="14" spans="1:39" ht="30" customHeight="1">
      <c r="B14" s="2" t="s">
        <v>46</v>
      </c>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3">
        <f>COUNTA(Janeiro!$C14:$AG14)</f>
        <v>0</v>
      </c>
      <c r="AJ14" s="25"/>
      <c r="AK14" s="25"/>
      <c r="AL14" s="25"/>
      <c r="AM14" s="25"/>
    </row>
    <row r="15" spans="1:39" ht="30" customHeight="1">
      <c r="B15" s="2"/>
      <c r="C15" s="23"/>
      <c r="D15" s="23"/>
      <c r="E15" s="23"/>
      <c r="F15" s="23"/>
      <c r="G15" s="40"/>
      <c r="H15" s="23"/>
      <c r="I15" s="23"/>
      <c r="J15" s="40"/>
      <c r="K15" s="23"/>
      <c r="L15" s="23"/>
      <c r="M15" s="23"/>
      <c r="N15" s="23"/>
      <c r="O15" s="23"/>
      <c r="P15" s="23"/>
      <c r="Q15" s="40"/>
      <c r="R15" s="23"/>
      <c r="S15" s="23"/>
      <c r="T15" s="23"/>
      <c r="U15" s="23"/>
      <c r="V15" s="23"/>
      <c r="W15" s="40"/>
      <c r="X15" s="23"/>
      <c r="Y15" s="23"/>
      <c r="Z15" s="40"/>
      <c r="AA15" s="23"/>
      <c r="AB15" s="23"/>
      <c r="AC15" s="23"/>
      <c r="AD15" s="23"/>
      <c r="AE15" s="23"/>
      <c r="AF15" s="23"/>
      <c r="AG15" s="23"/>
      <c r="AH15" s="3"/>
      <c r="AJ15" s="25"/>
      <c r="AK15" s="25"/>
      <c r="AL15" s="25"/>
      <c r="AM15" s="25"/>
    </row>
    <row r="16" spans="1:39" ht="30" customHeight="1">
      <c r="B16" s="2" t="s">
        <v>47</v>
      </c>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3">
        <f>COUNTA(Janeiro!$C16:$AG16)</f>
        <v>0</v>
      </c>
      <c r="AJ16" s="25"/>
      <c r="AK16" s="25"/>
      <c r="AL16" s="25"/>
      <c r="AM16" s="25"/>
    </row>
    <row r="17" spans="2:39" ht="30" customHeight="1">
      <c r="B17" s="2"/>
      <c r="C17" s="40"/>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3"/>
      <c r="AJ17" s="25"/>
      <c r="AK17" s="25"/>
      <c r="AL17" s="25"/>
      <c r="AM17" s="25"/>
    </row>
    <row r="18" spans="2:39" ht="30" customHeight="1">
      <c r="B18" s="1" t="s">
        <v>48</v>
      </c>
      <c r="C18" s="4">
        <f>COUNTA(C8,C10,C12,C14,C16)</f>
        <v>1</v>
      </c>
      <c r="D18" s="4">
        <f>COUNTA(D8,D10,D12,D14,D16)</f>
        <v>1</v>
      </c>
      <c r="E18" s="4">
        <f t="shared" ref="E18:AG18" si="0">COUNTA(E8,E10,E12,E14,E16)</f>
        <v>1</v>
      </c>
      <c r="F18" s="4">
        <f t="shared" si="0"/>
        <v>2</v>
      </c>
      <c r="G18" s="4">
        <f t="shared" si="0"/>
        <v>2</v>
      </c>
      <c r="H18" s="4">
        <f t="shared" si="0"/>
        <v>2</v>
      </c>
      <c r="I18" s="4">
        <f t="shared" si="0"/>
        <v>2</v>
      </c>
      <c r="J18" s="4">
        <f t="shared" si="0"/>
        <v>2</v>
      </c>
      <c r="K18" s="4">
        <f t="shared" si="0"/>
        <v>2</v>
      </c>
      <c r="L18" s="4">
        <f t="shared" si="0"/>
        <v>2</v>
      </c>
      <c r="M18" s="4">
        <f t="shared" si="0"/>
        <v>2</v>
      </c>
      <c r="N18" s="4">
        <f t="shared" si="0"/>
        <v>2</v>
      </c>
      <c r="O18" s="4">
        <f t="shared" si="0"/>
        <v>2</v>
      </c>
      <c r="P18" s="4">
        <f t="shared" si="0"/>
        <v>2</v>
      </c>
      <c r="Q18" s="4">
        <f t="shared" si="0"/>
        <v>1</v>
      </c>
      <c r="R18" s="4">
        <f t="shared" si="0"/>
        <v>1</v>
      </c>
      <c r="S18" s="4">
        <f t="shared" si="0"/>
        <v>1</v>
      </c>
      <c r="T18" s="4">
        <f t="shared" si="0"/>
        <v>1</v>
      </c>
      <c r="U18" s="4">
        <f t="shared" si="0"/>
        <v>1</v>
      </c>
      <c r="V18" s="4">
        <f t="shared" si="0"/>
        <v>1</v>
      </c>
      <c r="W18" s="4">
        <f t="shared" si="0"/>
        <v>1</v>
      </c>
      <c r="X18" s="4">
        <f t="shared" si="0"/>
        <v>1</v>
      </c>
      <c r="Y18" s="4">
        <f t="shared" si="0"/>
        <v>0</v>
      </c>
      <c r="Z18" s="4">
        <f t="shared" si="0"/>
        <v>0</v>
      </c>
      <c r="AA18" s="4">
        <f t="shared" si="0"/>
        <v>0</v>
      </c>
      <c r="AB18" s="4">
        <f t="shared" si="0"/>
        <v>0</v>
      </c>
      <c r="AC18" s="4">
        <f t="shared" si="0"/>
        <v>0</v>
      </c>
      <c r="AD18" s="4">
        <f t="shared" si="0"/>
        <v>0</v>
      </c>
      <c r="AE18" s="4">
        <f t="shared" si="0"/>
        <v>0</v>
      </c>
      <c r="AF18" s="4">
        <f t="shared" si="0"/>
        <v>0</v>
      </c>
      <c r="AG18" s="4">
        <f t="shared" si="0"/>
        <v>0</v>
      </c>
      <c r="AH18" s="4"/>
      <c r="AJ18" s="25"/>
      <c r="AK18" s="25"/>
      <c r="AL18" s="25"/>
      <c r="AM18" s="25"/>
    </row>
  </sheetData>
  <mergeCells count="8">
    <mergeCell ref="B1:AH1"/>
    <mergeCell ref="AL7:AM7"/>
    <mergeCell ref="C5:AG5"/>
    <mergeCell ref="Q3:T3"/>
    <mergeCell ref="V3:Y3"/>
    <mergeCell ref="D3:E3"/>
    <mergeCell ref="H3:K3"/>
    <mergeCell ref="N3:O3"/>
  </mergeCells>
  <phoneticPr fontId="26" type="noConversion"/>
  <conditionalFormatting sqref="C8:AG17">
    <cfRule type="cellIs" dxfId="1142" priority="6" operator="equal">
      <formula>"L"</formula>
    </cfRule>
    <cfRule type="cellIs" dxfId="1141" priority="7" operator="equal">
      <formula>"A"</formula>
    </cfRule>
    <cfRule type="cellIs" dxfId="1140" priority="8" operator="equal">
      <formula>"A"</formula>
    </cfRule>
    <cfRule type="cellIs" dxfId="1139" priority="10" operator="equal">
      <formula>"A"</formula>
    </cfRule>
    <cfRule type="expression" priority="13" stopIfTrue="1">
      <formula>C8=""</formula>
    </cfRule>
    <cfRule type="expression" dxfId="1138" priority="18" stopIfTrue="1">
      <formula>C8=ChavePersonalizada2</formula>
    </cfRule>
    <cfRule type="expression" dxfId="1137" priority="19" stopIfTrue="1">
      <formula>C8=ChavePersonalizada1</formula>
    </cfRule>
    <cfRule type="expression" dxfId="1136" priority="20" stopIfTrue="1">
      <formula>C8=ChaveLicençaMédica</formula>
    </cfRule>
    <cfRule type="expression" dxfId="1135" priority="21" stopIfTrue="1">
      <formula>C8=ChavePessoal</formula>
    </cfRule>
    <cfRule type="expression" dxfId="1134" priority="22" stopIfTrue="1">
      <formula>C8=ChaveFérias</formula>
    </cfRule>
  </conditionalFormatting>
  <conditionalFormatting sqref="AA8">
    <cfRule type="cellIs" dxfId="1133" priority="9" operator="equal">
      <formula>"A"</formula>
    </cfRule>
  </conditionalFormatting>
  <conditionalFormatting sqref="AH8">
    <cfRule type="dataBar" priority="3">
      <dataBar>
        <cfvo type="min"/>
        <cfvo type="formula" val="DATEDIF(DATE(AnoCalendário,2,1),DATE(AnoCalendário,3,1),&quot;d&quot;)"/>
        <color theme="2" tint="-0.249977111117893"/>
      </dataBar>
      <extLst>
        <ext xmlns:x14="http://schemas.microsoft.com/office/spreadsheetml/2009/9/main" uri="{B025F937-C7B1-47D3-B67F-A62EFF666E3E}">
          <x14:id>{130374DD-DD23-4261-A4E9-B47B06F21156}</x14:id>
        </ext>
      </extLst>
    </cfRule>
  </conditionalFormatting>
  <conditionalFormatting sqref="AH9 AH11 AH15 AH13 AH17">
    <cfRule type="dataBar" priority="180">
      <dataBar>
        <cfvo type="num" val="0"/>
        <cfvo type="num" val="31"/>
        <color theme="4"/>
      </dataBar>
      <extLst>
        <ext xmlns:x14="http://schemas.microsoft.com/office/spreadsheetml/2009/9/main" uri="{B025F937-C7B1-47D3-B67F-A62EFF666E3E}">
          <x14:id>{ECCE2C3C-1B01-4700-B60E-DAAAB19A9C1A}</x14:id>
        </ext>
      </extLst>
    </cfRule>
  </conditionalFormatting>
  <conditionalFormatting sqref="AH10">
    <cfRule type="dataBar" priority="5">
      <dataBar>
        <cfvo type="min"/>
        <cfvo type="formula" val="DATEDIF(DATE(AnoCalendário,2,1),DATE(AnoCalendário,3,1),&quot;d&quot;)"/>
        <color theme="2" tint="-0.249977111117893"/>
      </dataBar>
      <extLst>
        <ext xmlns:x14="http://schemas.microsoft.com/office/spreadsheetml/2009/9/main" uri="{B025F937-C7B1-47D3-B67F-A62EFF666E3E}">
          <x14:id>{B01798A2-5E5C-4E0B-9173-85A17958CE1F}</x14:id>
        </ext>
      </extLst>
    </cfRule>
  </conditionalFormatting>
  <conditionalFormatting sqref="AH12">
    <cfRule type="dataBar" priority="2">
      <dataBar>
        <cfvo type="min"/>
        <cfvo type="formula" val="DATEDIF(DATE(AnoCalendário,2,1),DATE(AnoCalendário,3,1),&quot;d&quot;)"/>
        <color theme="2" tint="-0.249977111117893"/>
      </dataBar>
      <extLst>
        <ext xmlns:x14="http://schemas.microsoft.com/office/spreadsheetml/2009/9/main" uri="{B025F937-C7B1-47D3-B67F-A62EFF666E3E}">
          <x14:id>{8013CBF7-F235-4568-9FF9-CB0D5F8F0AAF}</x14:id>
        </ext>
      </extLst>
    </cfRule>
  </conditionalFormatting>
  <conditionalFormatting sqref="AH14">
    <cfRule type="dataBar" priority="4">
      <dataBar>
        <cfvo type="min"/>
        <cfvo type="formula" val="DATEDIF(DATE(AnoCalendário,2,1),DATE(AnoCalendário,3,1),&quot;d&quot;)"/>
        <color theme="2" tint="-0.249977111117893"/>
      </dataBar>
      <extLst>
        <ext xmlns:x14="http://schemas.microsoft.com/office/spreadsheetml/2009/9/main" uri="{B025F937-C7B1-47D3-B67F-A62EFF666E3E}">
          <x14:id>{F03364DD-4F86-488E-B048-8F0366FF1D4C}</x14:id>
        </ext>
      </extLst>
    </cfRule>
  </conditionalFormatting>
  <conditionalFormatting sqref="AH16">
    <cfRule type="dataBar" priority="1">
      <dataBar>
        <cfvo type="min"/>
        <cfvo type="formula" val="DATEDIF(DATE(AnoCalendário,2,1),DATE(AnoCalendário,3,1),&quot;d&quot;)"/>
        <color theme="2" tint="-0.249977111117893"/>
      </dataBar>
      <extLst>
        <ext xmlns:x14="http://schemas.microsoft.com/office/spreadsheetml/2009/9/main" uri="{B025F937-C7B1-47D3-B67F-A62EFF666E3E}">
          <x14:id>{2CC6B86E-F797-4FCE-A73A-B73AF044460E}</x14:id>
        </ext>
      </extLst>
    </cfRule>
  </conditionalFormatting>
  <dataValidations xWindow="1562" yWindow="327" count="14">
    <dataValidation allowBlank="1" showInputMessage="1" showErrorMessage="1" prompt="Os dias do mês nesta linha são gerados automaticamente. Insira a falta e o tipo de falta de um funcionário em cada coluna de cada dia do mês. Espaço vazio significa sem faltas." sqref="C7" xr:uid="{FAB55708-481E-2E48-9F66-3C8E8545F6B0}"/>
    <dataValidation allowBlank="1" showInputMessage="1" showErrorMessage="1" prompt="A letra &quot;F&quot; indica falta devido a férias." sqref="C3" xr:uid="{826E8EB1-D998-4C6F-8976-A54738AB62EF}"/>
    <dataValidation allowBlank="1" showInputMessage="1" showErrorMessage="1" prompt="A letra &quot;P&quot; indica falta devido a motivos pessoais." sqref="G3" xr:uid="{08DD1447-34FA-421D-828E-ECEA57FBC181}"/>
    <dataValidation allowBlank="1" showInputMessage="1" showErrorMessage="1" prompt="A letra &quot;L&quot; indica falta devido à licença médica." sqref="M3" xr:uid="{50D45ECC-3A8F-48C7-867B-E39D632C1574}"/>
    <dataValidation allowBlank="1" showInputMessage="1" showErrorMessage="1" prompt="Insira uma letra e personalize o rótulo à direita para adicionar outro item de chave." sqref="U3" xr:uid="{FEABEF84-83D3-7D42-BA7C-926AE09CBA1E}"/>
    <dataValidation allowBlank="1" showInputMessage="1" showErrorMessage="1" prompt="Digite um rótulo para descrever a chave personalizada à esquerda." sqref="V3 Q3" xr:uid="{12884A59-5F75-0848-A6CD-363E691B1D2A}"/>
    <dataValidation allowBlank="1" showInputMessage="1" showErrorMessage="1" prompt="Insira o ano na célula abaixo." sqref="AH4" xr:uid="{00000000-0002-0000-0000-00000E000000}"/>
    <dataValidation allowBlank="1" showInputMessage="1" showErrorMessage="1" prompt="O nome do mês para essa agenda de faltas está nesta célula. Os totais de faltas deste mês estão na última célula da tabela. Selecione os nomes dos funcionários na tabela B." sqref="B1" xr:uid="{DF4494D1-42F6-BB47-AFAB-18021A3441AC}"/>
    <dataValidation allowBlank="1" showInputMessage="1" showErrorMessage="1" prompt="O título atualizado automaticamente está nesta célula. Para modificar o título, atualize B1 na planilha Janeiro." sqref="B1" xr:uid="{20FFCBA6-5698-4E4B-9E75-1B2FD678A862}"/>
    <dataValidation errorStyle="warning" allowBlank="1" showInputMessage="1" showErrorMessage="1" error="Selecione o nome da lista. Selecione Cancelar e pressione Alt+Seta para baixo e Enter para selecionar um nome." prompt="Insira os nomes dos funcionários na planilha Nomes dos funcionários e selecione um dos nomes da lista nesta coluna. Pressione Alt+Seta para baixo e, em seguida, ENTER para selecionar um nome." sqref="B7" xr:uid="{FE3C1916-A13B-EF44-83B6-EF87C12834B2}"/>
    <dataValidation allowBlank="1" showInputMessage="1" showErrorMessage="1" prompt="Calcula automaticamente o número total de dias que um funcionário esteve ausente neste mês nesta coluna" sqref="AH7" xr:uid="{17D68424-3ED0-774F-A440-37779B4905D7}"/>
    <dataValidation allowBlank="1" showInputMessage="1" showErrorMessage="1" prompt="Insira o ano nesta célula." sqref="AH5" xr:uid="{00000000-0002-0000-0000-000000000000}"/>
    <dataValidation allowBlank="1" showInputMessage="1" showErrorMessage="1" prompt="Os dias da semana nesta linha são atualizados automaticamente para o mês de acordo com o ano na célula AH4. Cada dia do mês é uma coluna para indicar a falta e o tipo de falta de um funcionário." sqref="C6" xr:uid="{F6CAA384-C773-F044-845D-980CB65F95B2}"/>
    <dataValidation allowBlank="1" showInputMessage="1" showErrorMessage="1" prompt="Esta linha define as chaves utilizadas na tabela: a célula C4 é Férias, G4 é Pessoal e K4 é Licença médica. As células N4 e R4 são personalizáveis " sqref="B3" xr:uid="{254C5299-B8DC-4E28-AD10-F93B45AED253}"/>
  </dataValidations>
  <pageMargins left="0.7" right="0.7" top="0.75" bottom="0.75" header="0.3" footer="0.3"/>
  <pageSetup paperSize="9" fitToHeight="0"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130374DD-DD23-4261-A4E9-B47B06F21156}">
            <x14:dataBar minLength="0" maxLength="100">
              <x14:cfvo type="autoMin"/>
              <x14:cfvo type="formula">
                <xm:f>DATEDIF(DATE(AnoCalendário,2,1),DATE(AnoCalendário,3,1),"d")</xm:f>
              </x14:cfvo>
              <x14:negativeFillColor rgb="FFFF0000"/>
              <x14:axisColor rgb="FF000000"/>
            </x14:dataBar>
          </x14:cfRule>
          <xm:sqref>AH8</xm:sqref>
        </x14:conditionalFormatting>
        <x14:conditionalFormatting xmlns:xm="http://schemas.microsoft.com/office/excel/2006/main">
          <x14:cfRule type="dataBar" id="{ECCE2C3C-1B01-4700-B60E-DAAAB19A9C1A}">
            <x14:dataBar minLength="0" maxLength="100" gradient="0">
              <x14:cfvo type="num">
                <xm:f>0</xm:f>
              </x14:cfvo>
              <x14:cfvo type="num">
                <xm:f>31</xm:f>
              </x14:cfvo>
              <x14:negativeFillColor rgb="FFFF0000"/>
              <x14:axisColor rgb="FF000000"/>
            </x14:dataBar>
          </x14:cfRule>
          <xm:sqref>AH9 AH11 AH15 AH13 AH17</xm:sqref>
        </x14:conditionalFormatting>
        <x14:conditionalFormatting xmlns:xm="http://schemas.microsoft.com/office/excel/2006/main">
          <x14:cfRule type="dataBar" id="{B01798A2-5E5C-4E0B-9173-85A17958CE1F}">
            <x14:dataBar minLength="0" maxLength="100">
              <x14:cfvo type="autoMin"/>
              <x14:cfvo type="formula">
                <xm:f>DATEDIF(DATE(AnoCalendário,2,1),DATE(AnoCalendário,3,1),"d")</xm:f>
              </x14:cfvo>
              <x14:negativeFillColor rgb="FFFF0000"/>
              <x14:axisColor rgb="FF000000"/>
            </x14:dataBar>
          </x14:cfRule>
          <xm:sqref>AH10</xm:sqref>
        </x14:conditionalFormatting>
        <x14:conditionalFormatting xmlns:xm="http://schemas.microsoft.com/office/excel/2006/main">
          <x14:cfRule type="dataBar" id="{8013CBF7-F235-4568-9FF9-CB0D5F8F0AAF}">
            <x14:dataBar minLength="0" maxLength="100">
              <x14:cfvo type="autoMin"/>
              <x14:cfvo type="formula">
                <xm:f>DATEDIF(DATE(AnoCalendário,2,1),DATE(AnoCalendário,3,1),"d")</xm:f>
              </x14:cfvo>
              <x14:negativeFillColor rgb="FFFF0000"/>
              <x14:axisColor rgb="FF000000"/>
            </x14:dataBar>
          </x14:cfRule>
          <xm:sqref>AH12</xm:sqref>
        </x14:conditionalFormatting>
        <x14:conditionalFormatting xmlns:xm="http://schemas.microsoft.com/office/excel/2006/main">
          <x14:cfRule type="dataBar" id="{F03364DD-4F86-488E-B048-8F0366FF1D4C}">
            <x14:dataBar minLength="0" maxLength="100">
              <x14:cfvo type="autoMin"/>
              <x14:cfvo type="formula">
                <xm:f>DATEDIF(DATE(AnoCalendário,2,1),DATE(AnoCalendário,3,1),"d")</xm:f>
              </x14:cfvo>
              <x14:negativeFillColor rgb="FFFF0000"/>
              <x14:axisColor rgb="FF000000"/>
            </x14:dataBar>
          </x14:cfRule>
          <xm:sqref>AH14</xm:sqref>
        </x14:conditionalFormatting>
        <x14:conditionalFormatting xmlns:xm="http://schemas.microsoft.com/office/excel/2006/main">
          <x14:cfRule type="dataBar" id="{2CC6B86E-F797-4FCE-A73A-B73AF044460E}">
            <x14:dataBar minLength="0" maxLength="100">
              <x14:cfvo type="autoMin"/>
              <x14:cfvo type="formula">
                <xm:f>DATEDIF(DATE(AnoCalendário,2,1),DATE(AnoCalendário,3,1),"d")</xm:f>
              </x14:cfvo>
              <x14:negativeFillColor rgb="FFFF0000"/>
              <x14:axisColor rgb="FF000000"/>
            </x14:dataBar>
          </x14:cfRule>
          <xm:sqref>AH16</xm:sqref>
        </x14:conditionalFormatting>
      </x14:conditionalFormattings>
    </ext>
    <ext xmlns:x14="http://schemas.microsoft.com/office/spreadsheetml/2009/9/main" uri="{CCE6A557-97BC-4b89-ADB6-D9C93CAAB3DF}">
      <x14:dataValidations xmlns:xm="http://schemas.microsoft.com/office/excel/2006/main" xWindow="1562" yWindow="327" count="1">
        <x14:dataValidation type="list" allowBlank="1" showInputMessage="1" showErrorMessage="1" xr:uid="{00000000-0002-0000-0000-00000F000000}">
          <x14:formula1>
            <xm:f>Diretores!$B$3:$B$7</xm:f>
          </x14:formula1>
          <xm:sqref>B8:B17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AF18"/>
  <sheetViews>
    <sheetView showGridLines="0" zoomScale="112" zoomScaleNormal="112" workbookViewId="0">
      <selection activeCell="H10" sqref="H10"/>
    </sheetView>
  </sheetViews>
  <sheetFormatPr defaultColWidth="9.140625" defaultRowHeight="30" customHeight="1"/>
  <cols>
    <col min="1" max="1" width="2.7109375" customWidth="1"/>
    <col min="2" max="2" width="33.140625" customWidth="1"/>
    <col min="3" max="9" width="4.7109375" customWidth="1"/>
    <col min="10" max="10" width="6.5703125" customWidth="1"/>
    <col min="11" max="11" width="5.28515625" customWidth="1"/>
    <col min="12" max="31" width="4.7109375" customWidth="1"/>
    <col min="32" max="32" width="14.85546875" customWidth="1"/>
    <col min="33" max="33" width="2.7109375" customWidth="1"/>
  </cols>
  <sheetData>
    <row r="1" spans="1:32" s="9" customFormat="1" ht="61.5">
      <c r="A1" s="75" t="s">
        <v>49</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row>
    <row r="2" spans="1:32" ht="15" customHeight="1">
      <c r="B2" s="7"/>
      <c r="C2" s="8"/>
      <c r="D2" s="8"/>
      <c r="E2" s="8"/>
      <c r="F2" s="8"/>
      <c r="G2" s="8"/>
      <c r="H2" s="8"/>
      <c r="I2" s="8"/>
      <c r="J2" s="8"/>
      <c r="K2" s="8"/>
      <c r="L2" s="8"/>
      <c r="M2" s="8"/>
      <c r="N2" s="8"/>
      <c r="O2" s="8"/>
      <c r="P2" s="8"/>
      <c r="Q2" s="8"/>
      <c r="R2" s="8"/>
      <c r="S2" s="8"/>
      <c r="T2" s="8"/>
      <c r="U2" s="8"/>
      <c r="V2" s="8"/>
      <c r="W2" s="8"/>
      <c r="X2" s="8"/>
      <c r="Y2" s="8"/>
      <c r="Z2" s="8"/>
      <c r="AA2" s="8"/>
      <c r="AB2" s="8"/>
      <c r="AC2" s="8"/>
      <c r="AD2" s="8"/>
      <c r="AE2" s="8"/>
      <c r="AF2" s="8"/>
    </row>
    <row r="3" spans="1:32" ht="30" customHeight="1">
      <c r="B3" s="24" t="s">
        <v>1</v>
      </c>
      <c r="C3" s="18" t="s">
        <v>2</v>
      </c>
      <c r="D3" s="79" t="s">
        <v>3</v>
      </c>
      <c r="E3" s="79"/>
      <c r="G3" s="73" t="s">
        <v>4</v>
      </c>
      <c r="H3" s="80" t="s">
        <v>5</v>
      </c>
      <c r="I3" s="80"/>
      <c r="J3" s="80"/>
      <c r="K3" s="80"/>
      <c r="M3" s="17" t="s">
        <v>6</v>
      </c>
      <c r="N3" s="79" t="s">
        <v>7</v>
      </c>
      <c r="O3" s="79"/>
      <c r="P3" s="69"/>
      <c r="Q3" s="38"/>
      <c r="R3" s="38"/>
      <c r="S3" s="38"/>
      <c r="T3" s="38"/>
      <c r="U3" s="32"/>
      <c r="V3" s="34"/>
      <c r="W3" s="34"/>
      <c r="X3" s="34"/>
      <c r="Y3" s="34"/>
    </row>
    <row r="4" spans="1:32" ht="15" customHeight="1">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row>
    <row r="5" spans="1:32" ht="23.25">
      <c r="B5" s="5"/>
      <c r="C5" s="81"/>
      <c r="D5" s="81"/>
      <c r="E5" s="81"/>
      <c r="F5" s="81"/>
      <c r="G5" s="81"/>
      <c r="H5" s="81"/>
      <c r="I5" s="81"/>
      <c r="J5" s="81"/>
      <c r="K5" s="81"/>
      <c r="L5" s="81"/>
      <c r="M5" s="81"/>
      <c r="N5" s="81"/>
      <c r="O5" s="81"/>
      <c r="P5" s="81"/>
      <c r="Q5" s="81"/>
      <c r="R5" s="81"/>
      <c r="S5" s="81"/>
      <c r="T5" s="81"/>
      <c r="U5" s="81"/>
      <c r="V5" s="81"/>
      <c r="W5" s="81"/>
      <c r="X5" s="81"/>
      <c r="Y5" s="81"/>
      <c r="Z5" s="81"/>
      <c r="AA5" s="81"/>
      <c r="AB5" s="81"/>
      <c r="AC5" s="81"/>
      <c r="AD5" s="81"/>
      <c r="AE5" s="81"/>
      <c r="AF5" s="5">
        <v>2027</v>
      </c>
    </row>
    <row r="6" spans="1:32" ht="30" customHeight="1">
      <c r="B6" s="5"/>
      <c r="C6" s="15" t="str">
        <f>TEXT(WEEKDAY(DATE(AnoCalendário,2,1),1),"ddd")</f>
        <v>seg</v>
      </c>
      <c r="D6" s="15" t="str">
        <f>TEXT(WEEKDAY(DATE(AnoCalendário,2,2),1),"ddd")</f>
        <v>ter</v>
      </c>
      <c r="E6" s="15" t="str">
        <f>TEXT(WEEKDAY(DATE(AnoCalendário,2,3),1),"ddd")</f>
        <v>qua</v>
      </c>
      <c r="F6" s="15" t="str">
        <f>TEXT(WEEKDAY(DATE(AnoCalendário,2,4),1),"ddd")</f>
        <v>qui</v>
      </c>
      <c r="G6" s="15" t="str">
        <f>TEXT(WEEKDAY(DATE(AnoCalendário,2,5),1),"ddd")</f>
        <v>sex</v>
      </c>
      <c r="H6" s="15" t="str">
        <f>TEXT(WEEKDAY(DATE(AnoCalendário,2,6),1),"ddd")</f>
        <v>sáb</v>
      </c>
      <c r="I6" s="15" t="str">
        <f>TEXT(WEEKDAY(DATE(AnoCalendário,2,7),1),"ddd")</f>
        <v>dom</v>
      </c>
      <c r="J6" s="15" t="str">
        <f>TEXT(WEEKDAY(DATE(AnoCalendário,2,8),1),"ddd")</f>
        <v>seg</v>
      </c>
      <c r="K6" s="15" t="str">
        <f>TEXT(WEEKDAY(DATE(AnoCalendário,2,9),1),"ddd")</f>
        <v>ter</v>
      </c>
      <c r="L6" s="15" t="str">
        <f>TEXT(WEEKDAY(DATE(AnoCalendário,2,10),1),"ddd")</f>
        <v>qua</v>
      </c>
      <c r="M6" s="15" t="str">
        <f>TEXT(WEEKDAY(DATE(AnoCalendário,2,11),1),"ddd")</f>
        <v>qui</v>
      </c>
      <c r="N6" s="15" t="str">
        <f>TEXT(WEEKDAY(DATE(AnoCalendário,2,12),1),"ddd")</f>
        <v>sex</v>
      </c>
      <c r="O6" s="15" t="str">
        <f>TEXT(WEEKDAY(DATE(AnoCalendário,2,13),1),"ddd")</f>
        <v>sáb</v>
      </c>
      <c r="P6" s="15" t="str">
        <f>TEXT(WEEKDAY(DATE(AnoCalendário,2,14),1),"ddd")</f>
        <v>dom</v>
      </c>
      <c r="Q6" s="15" t="str">
        <f>TEXT(WEEKDAY(DATE(AnoCalendário,2,15),1),"ddd")</f>
        <v>seg</v>
      </c>
      <c r="R6" s="15" t="str">
        <f>TEXT(WEEKDAY(DATE(AnoCalendário,2,16),1),"ddd")</f>
        <v>ter</v>
      </c>
      <c r="S6" s="15" t="str">
        <f>TEXT(WEEKDAY(DATE(AnoCalendário,2,17),1),"ddd")</f>
        <v>qua</v>
      </c>
      <c r="T6" s="15" t="str">
        <f>TEXT(WEEKDAY(DATE(AnoCalendário,2,18),1),"ddd")</f>
        <v>qui</v>
      </c>
      <c r="U6" s="15" t="str">
        <f>TEXT(WEEKDAY(DATE(AnoCalendário,2,19),1),"ddd")</f>
        <v>sex</v>
      </c>
      <c r="V6" s="15" t="str">
        <f>TEXT(WEEKDAY(DATE(AnoCalendário,2,20),1),"ddd")</f>
        <v>sáb</v>
      </c>
      <c r="W6" s="15" t="str">
        <f>TEXT(WEEKDAY(DATE(AnoCalendário,2,21),1),"ddd")</f>
        <v>dom</v>
      </c>
      <c r="X6" s="15" t="str">
        <f>TEXT(WEEKDAY(DATE(AnoCalendário,2,22),1),"ddd")</f>
        <v>seg</v>
      </c>
      <c r="Y6" s="15" t="str">
        <f>TEXT(WEEKDAY(DATE(AnoCalendário,2,23),1),"ddd")</f>
        <v>ter</v>
      </c>
      <c r="Z6" s="15" t="str">
        <f>TEXT(WEEKDAY(DATE(AnoCalendário,2,24),1),"ddd")</f>
        <v>qua</v>
      </c>
      <c r="AA6" s="15" t="str">
        <f>TEXT(WEEKDAY(DATE(AnoCalendário,2,25),1),"ddd")</f>
        <v>qui</v>
      </c>
      <c r="AB6" s="15" t="str">
        <f>TEXT(WEEKDAY(DATE(AnoCalendário,2,26),1),"ddd")</f>
        <v>sex</v>
      </c>
      <c r="AC6" s="15" t="str">
        <f>TEXT(WEEKDAY(DATE(AnoCalendário,2,27),1),"ddd")</f>
        <v>sáb</v>
      </c>
      <c r="AD6" s="15" t="str">
        <f>TEXT(WEEKDAY(DATE(AnoCalendário,2,28),1),"ddd")</f>
        <v>dom</v>
      </c>
      <c r="AE6" s="15" t="str">
        <f>TEXT(WEEKDAY(DATE(AnoCalendário,2,29),1),"ddd")</f>
        <v>seg</v>
      </c>
      <c r="AF6" s="5"/>
    </row>
    <row r="7" spans="1:32" ht="30" customHeight="1">
      <c r="B7" s="20" t="s">
        <v>8</v>
      </c>
      <c r="C7" s="1" t="s">
        <v>9</v>
      </c>
      <c r="D7" s="1" t="s">
        <v>10</v>
      </c>
      <c r="E7" s="1" t="s">
        <v>11</v>
      </c>
      <c r="F7" s="1" t="s">
        <v>12</v>
      </c>
      <c r="G7" s="1" t="s">
        <v>13</v>
      </c>
      <c r="H7" s="1" t="s">
        <v>14</v>
      </c>
      <c r="I7" s="1" t="s">
        <v>15</v>
      </c>
      <c r="J7" s="1" t="s">
        <v>16</v>
      </c>
      <c r="K7" s="1" t="s">
        <v>17</v>
      </c>
      <c r="L7" s="1" t="s">
        <v>18</v>
      </c>
      <c r="M7" s="1" t="s">
        <v>19</v>
      </c>
      <c r="N7" s="1" t="s">
        <v>20</v>
      </c>
      <c r="O7" s="1" t="s">
        <v>21</v>
      </c>
      <c r="P7" s="1" t="s">
        <v>22</v>
      </c>
      <c r="Q7" s="1" t="s">
        <v>23</v>
      </c>
      <c r="R7" s="1" t="s">
        <v>24</v>
      </c>
      <c r="S7" s="1" t="s">
        <v>25</v>
      </c>
      <c r="T7" s="1" t="s">
        <v>26</v>
      </c>
      <c r="U7" s="1" t="s">
        <v>27</v>
      </c>
      <c r="V7" s="1" t="s">
        <v>28</v>
      </c>
      <c r="W7" s="1" t="s">
        <v>29</v>
      </c>
      <c r="X7" s="1" t="s">
        <v>30</v>
      </c>
      <c r="Y7" s="1" t="s">
        <v>31</v>
      </c>
      <c r="Z7" s="1" t="s">
        <v>32</v>
      </c>
      <c r="AA7" s="1" t="s">
        <v>33</v>
      </c>
      <c r="AB7" s="1" t="s">
        <v>34</v>
      </c>
      <c r="AC7" s="1" t="s">
        <v>35</v>
      </c>
      <c r="AD7" s="1" t="s">
        <v>36</v>
      </c>
      <c r="AE7" s="1" t="s">
        <v>37</v>
      </c>
      <c r="AF7" s="16" t="s">
        <v>40</v>
      </c>
    </row>
    <row r="8" spans="1:32" ht="30" customHeight="1">
      <c r="B8" s="2" t="s">
        <v>41</v>
      </c>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3">
        <f>COUNTA(Fevereiro[[#This Row],[1]:[29]])</f>
        <v>0</v>
      </c>
    </row>
    <row r="9" spans="1:32" ht="30" customHeight="1">
      <c r="B9" s="2"/>
      <c r="C9" s="31"/>
      <c r="D9" s="70"/>
      <c r="E9" s="31"/>
      <c r="F9" s="31"/>
      <c r="G9" s="31"/>
      <c r="H9" s="31"/>
      <c r="I9" s="31"/>
      <c r="J9" s="31"/>
      <c r="K9" s="71"/>
      <c r="L9" s="31"/>
      <c r="M9" s="31"/>
      <c r="N9" s="31"/>
      <c r="O9" s="72"/>
      <c r="P9" s="70"/>
      <c r="Q9" s="31"/>
      <c r="R9" s="72"/>
      <c r="S9" s="31"/>
      <c r="T9" s="31"/>
      <c r="U9" s="31"/>
      <c r="V9" s="70"/>
      <c r="W9" s="31"/>
      <c r="X9" s="31"/>
      <c r="Y9" s="31"/>
      <c r="Z9" s="70"/>
      <c r="AA9" s="31"/>
      <c r="AB9" s="31"/>
      <c r="AC9" s="31"/>
      <c r="AD9" s="31"/>
      <c r="AE9" s="31"/>
      <c r="AF9" s="3"/>
    </row>
    <row r="10" spans="1:32" ht="30" customHeight="1">
      <c r="B10" s="2" t="s">
        <v>43</v>
      </c>
      <c r="C10" s="14"/>
      <c r="D10" s="14"/>
      <c r="E10" s="14"/>
      <c r="F10" s="14"/>
      <c r="G10" s="14"/>
      <c r="H10" s="74"/>
      <c r="I10" s="14"/>
      <c r="J10" s="14"/>
      <c r="K10" s="14"/>
      <c r="L10" s="14"/>
      <c r="M10" s="14"/>
      <c r="N10" s="14"/>
      <c r="O10" s="14"/>
      <c r="P10" s="14"/>
      <c r="Q10" s="14"/>
      <c r="R10" s="14"/>
      <c r="S10" s="14"/>
      <c r="T10" s="14"/>
      <c r="U10" s="14"/>
      <c r="V10" s="14"/>
      <c r="W10" s="14"/>
      <c r="X10" s="14"/>
      <c r="Y10" s="14"/>
      <c r="Z10" s="14"/>
      <c r="AA10" s="14"/>
      <c r="AB10" s="14"/>
      <c r="AC10" s="14"/>
      <c r="AD10" s="14"/>
      <c r="AE10" s="14"/>
      <c r="AF10" s="3">
        <f>COUNTA(Fevereiro[[#This Row],[1]:[29]])</f>
        <v>0</v>
      </c>
    </row>
    <row r="11" spans="1:32" ht="30" customHeight="1">
      <c r="B11" s="2"/>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
    </row>
    <row r="12" spans="1:32" ht="30" customHeight="1">
      <c r="B12" s="2" t="s">
        <v>44</v>
      </c>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3">
        <f>COUNTA(Fevereiro[[#This Row],[1]:[29]])</f>
        <v>0</v>
      </c>
    </row>
    <row r="13" spans="1:32" ht="30" customHeight="1">
      <c r="B13" s="2"/>
      <c r="C13" s="31"/>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
    </row>
    <row r="14" spans="1:32" ht="30" customHeight="1">
      <c r="B14" s="2" t="s">
        <v>46</v>
      </c>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3">
        <f>COUNTA(Fevereiro[[#This Row],[1]:[29]])</f>
        <v>0</v>
      </c>
    </row>
    <row r="15" spans="1:32" ht="30" customHeight="1">
      <c r="B15" s="2"/>
      <c r="C15" s="70"/>
      <c r="D15" s="31"/>
      <c r="E15" s="31"/>
      <c r="F15" s="31"/>
      <c r="G15" s="31"/>
      <c r="H15" s="31"/>
      <c r="I15" s="31"/>
      <c r="J15" s="31"/>
      <c r="K15" s="31"/>
      <c r="L15" s="31"/>
      <c r="M15" s="31"/>
      <c r="N15" s="31"/>
      <c r="O15" s="31"/>
      <c r="P15" s="31"/>
      <c r="Q15" s="40"/>
      <c r="R15" s="31"/>
      <c r="S15" s="31"/>
      <c r="T15" s="31"/>
      <c r="U15" s="31"/>
      <c r="V15" s="31"/>
      <c r="W15" s="31"/>
      <c r="X15" s="31"/>
      <c r="Y15" s="31"/>
      <c r="Z15" s="31"/>
      <c r="AA15" s="31"/>
      <c r="AB15" s="31"/>
      <c r="AC15" s="31"/>
      <c r="AD15" s="31"/>
      <c r="AE15" s="31"/>
      <c r="AF15" s="3"/>
    </row>
    <row r="16" spans="1:32" ht="30" customHeight="1">
      <c r="B16" s="2" t="s">
        <v>47</v>
      </c>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3">
        <f>COUNTA(Fevereiro[[#This Row],[1]:[29]])</f>
        <v>0</v>
      </c>
    </row>
    <row r="17" spans="2:32" ht="30" customHeight="1">
      <c r="B17" s="2"/>
      <c r="C17" s="31"/>
      <c r="D17" s="31"/>
      <c r="E17" s="31"/>
      <c r="F17" s="31"/>
      <c r="G17" s="31"/>
      <c r="H17" s="31"/>
      <c r="I17" s="31"/>
      <c r="J17" s="31"/>
      <c r="K17" s="31"/>
      <c r="L17" s="70"/>
      <c r="M17" s="31"/>
      <c r="N17" s="31"/>
      <c r="O17" s="31"/>
      <c r="P17" s="31"/>
      <c r="Q17" s="31"/>
      <c r="R17" s="31"/>
      <c r="S17" s="31"/>
      <c r="T17" s="31"/>
      <c r="U17" s="31"/>
      <c r="V17" s="31"/>
      <c r="W17" s="31"/>
      <c r="X17" s="31"/>
      <c r="Y17" s="31"/>
      <c r="Z17" s="31"/>
      <c r="AA17" s="31"/>
      <c r="AB17" s="31"/>
      <c r="AC17" s="31"/>
      <c r="AD17" s="31"/>
      <c r="AE17" s="31"/>
      <c r="AF17" s="3"/>
    </row>
    <row r="18" spans="2:32" ht="30" customHeight="1">
      <c r="B18" s="1" t="s">
        <v>48</v>
      </c>
      <c r="C18" s="4">
        <f>COUNTA(C8,C10,C12,C14,C16)</f>
        <v>0</v>
      </c>
      <c r="D18" s="4">
        <f t="shared" ref="D18:AD18" si="0">COUNTA(D8,D10,D12,D14,D16)</f>
        <v>0</v>
      </c>
      <c r="E18" s="4">
        <f t="shared" si="0"/>
        <v>0</v>
      </c>
      <c r="F18" s="4">
        <f t="shared" si="0"/>
        <v>0</v>
      </c>
      <c r="G18" s="4">
        <f t="shared" si="0"/>
        <v>0</v>
      </c>
      <c r="H18" s="4">
        <f t="shared" si="0"/>
        <v>0</v>
      </c>
      <c r="I18" s="4">
        <f t="shared" si="0"/>
        <v>0</v>
      </c>
      <c r="J18" s="4">
        <f t="shared" si="0"/>
        <v>0</v>
      </c>
      <c r="K18" s="4">
        <f t="shared" si="0"/>
        <v>0</v>
      </c>
      <c r="L18" s="4">
        <f t="shared" si="0"/>
        <v>0</v>
      </c>
      <c r="M18" s="4">
        <f t="shared" si="0"/>
        <v>0</v>
      </c>
      <c r="N18" s="4">
        <f t="shared" si="0"/>
        <v>0</v>
      </c>
      <c r="O18" s="4">
        <f t="shared" si="0"/>
        <v>0</v>
      </c>
      <c r="P18" s="4">
        <f t="shared" si="0"/>
        <v>0</v>
      </c>
      <c r="Q18" s="4">
        <f t="shared" si="0"/>
        <v>0</v>
      </c>
      <c r="R18" s="4">
        <f t="shared" si="0"/>
        <v>0</v>
      </c>
      <c r="S18" s="4">
        <f t="shared" si="0"/>
        <v>0</v>
      </c>
      <c r="T18" s="4">
        <f t="shared" si="0"/>
        <v>0</v>
      </c>
      <c r="U18" s="4">
        <f t="shared" si="0"/>
        <v>0</v>
      </c>
      <c r="V18" s="4">
        <f t="shared" si="0"/>
        <v>0</v>
      </c>
      <c r="W18" s="4">
        <f t="shared" si="0"/>
        <v>0</v>
      </c>
      <c r="X18" s="4">
        <f t="shared" si="0"/>
        <v>0</v>
      </c>
      <c r="Y18" s="4">
        <f t="shared" si="0"/>
        <v>0</v>
      </c>
      <c r="Z18" s="4">
        <f t="shared" si="0"/>
        <v>0</v>
      </c>
      <c r="AA18" s="4">
        <f t="shared" si="0"/>
        <v>0</v>
      </c>
      <c r="AB18" s="4">
        <f t="shared" si="0"/>
        <v>0</v>
      </c>
      <c r="AC18" s="4">
        <f t="shared" si="0"/>
        <v>0</v>
      </c>
      <c r="AD18" s="4">
        <f t="shared" si="0"/>
        <v>0</v>
      </c>
      <c r="AE18" s="4">
        <f>COUNTA(AE8,AE10,AE12,AE14,AE16)</f>
        <v>0</v>
      </c>
      <c r="AF18" s="4"/>
    </row>
  </sheetData>
  <mergeCells count="5">
    <mergeCell ref="D3:E3"/>
    <mergeCell ref="A1:AF1"/>
    <mergeCell ref="H3:K3"/>
    <mergeCell ref="N3:O3"/>
    <mergeCell ref="C5:AE5"/>
  </mergeCells>
  <phoneticPr fontId="26" type="noConversion"/>
  <conditionalFormatting sqref="C8:AE14 C15:P15 R15:AE15 C16:AE17">
    <cfRule type="cellIs" dxfId="1063" priority="11" operator="equal">
      <formula>"L"</formula>
    </cfRule>
    <cfRule type="cellIs" dxfId="1062" priority="12" operator="equal">
      <formula>"A"</formula>
    </cfRule>
    <cfRule type="expression" priority="16" stopIfTrue="1">
      <formula>C8=""</formula>
    </cfRule>
    <cfRule type="expression" dxfId="1061" priority="17" stopIfTrue="1">
      <formula>C8=ChavePersonalizada2</formula>
    </cfRule>
    <cfRule type="expression" dxfId="1060" priority="19" stopIfTrue="1">
      <formula>C8=ChavePersonalizada1</formula>
    </cfRule>
    <cfRule type="expression" dxfId="1059" priority="20" stopIfTrue="1">
      <formula>C8=ChaveLicençaMédica</formula>
    </cfRule>
    <cfRule type="expression" dxfId="1058" priority="21" stopIfTrue="1">
      <formula>C8=ChavePessoal</formula>
    </cfRule>
    <cfRule type="expression" dxfId="1057" priority="22" stopIfTrue="1">
      <formula>C8=ChaveFérias</formula>
    </cfRule>
  </conditionalFormatting>
  <conditionalFormatting sqref="F8">
    <cfRule type="cellIs" dxfId="1056" priority="13" operator="equal">
      <formula>"A"</formula>
    </cfRule>
  </conditionalFormatting>
  <conditionalFormatting sqref="Q15">
    <cfRule type="cellIs" dxfId="1055" priority="1" operator="equal">
      <formula>"L"</formula>
    </cfRule>
    <cfRule type="cellIs" dxfId="1054" priority="2" operator="equal">
      <formula>"A"</formula>
    </cfRule>
    <cfRule type="cellIs" dxfId="1053" priority="3" operator="equal">
      <formula>"A"</formula>
    </cfRule>
    <cfRule type="cellIs" dxfId="1052" priority="4" operator="equal">
      <formula>"A"</formula>
    </cfRule>
    <cfRule type="expression" priority="5" stopIfTrue="1">
      <formula>Q15=""</formula>
    </cfRule>
    <cfRule type="expression" dxfId="1051" priority="6" stopIfTrue="1">
      <formula>Q15=ChavePersonalizada2</formula>
    </cfRule>
    <cfRule type="expression" dxfId="1050" priority="7" stopIfTrue="1">
      <formula>Q15=ChavePersonalizada1</formula>
    </cfRule>
    <cfRule type="expression" dxfId="1049" priority="8" stopIfTrue="1">
      <formula>Q15=ChaveLicençaMédica</formula>
    </cfRule>
    <cfRule type="expression" dxfId="1048" priority="9" stopIfTrue="1">
      <formula>Q15=ChavePessoal</formula>
    </cfRule>
    <cfRule type="expression" dxfId="1047" priority="10" stopIfTrue="1">
      <formula>Q15=ChaveFérias</formula>
    </cfRule>
  </conditionalFormatting>
  <conditionalFormatting sqref="AE6">
    <cfRule type="expression" dxfId="1046" priority="14">
      <formula>MONTH(DATE(AnoCalendário,2,29))&lt;&gt;2</formula>
    </cfRule>
  </conditionalFormatting>
  <conditionalFormatting sqref="AE7">
    <cfRule type="expression" dxfId="1045" priority="30">
      <formula>MONTH(DATE(AnoCalendário,2,29))&lt;&gt;2</formula>
    </cfRule>
  </conditionalFormatting>
  <conditionalFormatting sqref="AF8:AF17">
    <cfRule type="dataBar" priority="167">
      <dataBar>
        <cfvo type="min"/>
        <cfvo type="formula" val="DATEDIF(DATE(AnoCalendário,2,1),DATE(AnoCalendário,3,1),&quot;d&quot;)"/>
        <color theme="4"/>
      </dataBar>
      <extLst>
        <ext xmlns:x14="http://schemas.microsoft.com/office/spreadsheetml/2009/9/main" uri="{B025F937-C7B1-47D3-B67F-A62EFF666E3E}">
          <x14:id>{94738C71-AB78-40C3-A818-D083AE35CC38}</x14:id>
        </ext>
      </extLst>
    </cfRule>
  </conditionalFormatting>
  <dataValidations xWindow="232" yWindow="365" count="13">
    <dataValidation allowBlank="1" showInputMessage="1" showErrorMessage="1" prompt="Calcula automaticamente o número total de dias em que um funcionário esteve ausente deste mês nesta coluna." sqref="AF7" xr:uid="{77246999-1DD3-7143-AA66-1A208D7E07C6}"/>
    <dataValidation allowBlank="1" showInputMessage="1" showErrorMessage="1" prompt="O título atualizado automaticamente está nesta célula. Para modificar o título, atualize B1 na planilha Janeiro." sqref="A1" xr:uid="{25CD9922-3074-4625-AB7B-CEAC8AE3E571}"/>
    <dataValidation allowBlank="1" showInputMessage="1" showErrorMessage="1" prompt="O nome do mês para essa agenda de faltas está nesta célula. Os totais de faltas deste mês estão na última célula da tabela. Selecione os nomes dos funcionários na tabela B." sqref="A1" xr:uid="{218DBFF3-8572-404D-91AC-B4AAF5209627}"/>
    <dataValidation errorStyle="warning" allowBlank="1" showInputMessage="1" showErrorMessage="1" error="Selecione o nome da lista. Selecione Cancelar e pressione Alt+Seta para baixo e Enter para selecionar um nome." prompt="Insira os nomes dos funcionários na planilha Nomes dos funcionários e selecione um dos nomes da lista nesta coluna. Pressione Alt+Seta para baixo e, em seguida, ENTER para selecionar um nome." sqref="B7" xr:uid="{FF6651E4-B39E-4990-9105-A6DA8A267CA8}"/>
    <dataValidation allowBlank="1" showInputMessage="1" showErrorMessage="1" prompt="Insira um rótulo para descrever a chave personalizada à esquerda." sqref="V3 Q3" xr:uid="{00000000-0002-0000-0100-000007000000}"/>
    <dataValidation allowBlank="1" showInputMessage="1" showErrorMessage="1" prompt="Insira uma letra e personalize o rótulo à direita para adicionar outro item de chave." sqref="U3" xr:uid="{00000000-0002-0000-0100-000008000000}"/>
    <dataValidation allowBlank="1" showInputMessage="1" showErrorMessage="1" prompt="A letra &quot;L&quot; indica falta devido à licença médica." sqref="M3" xr:uid="{59C62D9A-BC1D-4D33-88AF-078D7B58AC16}"/>
    <dataValidation allowBlank="1" showInputMessage="1" showErrorMessage="1" prompt="A letra &quot;P&quot; indica falta devido a motivos pessoais." sqref="G3" xr:uid="{B70A4103-67D1-4076-8D1D-40BD659F24CF}"/>
    <dataValidation allowBlank="1" showInputMessage="1" showErrorMessage="1" prompt="A letra &quot;F&quot; indica falta devido a férias." sqref="C3" xr:uid="{63E218EB-80F0-4C89-A934-0666BA0A5DC3}"/>
    <dataValidation allowBlank="1" showInputMessage="1" showErrorMessage="1" prompt="Os dias do mês nesta linha são gerados automaticamente. Insira a falta e o tipo de falta de um funcionário em cada coluna de cada dia do mês. Espaço vazio significa sem faltas." sqref="C7" xr:uid="{00000000-0002-0000-0100-00000D000000}"/>
    <dataValidation allowBlank="1" showInputMessage="1" showErrorMessage="1" prompt="Os dias da semana nesta linha são atualizados automaticamente para o mês de acordo com o ano na célula AH4. Cada dia do mês é uma coluna para indicar a falta e o tipo de falta de um funcionário." sqref="C6" xr:uid="{525721C9-B345-0C4C-8302-350AF692807F}"/>
    <dataValidation allowBlank="1" showInputMessage="1" showErrorMessage="1" prompt="Esta linha define as chaves utilizadas na tabela: a célula C4 é Férias, G4 é Pessoal e K4 é Licença médica. As células N4 e R4 são personalizáveis " sqref="B3" xr:uid="{E02B4559-F764-4F65-8D14-4F2C9D2258F2}"/>
    <dataValidation allowBlank="1" showInputMessage="1" showErrorMessage="1" prompt="Insira o ano nesta célula." sqref="AF5" xr:uid="{100AB7A0-3351-4D21-B039-910BE7656E96}"/>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94738C71-AB78-40C3-A818-D083AE35CC38}">
            <x14:dataBar minLength="0" maxLength="100" gradient="0">
              <x14:cfvo type="autoMin"/>
              <x14:cfvo type="formula">
                <xm:f>DATEDIF(DATE(AnoCalendário,2,1),DATE(AnoCalendário,3,1),"d")</xm:f>
              </x14:cfvo>
              <x14:negativeFillColor rgb="FFFF0000"/>
              <x14:axisColor rgb="FF000000"/>
            </x14:dataBar>
          </x14:cfRule>
          <xm:sqref>AF8:AF17</xm:sqref>
        </x14:conditionalFormatting>
      </x14:conditionalFormattings>
    </ext>
    <ext xmlns:x14="http://schemas.microsoft.com/office/spreadsheetml/2009/9/main" uri="{CCE6A557-97BC-4b89-ADB6-D9C93CAAB3DF}">
      <x14:dataValidations xmlns:xm="http://schemas.microsoft.com/office/excel/2006/main" xWindow="232" yWindow="365" count="1">
        <x14:dataValidation type="list" allowBlank="1" showInputMessage="1" showErrorMessage="1" xr:uid="{00000000-0002-0000-0100-00000E000000}">
          <x14:formula1>
            <xm:f>Diretores!$B$3:$B$7</xm:f>
          </x14:formula1>
          <xm:sqref>B8:B17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499984740745262"/>
  </sheetPr>
  <dimension ref="B1:AI18"/>
  <sheetViews>
    <sheetView showGridLines="0" zoomScale="106" zoomScaleNormal="106" workbookViewId="0">
      <selection activeCell="K13" sqref="K13"/>
    </sheetView>
  </sheetViews>
  <sheetFormatPr defaultColWidth="8.7109375" defaultRowHeight="30" customHeight="1"/>
  <cols>
    <col min="1" max="1" width="2.7109375" customWidth="1"/>
    <col min="2" max="2" width="33.28515625" customWidth="1"/>
    <col min="3" max="8" width="4.7109375" customWidth="1"/>
    <col min="9" max="9" width="6.28515625" customWidth="1"/>
    <col min="10" max="11" width="5.28515625" customWidth="1"/>
    <col min="12" max="33" width="4.7109375" customWidth="1"/>
    <col min="34" max="34" width="14.85546875" customWidth="1"/>
    <col min="35" max="35" width="2.7109375" customWidth="1"/>
  </cols>
  <sheetData>
    <row r="1" spans="2:35" ht="61.5">
      <c r="B1" s="82" t="s">
        <v>50</v>
      </c>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35"/>
    </row>
    <row r="2" spans="2:35" ht="15" customHeight="1">
      <c r="B2" s="7"/>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2:35" ht="30" customHeight="1">
      <c r="B3" s="24" t="s">
        <v>1</v>
      </c>
      <c r="C3" s="18" t="s">
        <v>2</v>
      </c>
      <c r="D3" s="79" t="s">
        <v>3</v>
      </c>
      <c r="E3" s="79"/>
      <c r="G3" s="73" t="s">
        <v>4</v>
      </c>
      <c r="H3" s="83" t="s">
        <v>5</v>
      </c>
      <c r="I3" s="83"/>
      <c r="J3" s="83"/>
      <c r="K3" s="83"/>
      <c r="M3" s="17" t="s">
        <v>6</v>
      </c>
      <c r="N3" s="79" t="s">
        <v>7</v>
      </c>
      <c r="O3" s="79"/>
      <c r="P3" s="69"/>
      <c r="Q3" s="38"/>
      <c r="R3" s="38"/>
      <c r="S3" s="38"/>
      <c r="T3" s="38"/>
      <c r="U3" s="32"/>
      <c r="V3" s="34"/>
      <c r="W3" s="34"/>
      <c r="X3" s="34"/>
      <c r="Y3" s="34"/>
    </row>
    <row r="4" spans="2:35" ht="15" customHeight="1">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2:35" ht="23.25">
      <c r="B5" s="5"/>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5">
        <v>2027</v>
      </c>
    </row>
    <row r="6" spans="2:35" ht="30" customHeight="1">
      <c r="B6" s="5"/>
      <c r="C6" s="15" t="str">
        <f>TEXT(WEEKDAY(DATE(AnoCalendário,3,1),1),"ddd")</f>
        <v>seg</v>
      </c>
      <c r="D6" s="15" t="str">
        <f>TEXT(WEEKDAY(DATE(AnoCalendário,3,2),1),"ddd")</f>
        <v>ter</v>
      </c>
      <c r="E6" s="15" t="str">
        <f>TEXT(WEEKDAY(DATE(AnoCalendário,3,3),1),"ddd")</f>
        <v>qua</v>
      </c>
      <c r="F6" s="15" t="str">
        <f>TEXT(WEEKDAY(DATE(AnoCalendário,3,4),1),"ddd")</f>
        <v>qui</v>
      </c>
      <c r="G6" s="15" t="str">
        <f>TEXT(WEEKDAY(DATE(AnoCalendário,3,5),1),"ddd")</f>
        <v>sex</v>
      </c>
      <c r="H6" s="15" t="str">
        <f>TEXT(WEEKDAY(DATE(AnoCalendário,3,6),1),"ddd")</f>
        <v>sáb</v>
      </c>
      <c r="I6" s="15" t="str">
        <f>TEXT(WEEKDAY(DATE(AnoCalendário,3,7),1),"ddd")</f>
        <v>dom</v>
      </c>
      <c r="J6" s="15" t="str">
        <f>TEXT(WEEKDAY(DATE(AnoCalendário,3,8),1),"ddd")</f>
        <v>seg</v>
      </c>
      <c r="K6" s="15" t="str">
        <f>TEXT(WEEKDAY(DATE(AnoCalendário,3,9),1),"ddd")</f>
        <v>ter</v>
      </c>
      <c r="L6" s="15" t="str">
        <f>TEXT(WEEKDAY(DATE(AnoCalendário,3,10),1),"ddd")</f>
        <v>qua</v>
      </c>
      <c r="M6" s="15" t="str">
        <f>TEXT(WEEKDAY(DATE(AnoCalendário,3,11),1),"ddd")</f>
        <v>qui</v>
      </c>
      <c r="N6" s="15" t="str">
        <f>TEXT(WEEKDAY(DATE(AnoCalendário,3,12),1),"ddd")</f>
        <v>sex</v>
      </c>
      <c r="O6" s="15" t="str">
        <f>TEXT(WEEKDAY(DATE(AnoCalendário,3,13),1),"ddd")</f>
        <v>sáb</v>
      </c>
      <c r="P6" s="15" t="str">
        <f>TEXT(WEEKDAY(DATE(AnoCalendário,3,14),1),"ddd")</f>
        <v>dom</v>
      </c>
      <c r="Q6" s="15" t="str">
        <f>TEXT(WEEKDAY(DATE(AnoCalendário,3,15),1),"ddd")</f>
        <v>seg</v>
      </c>
      <c r="R6" s="15" t="str">
        <f>TEXT(WEEKDAY(DATE(AnoCalendário,3,16),1),"ddd")</f>
        <v>ter</v>
      </c>
      <c r="S6" s="15" t="str">
        <f>TEXT(WEEKDAY(DATE(AnoCalendário,3,17),1),"ddd")</f>
        <v>qua</v>
      </c>
      <c r="T6" s="15" t="str">
        <f>TEXT(WEEKDAY(DATE(AnoCalendário,3,18),1),"ddd")</f>
        <v>qui</v>
      </c>
      <c r="U6" s="15" t="str">
        <f>TEXT(WEEKDAY(DATE(AnoCalendário,3,19),1),"ddd")</f>
        <v>sex</v>
      </c>
      <c r="V6" s="15" t="str">
        <f>TEXT(WEEKDAY(DATE(AnoCalendário,3,20),1),"ddd")</f>
        <v>sáb</v>
      </c>
      <c r="W6" s="15" t="str">
        <f>TEXT(WEEKDAY(DATE(AnoCalendário,3,21),1),"ddd")</f>
        <v>dom</v>
      </c>
      <c r="X6" s="15" t="str">
        <f>TEXT(WEEKDAY(DATE(AnoCalendário,3,22),1),"ddd")</f>
        <v>seg</v>
      </c>
      <c r="Y6" s="15" t="str">
        <f>TEXT(WEEKDAY(DATE(AnoCalendário,3,23),1),"ddd")</f>
        <v>ter</v>
      </c>
      <c r="Z6" s="15" t="str">
        <f>TEXT(WEEKDAY(DATE(AnoCalendário,3,24),1),"ddd")</f>
        <v>qua</v>
      </c>
      <c r="AA6" s="15" t="str">
        <f>TEXT(WEEKDAY(DATE(AnoCalendário,3,25),1),"ddd")</f>
        <v>qui</v>
      </c>
      <c r="AB6" s="15" t="str">
        <f>TEXT(WEEKDAY(DATE(AnoCalendário,3,26),1),"ddd")</f>
        <v>sex</v>
      </c>
      <c r="AC6" s="15" t="str">
        <f>TEXT(WEEKDAY(DATE(AnoCalendário,3,27),1),"ddd")</f>
        <v>sáb</v>
      </c>
      <c r="AD6" s="15" t="str">
        <f>TEXT(WEEKDAY(DATE(AnoCalendário,3,28),1),"ddd")</f>
        <v>dom</v>
      </c>
      <c r="AE6" s="15" t="str">
        <f>TEXT(WEEKDAY(DATE(AnoCalendário,3,29),1),"ddd")</f>
        <v>seg</v>
      </c>
      <c r="AF6" s="15" t="str">
        <f>TEXT(WEEKDAY(DATE(AnoCalendário,3,30),1),"ddd")</f>
        <v>ter</v>
      </c>
      <c r="AG6" s="15" t="str">
        <f>TEXT(WEEKDAY(DATE(AnoCalendário,3,31),1),"ddd")</f>
        <v>qua</v>
      </c>
      <c r="AH6" s="5"/>
    </row>
    <row r="7" spans="2:35" ht="30" customHeight="1">
      <c r="B7" s="20" t="s">
        <v>8</v>
      </c>
      <c r="C7" s="1" t="s">
        <v>9</v>
      </c>
      <c r="D7" s="1" t="s">
        <v>10</v>
      </c>
      <c r="E7" s="1" t="s">
        <v>11</v>
      </c>
      <c r="F7" s="1" t="s">
        <v>12</v>
      </c>
      <c r="G7" s="1" t="s">
        <v>13</v>
      </c>
      <c r="H7" s="1" t="s">
        <v>14</v>
      </c>
      <c r="I7" s="1" t="s">
        <v>15</v>
      </c>
      <c r="J7" s="1" t="s">
        <v>16</v>
      </c>
      <c r="K7" s="1" t="s">
        <v>17</v>
      </c>
      <c r="L7" s="1" t="s">
        <v>18</v>
      </c>
      <c r="M7" s="1" t="s">
        <v>19</v>
      </c>
      <c r="N7" s="1" t="s">
        <v>20</v>
      </c>
      <c r="O7" s="1" t="s">
        <v>21</v>
      </c>
      <c r="P7" s="1" t="s">
        <v>22</v>
      </c>
      <c r="Q7" s="1" t="s">
        <v>23</v>
      </c>
      <c r="R7" s="1" t="s">
        <v>24</v>
      </c>
      <c r="S7" s="1" t="s">
        <v>25</v>
      </c>
      <c r="T7" s="1" t="s">
        <v>26</v>
      </c>
      <c r="U7" s="1" t="s">
        <v>27</v>
      </c>
      <c r="V7" s="1" t="s">
        <v>28</v>
      </c>
      <c r="W7" s="1" t="s">
        <v>29</v>
      </c>
      <c r="X7" s="1" t="s">
        <v>30</v>
      </c>
      <c r="Y7" s="1" t="s">
        <v>31</v>
      </c>
      <c r="Z7" s="1" t="s">
        <v>32</v>
      </c>
      <c r="AA7" s="1" t="s">
        <v>33</v>
      </c>
      <c r="AB7" s="1" t="s">
        <v>34</v>
      </c>
      <c r="AC7" s="1" t="s">
        <v>35</v>
      </c>
      <c r="AD7" s="1" t="s">
        <v>36</v>
      </c>
      <c r="AE7" s="1" t="s">
        <v>37</v>
      </c>
      <c r="AF7" s="1" t="s">
        <v>38</v>
      </c>
      <c r="AG7" s="1" t="s">
        <v>39</v>
      </c>
      <c r="AH7" s="16" t="s">
        <v>40</v>
      </c>
    </row>
    <row r="8" spans="2:35" ht="30" customHeight="1">
      <c r="B8" s="2" t="s">
        <v>41</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3">
        <f>COUNTA(Março[[#This Row],[1]:[31]])</f>
        <v>0</v>
      </c>
    </row>
    <row r="9" spans="2:35" ht="30" customHeight="1">
      <c r="B9" s="36"/>
      <c r="D9" s="1"/>
      <c r="E9" s="1"/>
      <c r="F9" s="1"/>
      <c r="G9" s="1"/>
      <c r="H9" s="1"/>
      <c r="I9" s="1"/>
      <c r="J9" s="1"/>
      <c r="K9" s="1"/>
      <c r="L9" s="1"/>
      <c r="M9" s="1"/>
      <c r="N9" s="1"/>
      <c r="O9" s="1"/>
      <c r="P9" s="1"/>
      <c r="Q9" s="1"/>
      <c r="R9" s="1"/>
      <c r="S9" s="1"/>
      <c r="T9" s="1"/>
      <c r="U9" s="1"/>
      <c r="V9" s="1"/>
      <c r="X9" s="1"/>
      <c r="Y9" s="1"/>
      <c r="Z9" s="1"/>
      <c r="AA9" s="1"/>
      <c r="AB9" s="1"/>
      <c r="AC9" s="1"/>
      <c r="AD9" s="1"/>
      <c r="AE9" s="1"/>
      <c r="AF9" s="1"/>
      <c r="AG9" s="37"/>
      <c r="AH9" s="3"/>
    </row>
    <row r="10" spans="2:35" ht="30" customHeight="1">
      <c r="B10" s="2" t="s">
        <v>43</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3">
        <f>COUNTA(Março[[#This Row],[1]:[31]])</f>
        <v>0</v>
      </c>
    </row>
    <row r="11" spans="2:35" ht="30" customHeight="1">
      <c r="B11" s="36"/>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37"/>
      <c r="AH11" s="3"/>
    </row>
    <row r="12" spans="2:35" ht="30" customHeight="1">
      <c r="B12" s="2" t="s">
        <v>44</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3">
        <f>COUNTA(Março[[#This Row],[1]:[31]])</f>
        <v>0</v>
      </c>
    </row>
    <row r="13" spans="2:35" ht="30" customHeight="1">
      <c r="B13" s="36"/>
      <c r="C13" s="1"/>
      <c r="D13" s="1"/>
      <c r="E13" s="1"/>
      <c r="F13" s="40"/>
      <c r="G13" s="1"/>
      <c r="H13" s="1"/>
      <c r="I13" s="1"/>
      <c r="J13" s="1"/>
      <c r="K13" s="1"/>
      <c r="L13" s="1"/>
      <c r="M13" s="1"/>
      <c r="N13" s="1"/>
      <c r="O13" s="1"/>
      <c r="P13" s="1"/>
      <c r="Q13" s="1"/>
      <c r="R13" s="1"/>
      <c r="S13" s="1"/>
      <c r="T13" s="1"/>
      <c r="U13" s="1"/>
      <c r="V13" s="1"/>
      <c r="W13" s="1"/>
      <c r="X13" s="1"/>
      <c r="Y13" s="1"/>
      <c r="Z13" s="1"/>
      <c r="AA13" s="1"/>
      <c r="AB13" s="1"/>
      <c r="AC13" s="1"/>
      <c r="AD13" s="1"/>
      <c r="AE13" s="1"/>
      <c r="AF13" s="1"/>
      <c r="AG13" s="37"/>
      <c r="AH13" s="3"/>
    </row>
    <row r="14" spans="2:35" ht="30" customHeight="1">
      <c r="B14" s="2" t="s">
        <v>46</v>
      </c>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3">
        <f>COUNTA(Março[[#This Row],[1]:[31]])</f>
        <v>0</v>
      </c>
    </row>
    <row r="15" spans="2:35" ht="30" customHeight="1">
      <c r="B15" s="36"/>
      <c r="C15" s="1"/>
      <c r="D15" s="1"/>
      <c r="E15" s="1"/>
      <c r="F15" s="54"/>
      <c r="G15" s="1"/>
      <c r="H15" s="1"/>
      <c r="I15" s="1"/>
      <c r="K15" s="1"/>
      <c r="L15" s="1"/>
      <c r="M15" s="1"/>
      <c r="N15" s="1"/>
      <c r="O15" s="1"/>
      <c r="P15" s="1"/>
      <c r="Q15" s="1"/>
      <c r="R15" s="1"/>
      <c r="S15" s="54"/>
      <c r="T15" s="1"/>
      <c r="U15" s="1"/>
      <c r="V15" s="1"/>
      <c r="X15" s="1"/>
      <c r="Y15" s="1"/>
      <c r="Z15" s="1"/>
      <c r="AA15" s="1"/>
      <c r="AB15" s="1"/>
      <c r="AC15" s="1"/>
      <c r="AD15" s="1"/>
      <c r="AE15" s="1"/>
      <c r="AF15" s="1"/>
      <c r="AG15" s="37"/>
      <c r="AH15" s="3"/>
    </row>
    <row r="16" spans="2:35" ht="30" customHeight="1">
      <c r="B16" s="2" t="s">
        <v>47</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3">
        <f>COUNTA(Março[[#This Row],[1]:[31]])</f>
        <v>0</v>
      </c>
    </row>
    <row r="17" spans="2:34" ht="30" customHeight="1">
      <c r="B17" s="36"/>
      <c r="C17" s="1"/>
      <c r="D17" s="1"/>
      <c r="E17" s="1"/>
      <c r="F17" s="1"/>
      <c r="G17" s="1"/>
      <c r="H17" s="1"/>
      <c r="I17" s="1"/>
      <c r="J17" s="1"/>
      <c r="K17" s="1"/>
      <c r="L17" s="1"/>
      <c r="M17" s="1"/>
      <c r="N17" s="1"/>
      <c r="O17" s="1"/>
      <c r="P17" s="1"/>
      <c r="Q17" s="1"/>
      <c r="R17" s="1"/>
      <c r="S17" s="1"/>
      <c r="T17" s="1"/>
      <c r="U17" s="1"/>
      <c r="V17" s="1"/>
      <c r="W17" s="1"/>
      <c r="X17" s="1"/>
      <c r="Y17" s="1"/>
      <c r="AA17" s="1"/>
      <c r="AB17" s="1"/>
      <c r="AC17" s="1"/>
      <c r="AD17" s="1"/>
      <c r="AE17" s="1"/>
      <c r="AF17" s="1"/>
      <c r="AG17" s="37"/>
      <c r="AH17" s="3"/>
    </row>
    <row r="18" spans="2:34" ht="30" customHeight="1">
      <c r="B18" s="1" t="s">
        <v>48</v>
      </c>
      <c r="C18" s="4">
        <f>COUNTA(C8,C10,C12,C14,C16)</f>
        <v>0</v>
      </c>
      <c r="D18" s="4">
        <f t="shared" ref="D18:AG18" si="0">COUNTA(D8,D10,D12,D14,D16)</f>
        <v>0</v>
      </c>
      <c r="E18" s="4">
        <f t="shared" si="0"/>
        <v>0</v>
      </c>
      <c r="F18" s="4">
        <f t="shared" si="0"/>
        <v>0</v>
      </c>
      <c r="G18" s="4">
        <f t="shared" si="0"/>
        <v>0</v>
      </c>
      <c r="H18" s="4">
        <f t="shared" si="0"/>
        <v>0</v>
      </c>
      <c r="I18" s="4">
        <f t="shared" si="0"/>
        <v>0</v>
      </c>
      <c r="J18" s="4">
        <f t="shared" si="0"/>
        <v>0</v>
      </c>
      <c r="K18" s="4">
        <f t="shared" si="0"/>
        <v>0</v>
      </c>
      <c r="L18" s="4">
        <f t="shared" si="0"/>
        <v>0</v>
      </c>
      <c r="M18" s="4">
        <f t="shared" si="0"/>
        <v>0</v>
      </c>
      <c r="N18" s="4">
        <f t="shared" si="0"/>
        <v>0</v>
      </c>
      <c r="O18" s="4">
        <f t="shared" si="0"/>
        <v>0</v>
      </c>
      <c r="P18" s="4">
        <f t="shared" si="0"/>
        <v>0</v>
      </c>
      <c r="Q18" s="4">
        <f t="shared" si="0"/>
        <v>0</v>
      </c>
      <c r="R18" s="4">
        <f t="shared" si="0"/>
        <v>0</v>
      </c>
      <c r="S18" s="4">
        <f t="shared" si="0"/>
        <v>0</v>
      </c>
      <c r="T18" s="4">
        <f t="shared" si="0"/>
        <v>0</v>
      </c>
      <c r="U18" s="4">
        <f t="shared" si="0"/>
        <v>0</v>
      </c>
      <c r="V18" s="4">
        <f t="shared" si="0"/>
        <v>0</v>
      </c>
      <c r="W18" s="4">
        <f t="shared" si="0"/>
        <v>0</v>
      </c>
      <c r="X18" s="4">
        <f t="shared" si="0"/>
        <v>0</v>
      </c>
      <c r="Y18" s="4">
        <f t="shared" si="0"/>
        <v>0</v>
      </c>
      <c r="Z18" s="4">
        <f t="shared" si="0"/>
        <v>0</v>
      </c>
      <c r="AA18" s="4">
        <f t="shared" si="0"/>
        <v>0</v>
      </c>
      <c r="AB18" s="4">
        <f t="shared" si="0"/>
        <v>0</v>
      </c>
      <c r="AC18" s="4">
        <f t="shared" si="0"/>
        <v>0</v>
      </c>
      <c r="AD18" s="4">
        <f t="shared" si="0"/>
        <v>0</v>
      </c>
      <c r="AE18" s="4">
        <f t="shared" si="0"/>
        <v>0</v>
      </c>
      <c r="AF18" s="4">
        <f t="shared" si="0"/>
        <v>0</v>
      </c>
      <c r="AG18" s="4">
        <f t="shared" si="0"/>
        <v>0</v>
      </c>
      <c r="AH18" s="4">
        <f>SUBTOTAL(109,Março[Total de dias])</f>
        <v>0</v>
      </c>
    </row>
  </sheetData>
  <mergeCells count="5">
    <mergeCell ref="D3:E3"/>
    <mergeCell ref="B1:AH1"/>
    <mergeCell ref="H3:K3"/>
    <mergeCell ref="N3:O3"/>
    <mergeCell ref="C5:AG5"/>
  </mergeCells>
  <phoneticPr fontId="26" type="noConversion"/>
  <conditionalFormatting sqref="C8:AG12 C13:E13 G13:AG13 C14:AG14 C15:E15 G15:R15 T15:AG15 C16:AG17">
    <cfRule type="cellIs" dxfId="979" priority="41" operator="equal">
      <formula>"L"</formula>
    </cfRule>
    <cfRule type="cellIs" dxfId="978" priority="42" operator="equal">
      <formula>"A"</formula>
    </cfRule>
    <cfRule type="expression" priority="43" stopIfTrue="1">
      <formula>C8=""</formula>
    </cfRule>
    <cfRule type="expression" dxfId="977" priority="44" stopIfTrue="1">
      <formula>C8=ChavePersonalizada2</formula>
    </cfRule>
    <cfRule type="expression" dxfId="976" priority="45" stopIfTrue="1">
      <formula>C8=ChavePersonalizada1</formula>
    </cfRule>
    <cfRule type="expression" dxfId="975" priority="46" stopIfTrue="1">
      <formula>C8=ChaveLicençaMédica</formula>
    </cfRule>
    <cfRule type="expression" dxfId="974" priority="47" stopIfTrue="1">
      <formula>C8=ChavePessoal</formula>
    </cfRule>
    <cfRule type="expression" dxfId="973" priority="48" stopIfTrue="1">
      <formula>C8=ChaveFérias</formula>
    </cfRule>
  </conditionalFormatting>
  <conditionalFormatting sqref="F13">
    <cfRule type="cellIs" dxfId="972" priority="31" operator="equal">
      <formula>"L"</formula>
    </cfRule>
    <cfRule type="cellIs" dxfId="971" priority="32" operator="equal">
      <formula>"A"</formula>
    </cfRule>
    <cfRule type="cellIs" dxfId="970" priority="33" operator="equal">
      <formula>"A"</formula>
    </cfRule>
    <cfRule type="cellIs" dxfId="969" priority="34" operator="equal">
      <formula>"A"</formula>
    </cfRule>
    <cfRule type="expression" priority="35" stopIfTrue="1">
      <formula>F13=""</formula>
    </cfRule>
    <cfRule type="expression" dxfId="968" priority="36" stopIfTrue="1">
      <formula>F13=ChavePersonalizada2</formula>
    </cfRule>
    <cfRule type="expression" dxfId="967" priority="37" stopIfTrue="1">
      <formula>F13=ChavePersonalizada1</formula>
    </cfRule>
    <cfRule type="expression" dxfId="966" priority="38" stopIfTrue="1">
      <formula>F13=ChaveLicençaMédica</formula>
    </cfRule>
    <cfRule type="expression" dxfId="965" priority="39" stopIfTrue="1">
      <formula>F13=ChavePessoal</formula>
    </cfRule>
    <cfRule type="expression" dxfId="964" priority="40" stopIfTrue="1">
      <formula>F13=ChaveFérias</formula>
    </cfRule>
  </conditionalFormatting>
  <conditionalFormatting sqref="F15">
    <cfRule type="expression" dxfId="963" priority="20" stopIfTrue="1">
      <formula>F15=ChaveFérias</formula>
    </cfRule>
    <cfRule type="cellIs" dxfId="962" priority="11" operator="equal">
      <formula>"L"</formula>
    </cfRule>
    <cfRule type="cellIs" dxfId="961" priority="12" operator="equal">
      <formula>"A"</formula>
    </cfRule>
    <cfRule type="cellIs" dxfId="960" priority="13" operator="equal">
      <formula>"A"</formula>
    </cfRule>
    <cfRule type="cellIs" dxfId="959" priority="14" operator="equal">
      <formula>"A"</formula>
    </cfRule>
    <cfRule type="expression" priority="15" stopIfTrue="1">
      <formula>F15=""</formula>
    </cfRule>
    <cfRule type="expression" dxfId="958" priority="16" stopIfTrue="1">
      <formula>F15=ChavePersonalizada2</formula>
    </cfRule>
    <cfRule type="expression" dxfId="957" priority="17" stopIfTrue="1">
      <formula>F15=ChavePersonalizada1</formula>
    </cfRule>
    <cfRule type="expression" dxfId="956" priority="18" stopIfTrue="1">
      <formula>F15=ChaveLicençaMédica</formula>
    </cfRule>
    <cfRule type="expression" dxfId="955" priority="19" stopIfTrue="1">
      <formula>F15=ChavePessoal</formula>
    </cfRule>
  </conditionalFormatting>
  <conditionalFormatting sqref="S15">
    <cfRule type="expression" dxfId="954" priority="10" stopIfTrue="1">
      <formula>S15=ChaveFérias</formula>
    </cfRule>
    <cfRule type="cellIs" dxfId="953" priority="1" operator="equal">
      <formula>"L"</formula>
    </cfRule>
    <cfRule type="cellIs" dxfId="952" priority="2" operator="equal">
      <formula>"A"</formula>
    </cfRule>
    <cfRule type="cellIs" dxfId="951" priority="3" operator="equal">
      <formula>"A"</formula>
    </cfRule>
    <cfRule type="cellIs" dxfId="950" priority="4" operator="equal">
      <formula>"A"</formula>
    </cfRule>
    <cfRule type="expression" priority="5" stopIfTrue="1">
      <formula>S15=""</formula>
    </cfRule>
    <cfRule type="expression" dxfId="949" priority="6" stopIfTrue="1">
      <formula>S15=ChavePersonalizada2</formula>
    </cfRule>
    <cfRule type="expression" dxfId="948" priority="7" stopIfTrue="1">
      <formula>S15=ChavePersonalizada1</formula>
    </cfRule>
    <cfRule type="expression" dxfId="947" priority="8" stopIfTrue="1">
      <formula>S15=ChaveLicençaMédica</formula>
    </cfRule>
    <cfRule type="expression" dxfId="946" priority="9" stopIfTrue="1">
      <formula>S15=ChavePessoal</formula>
    </cfRule>
  </conditionalFormatting>
  <conditionalFormatting sqref="AH8:AH17">
    <cfRule type="dataBar" priority="49">
      <dataBar>
        <cfvo type="min"/>
        <cfvo type="formula" val="DATEDIF(DATE(AnoCalendário,2,1),DATE(AnoCalendário,3,1),&quot;d&quot;)"/>
        <color theme="2" tint="-0.249977111117893"/>
      </dataBar>
      <extLst>
        <ext xmlns:x14="http://schemas.microsoft.com/office/spreadsheetml/2009/9/main" uri="{B025F937-C7B1-47D3-B67F-A62EFF666E3E}">
          <x14:id>{7C2B6C3E-666E-4369-8C57-FD32A7D03A3C}</x14:id>
        </ext>
      </extLst>
    </cfRule>
  </conditionalFormatting>
  <dataValidations count="13">
    <dataValidation allowBlank="1" showInputMessage="1" showErrorMessage="1" prompt="Os dias do mês nesta linha são gerados automaticamente. Insira a falta e o tipo de falta de um funcionário em cada coluna de cada dia do mês. Espaço vazio significa sem faltas." sqref="C7" xr:uid="{00000000-0002-0000-0200-000000000000}"/>
    <dataValidation allowBlank="1" showInputMessage="1" showErrorMessage="1" prompt="Insira um rótulo para descrever a chave personalizada à esquerda." sqref="V3 Q3" xr:uid="{E366FBFA-347E-8543-BF03-F13C8B9DCA49}"/>
    <dataValidation allowBlank="1" showInputMessage="1" showErrorMessage="1" prompt="Insira uma letra e personalize o rótulo à direita para adicionar outro item de chave." sqref="U3" xr:uid="{8C7F6C70-699C-2D4E-95B7-BEEF00444CC1}"/>
    <dataValidation allowBlank="1" showInputMessage="1" showErrorMessage="1" prompt="A letra &quot;L&quot; indica falta devido à licença médica." sqref="M3" xr:uid="{5EB4ED08-A941-4374-A3F8-235BE770EBF4}"/>
    <dataValidation allowBlank="1" showInputMessage="1" showErrorMessage="1" prompt="A letra &quot;P&quot; indica falta devido a motivos pessoais." sqref="G3" xr:uid="{4A6C9614-52AD-4AF3-9557-E02A372FB6D2}"/>
    <dataValidation allowBlank="1" showInputMessage="1" showErrorMessage="1" prompt="A letra &quot;F&quot; indica falta devido a férias." sqref="C3" xr:uid="{8301F752-7A5D-460B-8863-651E1D9AE0BC}"/>
    <dataValidation allowBlank="1" showInputMessage="1" showErrorMessage="1" prompt="O título atualizado automaticamente está nesta célula. Para modificar o título, atualize B1 na planilha Janeiro." sqref="B1" xr:uid="{DAD69D68-FC22-41EA-B8AA-75E294E5EBE4}"/>
    <dataValidation errorStyle="warning" allowBlank="1" showInputMessage="1" showErrorMessage="1" error="Selecione o nome da lista. Selecione Cancelar e pressione Alt+Seta para baixo e Enter para selecionar um nome." prompt="Insira os nomes dos funcionários na planilha Nomes dos funcionários e selecione um dos nomes da lista nesta coluna. Pressione Alt+Seta para baixo e, em seguida, ENTER para selecionar um nome." sqref="B7" xr:uid="{BE856CBA-AD23-4576-8072-942DD217B9BC}"/>
    <dataValidation allowBlank="1" showInputMessage="1" showErrorMessage="1" prompt="Calcula automaticamente o número total de dias em que um funcionário esteve ausente deste mês nesta coluna." sqref="AH7" xr:uid="{70BD9EEE-E1FD-D147-919D-901970D7AADE}"/>
    <dataValidation allowBlank="1" showInputMessage="1" showErrorMessage="1" prompt="Os dias da semana nesta linha são atualizados automaticamente para o mês de acordo com o ano na célula AH4. Cada dia do mês é uma coluna para indicar a falta e o tipo de falta de um funcionário." sqref="C6" xr:uid="{02C7B989-E77F-4A4F-82FD-F03860560B2B}"/>
    <dataValidation allowBlank="1" showInputMessage="1" showErrorMessage="1" prompt="O nome do mês para essa agenda de faltas está nesta célula. Os totais de faltas deste mês estão na última célula da tabela. Selecione os nomes dos funcionários na tabela B." sqref="B1" xr:uid="{197C2538-8024-4BA9-962D-DAFE1FA6C796}"/>
    <dataValidation allowBlank="1" showInputMessage="1" showErrorMessage="1" prompt="Esta linha define as chaves utilizadas na tabela: a célula C4 é Férias, G4 é Pessoal e K4 é Licença médica. As células N4 e R4 são personalizáveis " sqref="B3" xr:uid="{DD12D8CA-B8D4-49B6-9171-BB23BB5C6AD3}"/>
    <dataValidation allowBlank="1" showInputMessage="1" showErrorMessage="1" prompt="Insira o ano nesta célula." sqref="AH5" xr:uid="{13E5BE51-7384-466B-962D-2317DD71FCA2}"/>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7C2B6C3E-666E-4369-8C57-FD32A7D03A3C}">
            <x14:dataBar minLength="0" maxLength="100">
              <x14:cfvo type="autoMin"/>
              <x14:cfvo type="formula">
                <xm:f>DATEDIF(DATE(AnoCalendário,2,1),DATE(AnoCalendário,3,1),"d")</xm:f>
              </x14:cfvo>
              <x14:negativeFillColor rgb="FFFF0000"/>
              <x14:axisColor rgb="FF000000"/>
            </x14:dataBar>
          </x14:cfRule>
          <xm:sqref>AH8:AH17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E000000}">
          <x14:formula1>
            <xm:f>Diretores!$B$3:$B$7</xm:f>
          </x14:formula1>
          <xm:sqref>B8:B17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499984740745262"/>
  </sheetPr>
  <dimension ref="B1:AH18"/>
  <sheetViews>
    <sheetView showGridLines="0" zoomScale="90" zoomScaleNormal="90" workbookViewId="0">
      <selection activeCell="L14" sqref="L14"/>
    </sheetView>
  </sheetViews>
  <sheetFormatPr defaultColWidth="8.7109375" defaultRowHeight="30" customHeight="1"/>
  <cols>
    <col min="1" max="1" width="2.7109375" customWidth="1"/>
    <col min="2" max="2" width="33" customWidth="1"/>
    <col min="3" max="32" width="4.7109375" customWidth="1"/>
    <col min="33" max="33" width="14.85546875" customWidth="1"/>
    <col min="34" max="34" width="2.7109375" customWidth="1"/>
  </cols>
  <sheetData>
    <row r="1" spans="2:34" ht="61.5">
      <c r="B1" s="82" t="s">
        <v>51</v>
      </c>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35"/>
    </row>
    <row r="2" spans="2:34" ht="15" customHeight="1">
      <c r="B2" s="7"/>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row>
    <row r="3" spans="2:34" ht="30" customHeight="1">
      <c r="B3" s="24" t="s">
        <v>1</v>
      </c>
      <c r="C3" s="18" t="s">
        <v>2</v>
      </c>
      <c r="D3" s="79" t="s">
        <v>3</v>
      </c>
      <c r="E3" s="79"/>
      <c r="G3" s="73" t="s">
        <v>4</v>
      </c>
      <c r="H3" s="79" t="s">
        <v>5</v>
      </c>
      <c r="I3" s="79"/>
      <c r="J3" s="79"/>
      <c r="K3" s="79"/>
      <c r="M3" s="17" t="s">
        <v>6</v>
      </c>
      <c r="N3" s="79" t="s">
        <v>7</v>
      </c>
      <c r="O3" s="79"/>
      <c r="P3" s="34"/>
      <c r="Q3" s="34"/>
      <c r="R3" s="34"/>
      <c r="S3" s="34"/>
      <c r="T3" s="34"/>
      <c r="U3" s="32"/>
      <c r="V3" s="34"/>
      <c r="W3" s="34"/>
      <c r="X3" s="34"/>
      <c r="Y3" s="34"/>
    </row>
    <row r="4" spans="2:34" ht="15" customHeight="1">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row>
    <row r="5" spans="2:34" ht="23.25">
      <c r="B5" s="5"/>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5">
        <v>2027</v>
      </c>
    </row>
    <row r="6" spans="2:34" ht="30" customHeight="1">
      <c r="B6" s="5"/>
      <c r="C6" s="15" t="str">
        <f>TEXT(WEEKDAY(DATE(AnoCalendário,4,1),1),"ddd")</f>
        <v>qui</v>
      </c>
      <c r="D6" s="15" t="str">
        <f>TEXT(WEEKDAY(DATE(AnoCalendário,4,2),1),"ddd")</f>
        <v>sex</v>
      </c>
      <c r="E6" s="15" t="str">
        <f>TEXT(WEEKDAY(DATE(AnoCalendário,4,3),1),"ddd")</f>
        <v>sáb</v>
      </c>
      <c r="F6" s="15" t="str">
        <f>TEXT(WEEKDAY(DATE(AnoCalendário,4,4),1),"ddd")</f>
        <v>dom</v>
      </c>
      <c r="G6" s="15" t="str">
        <f>TEXT(WEEKDAY(DATE(AnoCalendário,4,5),1),"ddd")</f>
        <v>seg</v>
      </c>
      <c r="H6" s="15" t="str">
        <f>TEXT(WEEKDAY(DATE(AnoCalendário,4,6),1),"ddd")</f>
        <v>ter</v>
      </c>
      <c r="I6" s="15" t="str">
        <f>TEXT(WEEKDAY(DATE(AnoCalendário,4,7),1),"ddd")</f>
        <v>qua</v>
      </c>
      <c r="J6" s="15" t="str">
        <f>TEXT(WEEKDAY(DATE(AnoCalendário,4,8),1),"ddd")</f>
        <v>qui</v>
      </c>
      <c r="K6" s="15" t="str">
        <f>TEXT(WEEKDAY(DATE(AnoCalendário,4,9),1),"ddd")</f>
        <v>sex</v>
      </c>
      <c r="L6" s="15" t="str">
        <f>TEXT(WEEKDAY(DATE(AnoCalendário,4,10),1),"ddd")</f>
        <v>sáb</v>
      </c>
      <c r="M6" s="15" t="str">
        <f>TEXT(WEEKDAY(DATE(AnoCalendário,4,11),1),"ddd")</f>
        <v>dom</v>
      </c>
      <c r="N6" s="15" t="str">
        <f>TEXT(WEEKDAY(DATE(AnoCalendário,4,12),1),"ddd")</f>
        <v>seg</v>
      </c>
      <c r="O6" s="15" t="str">
        <f>TEXT(WEEKDAY(DATE(AnoCalendário,4,13),1),"ddd")</f>
        <v>ter</v>
      </c>
      <c r="P6" s="15" t="str">
        <f>TEXT(WEEKDAY(DATE(AnoCalendário,4,14),1),"ddd")</f>
        <v>qua</v>
      </c>
      <c r="Q6" s="15" t="str">
        <f>TEXT(WEEKDAY(DATE(AnoCalendário,4,15),1),"ddd")</f>
        <v>qui</v>
      </c>
      <c r="R6" s="15" t="str">
        <f>TEXT(WEEKDAY(DATE(AnoCalendário,4,16),1),"ddd")</f>
        <v>sex</v>
      </c>
      <c r="S6" s="15" t="str">
        <f>TEXT(WEEKDAY(DATE(AnoCalendário,4,17),1),"ddd")</f>
        <v>sáb</v>
      </c>
      <c r="T6" s="15" t="str">
        <f>TEXT(WEEKDAY(DATE(AnoCalendário,4,18),1),"ddd")</f>
        <v>dom</v>
      </c>
      <c r="U6" s="15" t="str">
        <f>TEXT(WEEKDAY(DATE(AnoCalendário,4,19),1),"ddd")</f>
        <v>seg</v>
      </c>
      <c r="V6" s="15" t="str">
        <f>TEXT(WEEKDAY(DATE(AnoCalendário,4,20),1),"ddd")</f>
        <v>ter</v>
      </c>
      <c r="W6" s="15" t="str">
        <f>TEXT(WEEKDAY(DATE(AnoCalendário,4,21),1),"ddd")</f>
        <v>qua</v>
      </c>
      <c r="X6" s="15" t="str">
        <f>TEXT(WEEKDAY(DATE(AnoCalendário,4,22),1),"ddd")</f>
        <v>qui</v>
      </c>
      <c r="Y6" s="15" t="str">
        <f>TEXT(WEEKDAY(DATE(AnoCalendário,4,23),1),"ddd")</f>
        <v>sex</v>
      </c>
      <c r="Z6" s="15" t="str">
        <f>TEXT(WEEKDAY(DATE(AnoCalendário,4,24),1),"ddd")</f>
        <v>sáb</v>
      </c>
      <c r="AA6" s="15" t="str">
        <f>TEXT(WEEKDAY(DATE(AnoCalendário,4,25),1),"ddd")</f>
        <v>dom</v>
      </c>
      <c r="AB6" s="15" t="str">
        <f>TEXT(WEEKDAY(DATE(AnoCalendário,4,26),1),"ddd")</f>
        <v>seg</v>
      </c>
      <c r="AC6" s="15" t="str">
        <f>TEXT(WEEKDAY(DATE(AnoCalendário,4,27),1),"ddd")</f>
        <v>ter</v>
      </c>
      <c r="AD6" s="15" t="str">
        <f>TEXT(WEEKDAY(DATE(AnoCalendário,4,28),1),"ddd")</f>
        <v>qua</v>
      </c>
      <c r="AE6" s="15" t="str">
        <f>TEXT(WEEKDAY(DATE(AnoCalendário,4,29),1),"ddd")</f>
        <v>qui</v>
      </c>
      <c r="AF6" s="15" t="str">
        <f>TEXT(WEEKDAY(DATE(AnoCalendário,4,30),1),"ddd")</f>
        <v>sex</v>
      </c>
      <c r="AG6" s="5"/>
    </row>
    <row r="7" spans="2:34" ht="30" customHeight="1">
      <c r="B7" s="20" t="s">
        <v>8</v>
      </c>
      <c r="C7" s="1" t="s">
        <v>9</v>
      </c>
      <c r="D7" s="1" t="s">
        <v>10</v>
      </c>
      <c r="E7" s="1" t="s">
        <v>11</v>
      </c>
      <c r="F7" s="1" t="s">
        <v>12</v>
      </c>
      <c r="G7" s="1" t="s">
        <v>13</v>
      </c>
      <c r="H7" s="1" t="s">
        <v>14</v>
      </c>
      <c r="I7" s="1" t="s">
        <v>15</v>
      </c>
      <c r="J7" s="1" t="s">
        <v>16</v>
      </c>
      <c r="K7" s="1" t="s">
        <v>17</v>
      </c>
      <c r="L7" s="1" t="s">
        <v>18</v>
      </c>
      <c r="M7" s="1" t="s">
        <v>19</v>
      </c>
      <c r="N7" s="1" t="s">
        <v>20</v>
      </c>
      <c r="O7" s="1" t="s">
        <v>21</v>
      </c>
      <c r="P7" s="1" t="s">
        <v>22</v>
      </c>
      <c r="Q7" s="1" t="s">
        <v>23</v>
      </c>
      <c r="R7" s="1" t="s">
        <v>24</v>
      </c>
      <c r="S7" s="1" t="s">
        <v>25</v>
      </c>
      <c r="T7" s="1" t="s">
        <v>26</v>
      </c>
      <c r="U7" s="1" t="s">
        <v>27</v>
      </c>
      <c r="V7" s="1" t="s">
        <v>28</v>
      </c>
      <c r="W7" s="1" t="s">
        <v>29</v>
      </c>
      <c r="X7" s="1" t="s">
        <v>30</v>
      </c>
      <c r="Y7" s="1" t="s">
        <v>31</v>
      </c>
      <c r="Z7" s="1" t="s">
        <v>32</v>
      </c>
      <c r="AA7" s="1" t="s">
        <v>33</v>
      </c>
      <c r="AB7" s="1" t="s">
        <v>34</v>
      </c>
      <c r="AC7" s="1" t="s">
        <v>35</v>
      </c>
      <c r="AD7" s="1" t="s">
        <v>36</v>
      </c>
      <c r="AE7" s="1" t="s">
        <v>37</v>
      </c>
      <c r="AF7" s="1" t="s">
        <v>38</v>
      </c>
      <c r="AG7" s="16" t="s">
        <v>40</v>
      </c>
    </row>
    <row r="8" spans="2:34" ht="30" customHeight="1">
      <c r="B8" s="2" t="s">
        <v>41</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3">
        <f>COUNTA(March5[[#This Row],[1]:[30]])</f>
        <v>0</v>
      </c>
    </row>
    <row r="9" spans="2:34" ht="30" customHeight="1">
      <c r="B9" s="36"/>
      <c r="C9" s="1"/>
      <c r="D9" s="1"/>
      <c r="E9" s="1"/>
      <c r="F9" s="1"/>
      <c r="G9" s="1"/>
      <c r="H9" s="1"/>
      <c r="I9" s="54"/>
      <c r="J9" s="1"/>
      <c r="K9" s="1"/>
      <c r="L9" s="1"/>
      <c r="M9" s="1"/>
      <c r="N9" s="1"/>
      <c r="O9" s="1"/>
      <c r="P9" s="1"/>
      <c r="Q9" s="1"/>
      <c r="R9" s="1"/>
      <c r="S9" s="1"/>
      <c r="T9" s="1"/>
      <c r="U9" s="1"/>
      <c r="V9" s="1"/>
      <c r="W9" s="1"/>
      <c r="X9" s="1"/>
      <c r="Z9" s="1"/>
      <c r="AA9" s="1"/>
      <c r="AB9" s="1"/>
      <c r="AC9" s="1"/>
      <c r="AD9" s="1"/>
      <c r="AE9" s="1"/>
      <c r="AF9" s="1"/>
      <c r="AG9" s="3"/>
    </row>
    <row r="10" spans="2:34" ht="30" customHeight="1">
      <c r="B10" s="2" t="s">
        <v>43</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3">
        <f>COUNTA(March5[[#This Row],[1]:[30]])</f>
        <v>0</v>
      </c>
    </row>
    <row r="11" spans="2:34" ht="30" customHeight="1">
      <c r="B11" s="36"/>
      <c r="D11" s="1"/>
      <c r="E11" s="1"/>
      <c r="F11" s="1"/>
      <c r="G11" s="1"/>
      <c r="H11" s="1"/>
      <c r="I11" s="1"/>
      <c r="J11" s="1"/>
      <c r="K11" s="1"/>
      <c r="L11" s="1"/>
      <c r="M11" s="1"/>
      <c r="N11" s="1"/>
      <c r="O11" s="1"/>
      <c r="P11" s="1"/>
      <c r="Q11" s="1"/>
      <c r="R11" s="1"/>
      <c r="T11" s="1"/>
      <c r="U11" s="1"/>
      <c r="V11" s="1"/>
      <c r="W11" s="1"/>
      <c r="X11" s="1"/>
      <c r="Y11" s="1"/>
      <c r="Z11" s="1"/>
      <c r="AA11" s="1"/>
      <c r="AB11" s="1"/>
      <c r="AC11" s="1"/>
      <c r="AD11" s="1"/>
      <c r="AE11" s="1"/>
      <c r="AF11" s="1"/>
      <c r="AG11" s="3"/>
    </row>
    <row r="12" spans="2:34" ht="30" customHeight="1">
      <c r="B12" s="2" t="s">
        <v>44</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3">
        <f>COUNTA(March5[[#This Row],[1]:[30]])</f>
        <v>0</v>
      </c>
    </row>
    <row r="13" spans="2:34" ht="30" customHeight="1">
      <c r="B13" s="36"/>
      <c r="C13" s="40"/>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3"/>
    </row>
    <row r="14" spans="2:34" ht="30" customHeight="1">
      <c r="B14" s="2" t="s">
        <v>46</v>
      </c>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3">
        <f>COUNTA(March5[[#This Row],[1]:[30]])</f>
        <v>0</v>
      </c>
    </row>
    <row r="15" spans="2:34" ht="30" customHeight="1">
      <c r="B15" s="36"/>
      <c r="C15" s="1"/>
      <c r="D15" s="1"/>
      <c r="E15" s="1"/>
      <c r="F15" s="1"/>
      <c r="G15" s="1"/>
      <c r="H15" s="1"/>
      <c r="I15" s="1"/>
      <c r="J15" s="54"/>
      <c r="K15" s="1"/>
      <c r="L15" s="1"/>
      <c r="M15" s="1"/>
      <c r="N15" s="1"/>
      <c r="O15" s="1"/>
      <c r="P15" s="1"/>
      <c r="Q15" s="1"/>
      <c r="R15" s="1"/>
      <c r="S15" s="1"/>
      <c r="T15" s="1"/>
      <c r="U15" s="1"/>
      <c r="V15" s="1"/>
      <c r="W15" s="1"/>
      <c r="X15" s="1"/>
      <c r="AA15" s="1"/>
      <c r="AB15" s="1"/>
      <c r="AC15" s="1"/>
      <c r="AD15" s="1"/>
      <c r="AE15" s="1"/>
      <c r="AF15" s="1"/>
      <c r="AG15" s="3"/>
    </row>
    <row r="16" spans="2:34" ht="30" customHeight="1">
      <c r="B16" s="2" t="s">
        <v>47</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3">
        <f>COUNTA(March5[[#This Row],[1]:[30]])</f>
        <v>0</v>
      </c>
    </row>
    <row r="17" spans="2:33" ht="30" customHeight="1">
      <c r="B17" s="36"/>
      <c r="D17" s="1"/>
      <c r="E17" s="1"/>
      <c r="F17" s="1"/>
      <c r="G17" s="1"/>
      <c r="I17" s="1"/>
      <c r="J17" s="1"/>
      <c r="K17" s="1"/>
      <c r="L17" s="1"/>
      <c r="M17" s="1"/>
      <c r="N17" s="1"/>
      <c r="O17" s="1"/>
      <c r="P17" s="1"/>
      <c r="Q17" s="1"/>
      <c r="R17" s="1"/>
      <c r="S17" s="40"/>
      <c r="T17" s="1"/>
      <c r="U17" s="1"/>
      <c r="V17" s="1"/>
      <c r="W17" s="1"/>
      <c r="X17" s="1"/>
      <c r="Y17" s="1"/>
      <c r="Z17" s="1"/>
      <c r="AA17" s="1"/>
      <c r="AB17" s="1"/>
      <c r="AC17" s="1"/>
      <c r="AD17" s="1"/>
      <c r="AE17" s="1"/>
      <c r="AF17" s="1"/>
      <c r="AG17" s="3"/>
    </row>
    <row r="18" spans="2:33" ht="30" customHeight="1">
      <c r="B18" s="1" t="s">
        <v>48</v>
      </c>
      <c r="C18" s="4">
        <f>COUNTA(C8,C10,C12,C14,C16)</f>
        <v>0</v>
      </c>
      <c r="D18" s="4">
        <f t="shared" ref="D18:AE18" si="0">COUNTA(D8,D10,D12,D14,D16)</f>
        <v>0</v>
      </c>
      <c r="E18" s="4">
        <f t="shared" si="0"/>
        <v>0</v>
      </c>
      <c r="F18" s="4">
        <f t="shared" si="0"/>
        <v>0</v>
      </c>
      <c r="G18" s="4">
        <f t="shared" si="0"/>
        <v>0</v>
      </c>
      <c r="H18" s="4">
        <f t="shared" si="0"/>
        <v>0</v>
      </c>
      <c r="I18" s="4">
        <f t="shared" si="0"/>
        <v>0</v>
      </c>
      <c r="J18" s="4">
        <f t="shared" si="0"/>
        <v>0</v>
      </c>
      <c r="K18" s="4">
        <f t="shared" si="0"/>
        <v>0</v>
      </c>
      <c r="L18" s="4">
        <f t="shared" si="0"/>
        <v>0</v>
      </c>
      <c r="M18" s="4">
        <f t="shared" si="0"/>
        <v>0</v>
      </c>
      <c r="N18" s="4">
        <f t="shared" si="0"/>
        <v>0</v>
      </c>
      <c r="O18" s="4">
        <f t="shared" si="0"/>
        <v>0</v>
      </c>
      <c r="P18" s="4">
        <f t="shared" si="0"/>
        <v>0</v>
      </c>
      <c r="Q18" s="4">
        <f t="shared" si="0"/>
        <v>0</v>
      </c>
      <c r="R18" s="4">
        <f t="shared" si="0"/>
        <v>0</v>
      </c>
      <c r="S18" s="4">
        <f t="shared" si="0"/>
        <v>0</v>
      </c>
      <c r="T18" s="4">
        <f t="shared" si="0"/>
        <v>0</v>
      </c>
      <c r="U18" s="4">
        <f t="shared" si="0"/>
        <v>0</v>
      </c>
      <c r="V18" s="4">
        <f t="shared" si="0"/>
        <v>0</v>
      </c>
      <c r="W18" s="4">
        <f t="shared" si="0"/>
        <v>0</v>
      </c>
      <c r="X18" s="4">
        <f t="shared" si="0"/>
        <v>0</v>
      </c>
      <c r="Y18" s="4">
        <f t="shared" si="0"/>
        <v>0</v>
      </c>
      <c r="Z18" s="4">
        <f t="shared" si="0"/>
        <v>0</v>
      </c>
      <c r="AA18" s="4">
        <f t="shared" si="0"/>
        <v>0</v>
      </c>
      <c r="AB18" s="4">
        <f t="shared" si="0"/>
        <v>0</v>
      </c>
      <c r="AC18" s="4">
        <f t="shared" si="0"/>
        <v>0</v>
      </c>
      <c r="AD18" s="4">
        <f t="shared" si="0"/>
        <v>0</v>
      </c>
      <c r="AE18" s="4">
        <f t="shared" si="0"/>
        <v>0</v>
      </c>
      <c r="AF18" s="4">
        <f>COUNTA(AF8,AF10,AF12,AF14,AF16)</f>
        <v>0</v>
      </c>
      <c r="AG18" s="4"/>
    </row>
  </sheetData>
  <mergeCells count="5">
    <mergeCell ref="D3:E3"/>
    <mergeCell ref="H3:K3"/>
    <mergeCell ref="B1:AG1"/>
    <mergeCell ref="N3:O3"/>
    <mergeCell ref="C5:AF5"/>
  </mergeCells>
  <phoneticPr fontId="5" type="noConversion"/>
  <conditionalFormatting sqref="C13">
    <cfRule type="cellIs" dxfId="876" priority="31" operator="equal">
      <formula>"L"</formula>
    </cfRule>
    <cfRule type="cellIs" dxfId="875" priority="32" operator="equal">
      <formula>"A"</formula>
    </cfRule>
    <cfRule type="expression" dxfId="874" priority="40" stopIfTrue="1">
      <formula>C13=ChaveFérias</formula>
    </cfRule>
    <cfRule type="expression" dxfId="873" priority="39" stopIfTrue="1">
      <formula>C13=ChavePessoal</formula>
    </cfRule>
    <cfRule type="expression" dxfId="872" priority="38" stopIfTrue="1">
      <formula>C13=ChaveLicençaMédica</formula>
    </cfRule>
    <cfRule type="expression" dxfId="871" priority="37" stopIfTrue="1">
      <formula>C13=ChavePersonalizada1</formula>
    </cfRule>
    <cfRule type="expression" dxfId="870" priority="36" stopIfTrue="1">
      <formula>C13=ChavePersonalizada2</formula>
    </cfRule>
    <cfRule type="expression" priority="35" stopIfTrue="1">
      <formula>C13=""</formula>
    </cfRule>
    <cfRule type="cellIs" dxfId="869" priority="34" operator="equal">
      <formula>"A"</formula>
    </cfRule>
    <cfRule type="cellIs" dxfId="868" priority="33" operator="equal">
      <formula>"A"</formula>
    </cfRule>
  </conditionalFormatting>
  <conditionalFormatting sqref="C8:AF8 C9:H9 J9:AF9 C10:AF12 D13:AF13 C14:AF14 C15:I15 K15:AF15 C16:AF16 C17:R17 T17:AF17">
    <cfRule type="expression" dxfId="867" priority="48" stopIfTrue="1">
      <formula>C8=ChaveFérias</formula>
    </cfRule>
    <cfRule type="expression" dxfId="866" priority="47" stopIfTrue="1">
      <formula>C8=ChavePessoal</formula>
    </cfRule>
    <cfRule type="expression" dxfId="865" priority="46" stopIfTrue="1">
      <formula>C8=ChaveLicençaMédica</formula>
    </cfRule>
    <cfRule type="expression" dxfId="864" priority="45" stopIfTrue="1">
      <formula>C8=ChavePersonalizada1</formula>
    </cfRule>
    <cfRule type="expression" priority="43" stopIfTrue="1">
      <formula>C8=""</formula>
    </cfRule>
    <cfRule type="expression" dxfId="863" priority="44" stopIfTrue="1">
      <formula>C8=ChavePersonalizada2</formula>
    </cfRule>
    <cfRule type="cellIs" dxfId="862" priority="42" operator="equal">
      <formula>"A"</formula>
    </cfRule>
    <cfRule type="cellIs" dxfId="861" priority="41" operator="equal">
      <formula>"L"</formula>
    </cfRule>
  </conditionalFormatting>
  <conditionalFormatting sqref="I9">
    <cfRule type="expression" dxfId="860" priority="29" stopIfTrue="1">
      <formula>I9=ChavePessoal</formula>
    </cfRule>
    <cfRule type="expression" dxfId="859" priority="30" stopIfTrue="1">
      <formula>I9=ChaveFérias</formula>
    </cfRule>
    <cfRule type="cellIs" dxfId="858" priority="21" operator="equal">
      <formula>"L"</formula>
    </cfRule>
    <cfRule type="cellIs" dxfId="857" priority="22" operator="equal">
      <formula>"A"</formula>
    </cfRule>
    <cfRule type="cellIs" dxfId="856" priority="23" operator="equal">
      <formula>"A"</formula>
    </cfRule>
    <cfRule type="cellIs" dxfId="855" priority="24" operator="equal">
      <formula>"A"</formula>
    </cfRule>
    <cfRule type="expression" priority="25" stopIfTrue="1">
      <formula>I9=""</formula>
    </cfRule>
    <cfRule type="expression" dxfId="854" priority="26" stopIfTrue="1">
      <formula>I9=ChavePersonalizada2</formula>
    </cfRule>
    <cfRule type="expression" dxfId="853" priority="27" stopIfTrue="1">
      <formula>I9=ChavePersonalizada1</formula>
    </cfRule>
    <cfRule type="expression" dxfId="852" priority="28" stopIfTrue="1">
      <formula>I9=ChaveLicençaMédica</formula>
    </cfRule>
  </conditionalFormatting>
  <conditionalFormatting sqref="J15">
    <cfRule type="cellIs" dxfId="851" priority="13" operator="equal">
      <formula>"A"</formula>
    </cfRule>
    <cfRule type="expression" dxfId="850" priority="19" stopIfTrue="1">
      <formula>J15=ChavePessoal</formula>
    </cfRule>
    <cfRule type="expression" dxfId="849" priority="20" stopIfTrue="1">
      <formula>J15=ChaveFérias</formula>
    </cfRule>
    <cfRule type="expression" dxfId="848" priority="18" stopIfTrue="1">
      <formula>J15=ChaveLicençaMédica</formula>
    </cfRule>
    <cfRule type="expression" dxfId="847" priority="17" stopIfTrue="1">
      <formula>J15=ChavePersonalizada1</formula>
    </cfRule>
    <cfRule type="expression" dxfId="846" priority="16" stopIfTrue="1">
      <formula>J15=ChavePersonalizada2</formula>
    </cfRule>
    <cfRule type="expression" priority="15" stopIfTrue="1">
      <formula>J15=""</formula>
    </cfRule>
    <cfRule type="cellIs" dxfId="845" priority="14" operator="equal">
      <formula>"A"</formula>
    </cfRule>
    <cfRule type="cellIs" dxfId="844" priority="12" operator="equal">
      <formula>"A"</formula>
    </cfRule>
    <cfRule type="cellIs" dxfId="843" priority="11" operator="equal">
      <formula>"L"</formula>
    </cfRule>
  </conditionalFormatting>
  <conditionalFormatting sqref="S17">
    <cfRule type="cellIs" dxfId="842" priority="2" operator="equal">
      <formula>"A"</formula>
    </cfRule>
    <cfRule type="expression" dxfId="841" priority="7" stopIfTrue="1">
      <formula>S17=ChavePersonalizada1</formula>
    </cfRule>
    <cfRule type="expression" dxfId="840" priority="10" stopIfTrue="1">
      <formula>S17=ChaveFérias</formula>
    </cfRule>
    <cfRule type="expression" dxfId="839" priority="9" stopIfTrue="1">
      <formula>S17=ChavePessoal</formula>
    </cfRule>
    <cfRule type="cellIs" dxfId="838" priority="1" operator="equal">
      <formula>"L"</formula>
    </cfRule>
    <cfRule type="expression" dxfId="837" priority="8" stopIfTrue="1">
      <formula>S17=ChaveLicençaMédica</formula>
    </cfRule>
    <cfRule type="expression" dxfId="836" priority="6" stopIfTrue="1">
      <formula>S17=ChavePersonalizada2</formula>
    </cfRule>
    <cfRule type="expression" priority="5" stopIfTrue="1">
      <formula>S17=""</formula>
    </cfRule>
    <cfRule type="cellIs" dxfId="835" priority="4" operator="equal">
      <formula>"A"</formula>
    </cfRule>
    <cfRule type="cellIs" dxfId="834" priority="3" operator="equal">
      <formula>"A"</formula>
    </cfRule>
  </conditionalFormatting>
  <conditionalFormatting sqref="AG8:AG17">
    <cfRule type="dataBar" priority="49">
      <dataBar>
        <cfvo type="min"/>
        <cfvo type="formula" val="DATEDIF(DATE(AnoCalendário,2,1),DATE(AnoCalendário,3,1),&quot;d&quot;)"/>
        <color theme="2" tint="-0.249977111117893"/>
      </dataBar>
      <extLst>
        <ext xmlns:x14="http://schemas.microsoft.com/office/spreadsheetml/2009/9/main" uri="{B025F937-C7B1-47D3-B67F-A62EFF666E3E}">
          <x14:id>{C6C51CE4-E5A5-6548-B677-75BFC57A1AE7}</x14:id>
        </ext>
      </extLst>
    </cfRule>
  </conditionalFormatting>
  <dataValidations count="13">
    <dataValidation allowBlank="1" showInputMessage="1" showErrorMessage="1" prompt="Calcula automaticamente o número total de dias que um funcionário esteve ausente neste mês nesta coluna" sqref="AG7" xr:uid="{DC341019-F88D-494A-80A9-FE7E975A2861}"/>
    <dataValidation errorStyle="warning" allowBlank="1" showInputMessage="1" showErrorMessage="1" error="Selecione o nome da lista. Selecione Cancelar e pressione Alt+Seta para baixo e Enter para selecionar um nome." prompt="Insira os nomes dos funcionários na planilha Nomes dos funcionários e selecione um dos nomes da lista nesta coluna. Pressione Alt+Seta para baixo e, em seguida, ENTER para selecionar um nome." sqref="B7" xr:uid="{DECBF159-0BD0-4322-B4C5-E86E959EA435}"/>
    <dataValidation allowBlank="1" showInputMessage="1" showErrorMessage="1" prompt="O título atualizado automaticamente está nesta célula. Para modificar o título, atualize B1 na planilha Janeiro." sqref="B1" xr:uid="{87830420-BA9D-4107-A29B-CD24AF4574C0}"/>
    <dataValidation allowBlank="1" showInputMessage="1" showErrorMessage="1" prompt="A letra &quot;F&quot; indica falta devido a férias." sqref="C3" xr:uid="{A9C4740F-E971-42D7-8C4B-04A6B4774E60}"/>
    <dataValidation allowBlank="1" showInputMessage="1" showErrorMessage="1" prompt="A letra &quot;P&quot; indica falta devido a motivos pessoais." sqref="G3" xr:uid="{47860890-3459-4961-AE44-0905A2E48A30}"/>
    <dataValidation allowBlank="1" showInputMessage="1" showErrorMessage="1" prompt="A letra &quot;L&quot; indica falta devido à licença médica." sqref="M3" xr:uid="{125B513A-E37A-439C-BC50-4DDC8DDB562A}"/>
    <dataValidation allowBlank="1" showInputMessage="1" showErrorMessage="1" prompt="Insira uma letra e personalize o rótulo à direita para adicionar outro item de chave." sqref="U3" xr:uid="{D6CD6DEA-0056-CD45-92F4-DEFAAA621621}"/>
    <dataValidation allowBlank="1" showInputMessage="1" showErrorMessage="1" prompt="Insira um rótulo para descrever a chave personalizada à esquerda." sqref="V3 Q3" xr:uid="{3D377D6E-BC27-654F-9B85-1EA9759F1F9B}"/>
    <dataValidation allowBlank="1" showInputMessage="1" showErrorMessage="1" prompt="O nome do mês para essa agenda de faltas está nesta célula. Os totais de faltas deste mês estão na última célula da tabela. Selecione os nomes dos funcionários na tabela B." sqref="B1" xr:uid="{0AA2C81B-48E4-4828-933D-C7643283A969}"/>
    <dataValidation allowBlank="1" showInputMessage="1" showErrorMessage="1" prompt="Os dias do mês nesta linha são gerados automaticamente. Insira a falta e o tipo de falta de um funcionário em cada coluna de cada dia do mês. Espaço vazio significa sem faltas." sqref="C7" xr:uid="{D8726BCE-956C-3B41-916D-0B0F98B156A4}"/>
    <dataValidation allowBlank="1" showInputMessage="1" showErrorMessage="1" prompt="Os dias da semana nesta linha são atualizados automaticamente para o mês de acordo com o ano na célula AH4. Cada dia do mês é uma coluna para indicar a falta e o tipo de falta de um funcionário." sqref="C6" xr:uid="{492FF65C-4A5C-D048-AC41-58954D7E6423}"/>
    <dataValidation allowBlank="1" showInputMessage="1" showErrorMessage="1" prompt="Esta linha define as chaves utilizadas na tabela: a célula C4 é Férias, G4 é Pessoal e K4 é Licença médica. As células N4 e R4 são personalizáveis " sqref="B3" xr:uid="{9FC65BC0-AECF-4BC2-BC1D-5D6CDD70E8D7}"/>
    <dataValidation allowBlank="1" showInputMessage="1" showErrorMessage="1" prompt="Insira o ano nesta célula." sqref="AG5" xr:uid="{BE48022B-71FD-4567-B3C0-0C1F8BDF338F}"/>
  </dataValidations>
  <pageMargins left="0.7" right="0.7" top="0.75" bottom="0.75" header="0.3" footer="0.3"/>
  <pageSetup paperSize="9" fitToHeight="0" orientation="portrait" verticalDpi="4294967293" r:id="rId1"/>
  <ignoredErrors>
    <ignoredError sqref="AG8 AG10 AG12 AG14 AG16" calculatedColumn="1"/>
  </ignoredErrors>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C6C51CE4-E5A5-6548-B677-75BFC57A1AE7}">
            <x14:dataBar minLength="0" maxLength="100">
              <x14:cfvo type="autoMin"/>
              <x14:cfvo type="formula">
                <xm:f>DATEDIF(DATE(AnoCalendário,2,1),DATE(AnoCalendário,3,1),"d")</xm:f>
              </x14:cfvo>
              <x14:negativeFillColor rgb="FFFF0000"/>
              <x14:axisColor rgb="FF000000"/>
            </x14:dataBar>
          </x14:cfRule>
          <xm:sqref>AG8:AG17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8A0626E6-C18A-DC42-8971-E3030B4FEB3F}">
          <x14:formula1>
            <xm:f>Diretores!$B$3:$B$7</xm:f>
          </x14:formula1>
          <xm:sqref>B8:B17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499984740745262"/>
  </sheetPr>
  <dimension ref="B1:AI18"/>
  <sheetViews>
    <sheetView showGridLines="0" zoomScale="90" zoomScaleNormal="90" workbookViewId="0">
      <selection activeCell="I13" sqref="I13"/>
    </sheetView>
  </sheetViews>
  <sheetFormatPr defaultColWidth="8.7109375" defaultRowHeight="30" customHeight="1"/>
  <cols>
    <col min="1" max="1" width="2.7109375" customWidth="1"/>
    <col min="2" max="2" width="33.140625" customWidth="1"/>
    <col min="3" max="33" width="4.7109375" customWidth="1"/>
    <col min="34" max="34" width="14.85546875" customWidth="1"/>
    <col min="35" max="35" width="2.7109375" customWidth="1"/>
  </cols>
  <sheetData>
    <row r="1" spans="2:35" ht="61.5">
      <c r="B1" s="82" t="s">
        <v>52</v>
      </c>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35"/>
    </row>
    <row r="2" spans="2:35" ht="15" customHeight="1">
      <c r="B2" s="7"/>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2:35" ht="30" customHeight="1">
      <c r="B3" s="24" t="s">
        <v>1</v>
      </c>
      <c r="C3" s="18" t="s">
        <v>2</v>
      </c>
      <c r="D3" s="79" t="s">
        <v>3</v>
      </c>
      <c r="E3" s="79"/>
      <c r="G3" s="73" t="s">
        <v>4</v>
      </c>
      <c r="H3" s="79" t="s">
        <v>5</v>
      </c>
      <c r="I3" s="79"/>
      <c r="J3" s="79"/>
      <c r="K3" s="79"/>
      <c r="M3" s="17" t="s">
        <v>6</v>
      </c>
      <c r="N3" s="79" t="s">
        <v>7</v>
      </c>
      <c r="O3" s="79"/>
      <c r="P3" s="34"/>
      <c r="Q3" s="38"/>
      <c r="R3" s="38"/>
      <c r="S3" s="38"/>
      <c r="T3" s="38"/>
      <c r="U3" s="32"/>
      <c r="V3" s="38"/>
      <c r="W3" s="34"/>
      <c r="X3" s="34"/>
      <c r="Y3" s="34"/>
    </row>
    <row r="4" spans="2:35" ht="15">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2:35" ht="23.25">
      <c r="B5" s="5"/>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5">
        <v>2027</v>
      </c>
    </row>
    <row r="6" spans="2:35" ht="30" customHeight="1">
      <c r="B6" s="5"/>
      <c r="C6" s="15" t="str">
        <f>TEXT(WEEKDAY(DATE(AnoCalendário,5,1),1),"ddd")</f>
        <v>sáb</v>
      </c>
      <c r="D6" s="15" t="str">
        <f>TEXT(WEEKDAY(DATE(AnoCalendário,5,2),1),"ddd")</f>
        <v>dom</v>
      </c>
      <c r="E6" s="15" t="str">
        <f>TEXT(WEEKDAY(DATE(AnoCalendário,5,3),1),"ddd")</f>
        <v>seg</v>
      </c>
      <c r="F6" s="15" t="str">
        <f>TEXT(WEEKDAY(DATE(AnoCalendário,5,4),1),"ddd")</f>
        <v>ter</v>
      </c>
      <c r="G6" s="15" t="str">
        <f>TEXT(WEEKDAY(DATE(AnoCalendário,5,5),1),"ddd")</f>
        <v>qua</v>
      </c>
      <c r="H6" s="15" t="str">
        <f>TEXT(WEEKDAY(DATE(AnoCalendário,5,6),1),"ddd")</f>
        <v>qui</v>
      </c>
      <c r="I6" s="15" t="str">
        <f>TEXT(WEEKDAY(DATE(AnoCalendário,5,7),1),"ddd")</f>
        <v>sex</v>
      </c>
      <c r="J6" s="15" t="str">
        <f>TEXT(WEEKDAY(DATE(AnoCalendário,5,8),1),"ddd")</f>
        <v>sáb</v>
      </c>
      <c r="K6" s="15" t="str">
        <f>TEXT(WEEKDAY(DATE(AnoCalendário,5,9),1),"ddd")</f>
        <v>dom</v>
      </c>
      <c r="L6" s="15" t="str">
        <f>TEXT(WEEKDAY(DATE(AnoCalendário,5,10),1),"ddd")</f>
        <v>seg</v>
      </c>
      <c r="M6" s="15" t="str">
        <f>TEXT(WEEKDAY(DATE(AnoCalendário,5,11),1),"ddd")</f>
        <v>ter</v>
      </c>
      <c r="N6" s="15" t="str">
        <f>TEXT(WEEKDAY(DATE(AnoCalendário,5,12),1),"ddd")</f>
        <v>qua</v>
      </c>
      <c r="O6" s="15" t="str">
        <f>TEXT(WEEKDAY(DATE(AnoCalendário,5,13),1),"ddd")</f>
        <v>qui</v>
      </c>
      <c r="P6" s="15" t="str">
        <f>TEXT(WEEKDAY(DATE(AnoCalendário,5,14),1),"ddd")</f>
        <v>sex</v>
      </c>
      <c r="Q6" s="15" t="str">
        <f>TEXT(WEEKDAY(DATE(AnoCalendário,5,15),1),"ddd")</f>
        <v>sáb</v>
      </c>
      <c r="R6" s="15" t="str">
        <f>TEXT(WEEKDAY(DATE(AnoCalendário,5,16),1),"ddd")</f>
        <v>dom</v>
      </c>
      <c r="S6" s="15" t="str">
        <f>TEXT(WEEKDAY(DATE(AnoCalendário,5,17),1),"ddd")</f>
        <v>seg</v>
      </c>
      <c r="T6" s="15" t="str">
        <f>TEXT(WEEKDAY(DATE(AnoCalendário,5,18),1),"ddd")</f>
        <v>ter</v>
      </c>
      <c r="U6" s="15" t="str">
        <f>TEXT(WEEKDAY(DATE(AnoCalendário,5,19),1),"ddd")</f>
        <v>qua</v>
      </c>
      <c r="V6" s="15" t="str">
        <f>TEXT(WEEKDAY(DATE(AnoCalendário,5,20),1),"ddd")</f>
        <v>qui</v>
      </c>
      <c r="W6" s="15" t="str">
        <f>TEXT(WEEKDAY(DATE(AnoCalendário,5,21),1),"ddd")</f>
        <v>sex</v>
      </c>
      <c r="X6" s="15" t="str">
        <f>TEXT(WEEKDAY(DATE(AnoCalendário,5,22),1),"ddd")</f>
        <v>sáb</v>
      </c>
      <c r="Y6" s="15" t="str">
        <f>TEXT(WEEKDAY(DATE(AnoCalendário,5,23),1),"ddd")</f>
        <v>dom</v>
      </c>
      <c r="Z6" s="15" t="str">
        <f>TEXT(WEEKDAY(DATE(AnoCalendário,5,24),1),"ddd")</f>
        <v>seg</v>
      </c>
      <c r="AA6" s="15" t="str">
        <f>TEXT(WEEKDAY(DATE(AnoCalendário,5,25),1),"ddd")</f>
        <v>ter</v>
      </c>
      <c r="AB6" s="15" t="str">
        <f>TEXT(WEEKDAY(DATE(AnoCalendário,5,26),1),"ddd")</f>
        <v>qua</v>
      </c>
      <c r="AC6" s="15" t="str">
        <f>TEXT(WEEKDAY(DATE(AnoCalendário,5,27),1),"ddd")</f>
        <v>qui</v>
      </c>
      <c r="AD6" s="15" t="str">
        <f>TEXT(WEEKDAY(DATE(AnoCalendário,5,28),1),"ddd")</f>
        <v>sex</v>
      </c>
      <c r="AE6" s="15" t="str">
        <f>TEXT(WEEKDAY(DATE(AnoCalendário,5,29),1),"ddd")</f>
        <v>sáb</v>
      </c>
      <c r="AF6" s="15" t="str">
        <f>TEXT(WEEKDAY(DATE(AnoCalendário,5,30),1),"ddd")</f>
        <v>dom</v>
      </c>
      <c r="AG6" s="15" t="str">
        <f>TEXT(WEEKDAY(DATE(AnoCalendário,5,31),1),"ddd")</f>
        <v>seg</v>
      </c>
      <c r="AH6" s="5"/>
    </row>
    <row r="7" spans="2:35" ht="30" customHeight="1">
      <c r="B7" s="20" t="s">
        <v>8</v>
      </c>
      <c r="C7" s="1" t="s">
        <v>9</v>
      </c>
      <c r="D7" s="1" t="s">
        <v>10</v>
      </c>
      <c r="E7" s="1" t="s">
        <v>11</v>
      </c>
      <c r="F7" s="1" t="s">
        <v>12</v>
      </c>
      <c r="G7" s="1" t="s">
        <v>13</v>
      </c>
      <c r="H7" s="1" t="s">
        <v>14</v>
      </c>
      <c r="I7" s="1" t="s">
        <v>15</v>
      </c>
      <c r="J7" s="1" t="s">
        <v>16</v>
      </c>
      <c r="K7" s="1" t="s">
        <v>17</v>
      </c>
      <c r="L7" s="1" t="s">
        <v>18</v>
      </c>
      <c r="M7" s="1" t="s">
        <v>19</v>
      </c>
      <c r="N7" s="1" t="s">
        <v>20</v>
      </c>
      <c r="O7" s="1" t="s">
        <v>21</v>
      </c>
      <c r="P7" s="1" t="s">
        <v>22</v>
      </c>
      <c r="Q7" s="1" t="s">
        <v>23</v>
      </c>
      <c r="R7" s="1" t="s">
        <v>24</v>
      </c>
      <c r="S7" s="1" t="s">
        <v>25</v>
      </c>
      <c r="T7" s="1" t="s">
        <v>26</v>
      </c>
      <c r="U7" s="1" t="s">
        <v>27</v>
      </c>
      <c r="V7" s="1" t="s">
        <v>28</v>
      </c>
      <c r="W7" s="1" t="s">
        <v>29</v>
      </c>
      <c r="X7" s="1" t="s">
        <v>30</v>
      </c>
      <c r="Y7" s="1" t="s">
        <v>31</v>
      </c>
      <c r="Z7" s="1" t="s">
        <v>32</v>
      </c>
      <c r="AA7" s="1" t="s">
        <v>33</v>
      </c>
      <c r="AB7" s="1" t="s">
        <v>34</v>
      </c>
      <c r="AC7" s="1" t="s">
        <v>35</v>
      </c>
      <c r="AD7" s="1" t="s">
        <v>36</v>
      </c>
      <c r="AE7" s="1" t="s">
        <v>37</v>
      </c>
      <c r="AF7" s="1" t="s">
        <v>38</v>
      </c>
      <c r="AG7" s="1" t="s">
        <v>39</v>
      </c>
      <c r="AH7" s="16" t="s">
        <v>40</v>
      </c>
    </row>
    <row r="8" spans="2:35" ht="30" customHeight="1">
      <c r="B8" s="2" t="s">
        <v>41</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3">
        <f>COUNTA(March58[[#This Row],[1]:[31]])</f>
        <v>0</v>
      </c>
    </row>
    <row r="9" spans="2:35" ht="30" customHeight="1">
      <c r="B9" s="36"/>
      <c r="E9" s="55"/>
      <c r="F9" s="1"/>
      <c r="G9" s="1"/>
      <c r="H9" s="1"/>
      <c r="I9" s="1"/>
      <c r="J9" s="1"/>
      <c r="K9" s="1"/>
      <c r="L9" s="1"/>
      <c r="M9" s="1"/>
      <c r="N9" s="1"/>
      <c r="O9" s="1"/>
      <c r="P9" s="1"/>
      <c r="Q9" s="1"/>
      <c r="R9" s="1"/>
      <c r="T9" s="1"/>
      <c r="U9" s="1"/>
      <c r="V9" s="1"/>
      <c r="W9" s="1"/>
      <c r="X9" s="1"/>
      <c r="Y9" s="1"/>
      <c r="Z9" s="1"/>
      <c r="AA9" s="1"/>
      <c r="AB9" s="1"/>
      <c r="AC9" s="1"/>
      <c r="AD9" s="1"/>
      <c r="AE9" s="1"/>
      <c r="AF9" s="1"/>
      <c r="AG9" s="37"/>
      <c r="AH9" s="3"/>
    </row>
    <row r="10" spans="2:35" ht="30" customHeight="1">
      <c r="B10" s="2" t="s">
        <v>43</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3">
        <f>COUNTA(March58[[#This Row],[1]:[31]])</f>
        <v>0</v>
      </c>
    </row>
    <row r="11" spans="2:35" ht="30" customHeight="1">
      <c r="B11" s="36"/>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37"/>
      <c r="AH11" s="3"/>
    </row>
    <row r="12" spans="2:35" ht="30" customHeight="1">
      <c r="B12" s="2" t="s">
        <v>44</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3">
        <f>COUNTA(March58[[#This Row],[1]:[31]])</f>
        <v>0</v>
      </c>
    </row>
    <row r="13" spans="2:35" ht="30" customHeight="1">
      <c r="B13" s="36"/>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37"/>
      <c r="AH13" s="3"/>
    </row>
    <row r="14" spans="2:35" ht="30" customHeight="1">
      <c r="B14" s="2" t="s">
        <v>46</v>
      </c>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3">
        <f>COUNTA(March58[[#This Row],[1]:[31]])</f>
        <v>0</v>
      </c>
    </row>
    <row r="15" spans="2:35" ht="30" customHeight="1">
      <c r="B15" s="36"/>
      <c r="E15" s="54"/>
      <c r="F15" s="1"/>
      <c r="G15" s="1"/>
      <c r="H15" s="1"/>
      <c r="I15" s="1"/>
      <c r="J15" s="1"/>
      <c r="K15" s="1"/>
      <c r="L15" s="1"/>
      <c r="M15" s="1"/>
      <c r="N15" s="1"/>
      <c r="O15" s="1"/>
      <c r="P15" s="1"/>
      <c r="Q15" s="1"/>
      <c r="R15" s="1"/>
      <c r="S15" s="1"/>
      <c r="T15" s="1"/>
      <c r="U15" s="1"/>
      <c r="V15" s="54"/>
      <c r="W15" s="1"/>
      <c r="X15" s="1"/>
      <c r="Y15" s="1"/>
      <c r="Z15" s="1"/>
      <c r="AA15" s="1"/>
      <c r="AB15" s="1"/>
      <c r="AC15" s="1"/>
      <c r="AD15" s="1"/>
      <c r="AE15" s="1"/>
      <c r="AF15" s="1"/>
      <c r="AG15" s="37"/>
      <c r="AH15" s="3"/>
    </row>
    <row r="16" spans="2:35" ht="30" customHeight="1">
      <c r="B16" s="2" t="s">
        <v>47</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3">
        <f>COUNTA(March58[[#This Row],[1]:[31]])</f>
        <v>0</v>
      </c>
    </row>
    <row r="17" spans="2:34" ht="30" customHeight="1">
      <c r="B17" s="36"/>
      <c r="C17" s="1"/>
      <c r="D17" s="1"/>
      <c r="E17" s="1"/>
      <c r="F17" s="1"/>
      <c r="G17" s="1"/>
      <c r="H17" s="40"/>
      <c r="I17" s="1"/>
      <c r="J17" s="1"/>
      <c r="K17" s="1"/>
      <c r="L17" s="1"/>
      <c r="M17" s="1"/>
      <c r="N17" s="1"/>
      <c r="O17" s="1"/>
      <c r="P17" s="1"/>
      <c r="Q17" s="1"/>
      <c r="S17" s="1"/>
      <c r="T17" s="1"/>
      <c r="U17" s="1"/>
      <c r="V17" s="1"/>
      <c r="W17" s="1"/>
      <c r="X17" s="1"/>
      <c r="Y17" s="1"/>
      <c r="Z17" s="1"/>
      <c r="AA17" s="1"/>
      <c r="AB17" s="1"/>
      <c r="AC17" s="1"/>
      <c r="AD17" s="1"/>
      <c r="AE17" s="1"/>
      <c r="AF17" s="1"/>
      <c r="AG17" s="37"/>
      <c r="AH17" s="3"/>
    </row>
    <row r="18" spans="2:34" ht="30" customHeight="1">
      <c r="B18" s="1" t="s">
        <v>48</v>
      </c>
      <c r="C18" s="4">
        <f>COUNTA(C8,C10,C12,C14,C16)</f>
        <v>0</v>
      </c>
      <c r="D18" s="4">
        <f t="shared" ref="D18:AF18" si="0">COUNTA(D8,D10,D12,D14,D16)</f>
        <v>0</v>
      </c>
      <c r="E18" s="4">
        <f t="shared" si="0"/>
        <v>0</v>
      </c>
      <c r="F18" s="4">
        <f t="shared" si="0"/>
        <v>0</v>
      </c>
      <c r="G18" s="4">
        <f t="shared" si="0"/>
        <v>0</v>
      </c>
      <c r="H18" s="4">
        <f t="shared" si="0"/>
        <v>0</v>
      </c>
      <c r="I18" s="4">
        <f t="shared" si="0"/>
        <v>0</v>
      </c>
      <c r="J18" s="4">
        <f t="shared" si="0"/>
        <v>0</v>
      </c>
      <c r="K18" s="4">
        <f t="shared" si="0"/>
        <v>0</v>
      </c>
      <c r="L18" s="4">
        <f t="shared" si="0"/>
        <v>0</v>
      </c>
      <c r="M18" s="4">
        <f t="shared" si="0"/>
        <v>0</v>
      </c>
      <c r="N18" s="4">
        <f t="shared" si="0"/>
        <v>0</v>
      </c>
      <c r="O18" s="4">
        <f t="shared" si="0"/>
        <v>0</v>
      </c>
      <c r="P18" s="4">
        <f t="shared" si="0"/>
        <v>0</v>
      </c>
      <c r="Q18" s="4">
        <f t="shared" si="0"/>
        <v>0</v>
      </c>
      <c r="R18" s="4">
        <f t="shared" si="0"/>
        <v>0</v>
      </c>
      <c r="S18" s="4">
        <f t="shared" si="0"/>
        <v>0</v>
      </c>
      <c r="T18" s="4">
        <f t="shared" si="0"/>
        <v>0</v>
      </c>
      <c r="U18" s="4">
        <f t="shared" si="0"/>
        <v>0</v>
      </c>
      <c r="V18" s="4">
        <f t="shared" si="0"/>
        <v>0</v>
      </c>
      <c r="W18" s="4">
        <f t="shared" si="0"/>
        <v>0</v>
      </c>
      <c r="X18" s="4">
        <f t="shared" si="0"/>
        <v>0</v>
      </c>
      <c r="Y18" s="4">
        <f t="shared" si="0"/>
        <v>0</v>
      </c>
      <c r="Z18" s="4">
        <f t="shared" si="0"/>
        <v>0</v>
      </c>
      <c r="AA18" s="4">
        <f t="shared" si="0"/>
        <v>0</v>
      </c>
      <c r="AB18" s="4">
        <f t="shared" si="0"/>
        <v>0</v>
      </c>
      <c r="AC18" s="4">
        <f t="shared" si="0"/>
        <v>0</v>
      </c>
      <c r="AD18" s="4">
        <f t="shared" si="0"/>
        <v>0</v>
      </c>
      <c r="AE18" s="4">
        <f t="shared" si="0"/>
        <v>0</v>
      </c>
      <c r="AF18" s="4">
        <f t="shared" si="0"/>
        <v>0</v>
      </c>
      <c r="AG18" s="4">
        <f>COUNTA(AG8,AG10,AG12,AG14,AG16)</f>
        <v>0</v>
      </c>
      <c r="AH18" s="4"/>
    </row>
  </sheetData>
  <mergeCells count="5">
    <mergeCell ref="D3:E3"/>
    <mergeCell ref="H3:K3"/>
    <mergeCell ref="B1:AH1"/>
    <mergeCell ref="N3:O3"/>
    <mergeCell ref="C5:AG5"/>
  </mergeCells>
  <phoneticPr fontId="26" type="noConversion"/>
  <conditionalFormatting sqref="C8:AG8 C9:D9 F9:AG9 C10:AG14 C15:D15 F15:U15 W15:AG15 C16:AG16 C17:G17 I17:AG17">
    <cfRule type="expression" dxfId="766" priority="44" stopIfTrue="1">
      <formula>C8=ChavePersonalizada2</formula>
    </cfRule>
    <cfRule type="cellIs" dxfId="765" priority="42" operator="equal">
      <formula>"A"</formula>
    </cfRule>
    <cfRule type="cellIs" dxfId="764" priority="41" operator="equal">
      <formula>"L"</formula>
    </cfRule>
    <cfRule type="expression" priority="43" stopIfTrue="1">
      <formula>C8=""</formula>
    </cfRule>
    <cfRule type="expression" dxfId="763" priority="48" stopIfTrue="1">
      <formula>C8=ChaveFérias</formula>
    </cfRule>
    <cfRule type="expression" dxfId="762" priority="47" stopIfTrue="1">
      <formula>C8=ChavePessoal</formula>
    </cfRule>
    <cfRule type="expression" dxfId="761" priority="46" stopIfTrue="1">
      <formula>C8=ChaveLicençaMédica</formula>
    </cfRule>
    <cfRule type="expression" dxfId="760" priority="45" stopIfTrue="1">
      <formula>C8=ChavePersonalizada1</formula>
    </cfRule>
  </conditionalFormatting>
  <conditionalFormatting sqref="E9">
    <cfRule type="cellIs" dxfId="759" priority="13" operator="equal">
      <formula>"A"</formula>
    </cfRule>
    <cfRule type="expression" dxfId="758" priority="19" stopIfTrue="1">
      <formula>E9=ChavePessoal</formula>
    </cfRule>
    <cfRule type="expression" dxfId="757" priority="20" stopIfTrue="1">
      <formula>E9=ChaveFérias</formula>
    </cfRule>
    <cfRule type="cellIs" dxfId="756" priority="11" operator="equal">
      <formula>"L"</formula>
    </cfRule>
    <cfRule type="cellIs" dxfId="755" priority="12" operator="equal">
      <formula>"A"</formula>
    </cfRule>
    <cfRule type="cellIs" dxfId="754" priority="14" operator="equal">
      <formula>"A"</formula>
    </cfRule>
    <cfRule type="expression" priority="15" stopIfTrue="1">
      <formula>E9=""</formula>
    </cfRule>
    <cfRule type="expression" dxfId="753" priority="16" stopIfTrue="1">
      <formula>E9=ChavePersonalizada2</formula>
    </cfRule>
    <cfRule type="expression" dxfId="752" priority="17" stopIfTrue="1">
      <formula>E9=ChavePersonalizada1</formula>
    </cfRule>
    <cfRule type="expression" dxfId="751" priority="18" stopIfTrue="1">
      <formula>E9=ChaveLicençaMédica</formula>
    </cfRule>
  </conditionalFormatting>
  <conditionalFormatting sqref="E15">
    <cfRule type="expression" priority="35" stopIfTrue="1">
      <formula>E15=""</formula>
    </cfRule>
    <cfRule type="expression" dxfId="750" priority="36" stopIfTrue="1">
      <formula>E15=ChavePersonalizada2</formula>
    </cfRule>
    <cfRule type="expression" dxfId="749" priority="38" stopIfTrue="1">
      <formula>E15=ChaveLicençaMédica</formula>
    </cfRule>
    <cfRule type="expression" dxfId="748" priority="39" stopIfTrue="1">
      <formula>E15=ChavePessoal</formula>
    </cfRule>
    <cfRule type="expression" dxfId="747" priority="40" stopIfTrue="1">
      <formula>E15=ChaveFérias</formula>
    </cfRule>
    <cfRule type="cellIs" dxfId="746" priority="31" operator="equal">
      <formula>"L"</formula>
    </cfRule>
    <cfRule type="expression" dxfId="745" priority="37" stopIfTrue="1">
      <formula>E15=ChavePersonalizada1</formula>
    </cfRule>
    <cfRule type="cellIs" dxfId="744" priority="32" operator="equal">
      <formula>"A"</formula>
    </cfRule>
    <cfRule type="cellIs" dxfId="743" priority="33" operator="equal">
      <formula>"A"</formula>
    </cfRule>
    <cfRule type="cellIs" dxfId="742" priority="34" operator="equal">
      <formula>"A"</formula>
    </cfRule>
  </conditionalFormatting>
  <conditionalFormatting sqref="H17">
    <cfRule type="expression" dxfId="741" priority="28" stopIfTrue="1">
      <formula>H17=ChaveLicençaMédica</formula>
    </cfRule>
    <cfRule type="expression" dxfId="740" priority="29" stopIfTrue="1">
      <formula>H17=ChavePessoal</formula>
    </cfRule>
    <cfRule type="expression" dxfId="739" priority="30" stopIfTrue="1">
      <formula>H17=ChaveFérias</formula>
    </cfRule>
    <cfRule type="cellIs" dxfId="738" priority="24" operator="equal">
      <formula>"A"</formula>
    </cfRule>
    <cfRule type="expression" priority="25" stopIfTrue="1">
      <formula>H17=""</formula>
    </cfRule>
    <cfRule type="expression" dxfId="737" priority="26" stopIfTrue="1">
      <formula>H17=ChavePersonalizada2</formula>
    </cfRule>
    <cfRule type="expression" dxfId="736" priority="27" stopIfTrue="1">
      <formula>H17=ChavePersonalizada1</formula>
    </cfRule>
    <cfRule type="cellIs" dxfId="735" priority="23" operator="equal">
      <formula>"A"</formula>
    </cfRule>
    <cfRule type="cellIs" dxfId="734" priority="22" operator="equal">
      <formula>"A"</formula>
    </cfRule>
    <cfRule type="cellIs" dxfId="733" priority="21" operator="equal">
      <formula>"L"</formula>
    </cfRule>
  </conditionalFormatting>
  <conditionalFormatting sqref="V15">
    <cfRule type="cellIs" dxfId="732" priority="2" operator="equal">
      <formula>"A"</formula>
    </cfRule>
    <cfRule type="cellIs" dxfId="731" priority="3" operator="equal">
      <formula>"A"</formula>
    </cfRule>
    <cfRule type="cellIs" dxfId="730" priority="4" operator="equal">
      <formula>"A"</formula>
    </cfRule>
    <cfRule type="expression" priority="5" stopIfTrue="1">
      <formula>V15=""</formula>
    </cfRule>
    <cfRule type="expression" dxfId="729" priority="6" stopIfTrue="1">
      <formula>V15=ChavePersonalizada2</formula>
    </cfRule>
    <cfRule type="cellIs" dxfId="728" priority="1" operator="equal">
      <formula>"L"</formula>
    </cfRule>
    <cfRule type="expression" dxfId="727" priority="7" stopIfTrue="1">
      <formula>V15=ChavePersonalizada1</formula>
    </cfRule>
    <cfRule type="expression" dxfId="726" priority="10" stopIfTrue="1">
      <formula>V15=ChaveFérias</formula>
    </cfRule>
    <cfRule type="expression" dxfId="725" priority="9" stopIfTrue="1">
      <formula>V15=ChavePessoal</formula>
    </cfRule>
    <cfRule type="expression" dxfId="724" priority="8" stopIfTrue="1">
      <formula>V15=ChaveLicençaMédica</formula>
    </cfRule>
  </conditionalFormatting>
  <conditionalFormatting sqref="AH8:AH17">
    <cfRule type="dataBar" priority="49">
      <dataBar>
        <cfvo type="min"/>
        <cfvo type="formula" val="DATEDIF(DATE(AnoCalendário,2,1),DATE(AnoCalendário,3,1),&quot;d&quot;)"/>
        <color theme="2" tint="-0.249977111117893"/>
      </dataBar>
      <extLst>
        <ext xmlns:x14="http://schemas.microsoft.com/office/spreadsheetml/2009/9/main" uri="{B025F937-C7B1-47D3-B67F-A62EFF666E3E}">
          <x14:id>{A375B1A4-CE4E-6D4B-BAE6-14354F30C96E}</x14:id>
        </ext>
      </extLst>
    </cfRule>
  </conditionalFormatting>
  <dataValidations count="13">
    <dataValidation allowBlank="1" showInputMessage="1" showErrorMessage="1" prompt="Os dias do mês nesta linha são gerados automaticamente. Insira a falta e o tipo de falta de um funcionário em cada coluna de cada dia do mês. Espaço vazio significa sem faltas." sqref="C7" xr:uid="{335D4725-041B-2E47-BBA9-5D657DA932CD}"/>
    <dataValidation allowBlank="1" showInputMessage="1" showErrorMessage="1" prompt="Insira um rótulo para descrever a chave personalizada à esquerda." sqref="V3 Q3" xr:uid="{F2F4B9BA-4CA6-A143-BE13-C064DBB63530}"/>
    <dataValidation allowBlank="1" showInputMessage="1" showErrorMessage="1" prompt="Insira uma letra e personalize o rótulo à direita para adicionar outro item de chave." sqref="U3" xr:uid="{CF766EB9-3E0D-684E-A12B-CB8F4BAD775E}"/>
    <dataValidation allowBlank="1" showInputMessage="1" showErrorMessage="1" prompt="A letra &quot;L&quot; indica falta devido à licença médica." sqref="M3" xr:uid="{760A8A37-4952-4981-9A74-8FD195A96236}"/>
    <dataValidation allowBlank="1" showInputMessage="1" showErrorMessage="1" prompt="A letra &quot;P&quot; indica falta devido a motivos pessoais." sqref="G3" xr:uid="{0002AE97-39DA-452D-8487-95D1931D436A}"/>
    <dataValidation allowBlank="1" showInputMessage="1" showErrorMessage="1" prompt="A letra &quot;F&quot; indica falta devido a férias." sqref="C3" xr:uid="{1166AAB5-330F-42AC-87E8-51B375932F65}"/>
    <dataValidation allowBlank="1" showInputMessage="1" showErrorMessage="1" prompt="O título atualizado automaticamente está nesta célula. Para modificar o título, atualize B1 na planilha Janeiro." sqref="B1" xr:uid="{1D28B3A2-A0BA-41C1-A979-6020A42618AE}"/>
    <dataValidation errorStyle="warning" allowBlank="1" showInputMessage="1" showErrorMessage="1" error="Selecione o nome da lista. Selecione Cancelar e pressione Alt+Seta para baixo e Enter para selecionar um nome." prompt="Insira os nomes dos funcionários na planilha Nomes dos funcionários e selecione um dos nomes da lista nesta coluna. Pressione Alt+Seta para baixo e, em seguida, ENTER para selecionar um nome." sqref="B7" xr:uid="{ED6FCE99-3C12-41EE-ACDF-8A796A12E456}"/>
    <dataValidation allowBlank="1" showInputMessage="1" showErrorMessage="1" prompt="Calcula automaticamente o número total de dias que um funcionário esteve ausente neste mês nesta coluna" sqref="AH7" xr:uid="{AA6AB7B7-5D91-F64F-B211-A848209375D2}"/>
    <dataValidation allowBlank="1" showInputMessage="1" showErrorMessage="1" prompt="Os dias da semana nesta linha são atualizados automaticamente para o mês de acordo com o ano na célula AH4. Cada dia do mês é uma coluna para indicar a falta e o tipo de falta de um funcionário." sqref="C6" xr:uid="{01F3DA31-27D6-FF4D-B48B-4013BF344DCF}"/>
    <dataValidation allowBlank="1" showInputMessage="1" showErrorMessage="1" prompt="O nome do mês para essa agenda de faltas está nesta célula. Os totais de faltas deste mês estão na última célula da tabela. Selecione os nomes dos funcionários na tabela B." sqref="B1" xr:uid="{770E3387-CBB0-4A5D-949C-AFE3918EB8BB}"/>
    <dataValidation allowBlank="1" showInputMessage="1" showErrorMessage="1" prompt="Esta linha define as chaves utilizadas na tabela: a célula C4 é Férias, G4 é Pessoal e K4 é Licença médica. As células N4 e R4 são personalizáveis " sqref="B3" xr:uid="{18A20A4D-D441-449C-9653-B84A438A9B22}"/>
    <dataValidation allowBlank="1" showInputMessage="1" showErrorMessage="1" prompt="Insira o ano nesta célula." sqref="AH5" xr:uid="{D011021E-996D-473A-AB5F-18867CFFD3E2}"/>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A375B1A4-CE4E-6D4B-BAE6-14354F30C96E}">
            <x14:dataBar minLength="0" maxLength="100">
              <x14:cfvo type="autoMin"/>
              <x14:cfvo type="formula">
                <xm:f>DATEDIF(DATE(AnoCalendário,2,1),DATE(AnoCalendário,3,1),"d")</xm:f>
              </x14:cfvo>
              <x14:negativeFillColor rgb="FFFF0000"/>
              <x14:axisColor rgb="FF000000"/>
            </x14:dataBar>
          </x14:cfRule>
          <xm:sqref>AH8:AH17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B1B1DACF-B091-8040-A452-F5B0F1F6A6F7}">
          <x14:formula1>
            <xm:f>Diretores!$B$3:$B$7</xm:f>
          </x14:formula1>
          <xm:sqref>B8:B17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pageSetUpPr fitToPage="1"/>
  </sheetPr>
  <dimension ref="B1:AG18"/>
  <sheetViews>
    <sheetView showGridLines="0" zoomScale="90" zoomScaleNormal="90" workbookViewId="0">
      <selection activeCell="M13" sqref="M13"/>
    </sheetView>
  </sheetViews>
  <sheetFormatPr defaultColWidth="8.7109375" defaultRowHeight="30" customHeight="1"/>
  <cols>
    <col min="1" max="1" width="2.7109375" customWidth="1"/>
    <col min="2" max="2" width="33.42578125" bestFit="1" customWidth="1"/>
    <col min="3" max="32" width="4.7109375" customWidth="1"/>
    <col min="33" max="33" width="14.85546875" customWidth="1"/>
    <col min="34" max="34" width="2.7109375" customWidth="1"/>
  </cols>
  <sheetData>
    <row r="1" spans="2:33" ht="61.5">
      <c r="B1" s="82" t="s">
        <v>53</v>
      </c>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row>
    <row r="2" spans="2:33" ht="15" customHeight="1">
      <c r="B2" s="7"/>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row>
    <row r="3" spans="2:33" ht="30" customHeight="1">
      <c r="B3" s="24" t="s">
        <v>1</v>
      </c>
      <c r="C3" s="18" t="s">
        <v>2</v>
      </c>
      <c r="D3" s="79" t="s">
        <v>3</v>
      </c>
      <c r="E3" s="79"/>
      <c r="G3" s="73" t="s">
        <v>4</v>
      </c>
      <c r="H3" s="79" t="s">
        <v>5</v>
      </c>
      <c r="I3" s="79"/>
      <c r="J3" s="79"/>
      <c r="K3" s="79"/>
      <c r="M3" s="17" t="s">
        <v>6</v>
      </c>
      <c r="N3" s="79" t="s">
        <v>7</v>
      </c>
      <c r="O3" s="79"/>
      <c r="P3" s="34"/>
      <c r="Q3" s="38"/>
      <c r="R3" s="38"/>
      <c r="S3" s="38"/>
      <c r="T3" s="38"/>
      <c r="U3" s="32"/>
      <c r="V3" s="38"/>
      <c r="W3" s="34"/>
      <c r="X3" s="34"/>
      <c r="Y3" s="34"/>
    </row>
    <row r="4" spans="2:33" ht="15" customHeight="1">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row>
    <row r="5" spans="2:33" ht="23.25">
      <c r="B5" s="5"/>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5">
        <v>2027</v>
      </c>
    </row>
    <row r="6" spans="2:33" ht="30" customHeight="1">
      <c r="B6" s="5"/>
      <c r="C6" s="15" t="str">
        <f>TEXT(WEEKDAY(DATE(AnoCalendário,6,1),1),"ddd")</f>
        <v>ter</v>
      </c>
      <c r="D6" s="15" t="str">
        <f>TEXT(WEEKDAY(DATE(AnoCalendário,6,2),1),"ddd")</f>
        <v>qua</v>
      </c>
      <c r="E6" s="15" t="str">
        <f>TEXT(WEEKDAY(DATE(AnoCalendário,6,3),1),"ddd")</f>
        <v>qui</v>
      </c>
      <c r="F6" s="15" t="str">
        <f>TEXT(WEEKDAY(DATE(AnoCalendário,6,4),1),"ddd")</f>
        <v>sex</v>
      </c>
      <c r="G6" s="15" t="str">
        <f>TEXT(WEEKDAY(DATE(AnoCalendário,6,5),1),"ddd")</f>
        <v>sáb</v>
      </c>
      <c r="H6" s="15" t="str">
        <f>TEXT(WEEKDAY(DATE(AnoCalendário,6,6),1),"ddd")</f>
        <v>dom</v>
      </c>
      <c r="I6" s="15" t="str">
        <f>TEXT(WEEKDAY(DATE(AnoCalendário,6,7),1),"ddd")</f>
        <v>seg</v>
      </c>
      <c r="J6" s="15" t="str">
        <f>TEXT(WEEKDAY(DATE(AnoCalendário,6,8),1),"ddd")</f>
        <v>ter</v>
      </c>
      <c r="K6" s="15" t="str">
        <f>TEXT(WEEKDAY(DATE(AnoCalendário,6,9),1),"ddd")</f>
        <v>qua</v>
      </c>
      <c r="L6" s="15" t="str">
        <f>TEXT(WEEKDAY(DATE(AnoCalendário,6,10),1),"ddd")</f>
        <v>qui</v>
      </c>
      <c r="M6" s="15" t="str">
        <f>TEXT(WEEKDAY(DATE(AnoCalendário,6,11),1),"ddd")</f>
        <v>sex</v>
      </c>
      <c r="N6" s="15" t="str">
        <f>TEXT(WEEKDAY(DATE(AnoCalendário,6,12),1),"ddd")</f>
        <v>sáb</v>
      </c>
      <c r="O6" s="15" t="str">
        <f>TEXT(WEEKDAY(DATE(AnoCalendário,6,13),1),"ddd")</f>
        <v>dom</v>
      </c>
      <c r="P6" s="15" t="str">
        <f>TEXT(WEEKDAY(DATE(AnoCalendário,6,14),1),"ddd")</f>
        <v>seg</v>
      </c>
      <c r="Q6" s="15" t="str">
        <f>TEXT(WEEKDAY(DATE(AnoCalendário,6,15),1),"ddd")</f>
        <v>ter</v>
      </c>
      <c r="R6" s="15" t="str">
        <f>TEXT(WEEKDAY(DATE(AnoCalendário,6,16),1),"ddd")</f>
        <v>qua</v>
      </c>
      <c r="S6" s="15" t="str">
        <f>TEXT(WEEKDAY(DATE(AnoCalendário,6,17),1),"ddd")</f>
        <v>qui</v>
      </c>
      <c r="T6" s="15" t="str">
        <f>TEXT(WEEKDAY(DATE(AnoCalendário,6,18),1),"ddd")</f>
        <v>sex</v>
      </c>
      <c r="U6" s="15" t="str">
        <f>TEXT(WEEKDAY(DATE(AnoCalendário,6,19),1),"ddd")</f>
        <v>sáb</v>
      </c>
      <c r="V6" s="15" t="str">
        <f>TEXT(WEEKDAY(DATE(AnoCalendário,6,20),1),"ddd")</f>
        <v>dom</v>
      </c>
      <c r="W6" s="15" t="str">
        <f>TEXT(WEEKDAY(DATE(AnoCalendário,6,21),1),"ddd")</f>
        <v>seg</v>
      </c>
      <c r="X6" s="15" t="str">
        <f>TEXT(WEEKDAY(DATE(AnoCalendário,6,22),1),"ddd")</f>
        <v>ter</v>
      </c>
      <c r="Y6" s="15" t="str">
        <f>TEXT(WEEKDAY(DATE(AnoCalendário,6,23),1),"ddd")</f>
        <v>qua</v>
      </c>
      <c r="Z6" s="15" t="str">
        <f>TEXT(WEEKDAY(DATE(AnoCalendário,6,24),1),"ddd")</f>
        <v>qui</v>
      </c>
      <c r="AA6" s="15" t="str">
        <f>TEXT(WEEKDAY(DATE(AnoCalendário,6,25),1),"ddd")</f>
        <v>sex</v>
      </c>
      <c r="AB6" s="15" t="str">
        <f>TEXT(WEEKDAY(DATE(AnoCalendário,6,26),1),"ddd")</f>
        <v>sáb</v>
      </c>
      <c r="AC6" s="15" t="str">
        <f>TEXT(WEEKDAY(DATE(AnoCalendário,6,27),1),"ddd")</f>
        <v>dom</v>
      </c>
      <c r="AD6" s="15" t="str">
        <f>TEXT(WEEKDAY(DATE(AnoCalendário,6,28),1),"ddd")</f>
        <v>seg</v>
      </c>
      <c r="AE6" s="15" t="str">
        <f>TEXT(WEEKDAY(DATE(AnoCalendário,6,29),1),"ddd")</f>
        <v>ter</v>
      </c>
      <c r="AF6" s="15" t="str">
        <f>TEXT(WEEKDAY(DATE(AnoCalendário,6,30),1),"ddd")</f>
        <v>qua</v>
      </c>
      <c r="AG6" s="5"/>
    </row>
    <row r="7" spans="2:33" ht="30" customHeight="1">
      <c r="B7" s="20" t="s">
        <v>8</v>
      </c>
      <c r="C7" s="1" t="s">
        <v>9</v>
      </c>
      <c r="D7" s="1" t="s">
        <v>10</v>
      </c>
      <c r="E7" s="1" t="s">
        <v>11</v>
      </c>
      <c r="F7" s="1" t="s">
        <v>12</v>
      </c>
      <c r="G7" s="1" t="s">
        <v>13</v>
      </c>
      <c r="H7" s="1" t="s">
        <v>14</v>
      </c>
      <c r="I7" s="1" t="s">
        <v>15</v>
      </c>
      <c r="J7" s="1" t="s">
        <v>16</v>
      </c>
      <c r="K7" s="1" t="s">
        <v>17</v>
      </c>
      <c r="L7" s="1" t="s">
        <v>18</v>
      </c>
      <c r="M7" s="1" t="s">
        <v>19</v>
      </c>
      <c r="N7" s="1" t="s">
        <v>20</v>
      </c>
      <c r="O7" s="1" t="s">
        <v>21</v>
      </c>
      <c r="P7" s="1" t="s">
        <v>22</v>
      </c>
      <c r="Q7" s="1" t="s">
        <v>23</v>
      </c>
      <c r="R7" s="1" t="s">
        <v>24</v>
      </c>
      <c r="S7" s="1" t="s">
        <v>25</v>
      </c>
      <c r="T7" s="1" t="s">
        <v>26</v>
      </c>
      <c r="U7" s="1" t="s">
        <v>27</v>
      </c>
      <c r="V7" s="1" t="s">
        <v>28</v>
      </c>
      <c r="W7" s="1" t="s">
        <v>29</v>
      </c>
      <c r="X7" s="1" t="s">
        <v>30</v>
      </c>
      <c r="Y7" s="1" t="s">
        <v>31</v>
      </c>
      <c r="Z7" s="1" t="s">
        <v>32</v>
      </c>
      <c r="AA7" s="1" t="s">
        <v>33</v>
      </c>
      <c r="AB7" s="1" t="s">
        <v>34</v>
      </c>
      <c r="AC7" s="1" t="s">
        <v>35</v>
      </c>
      <c r="AD7" s="1" t="s">
        <v>36</v>
      </c>
      <c r="AE7" s="1" t="s">
        <v>37</v>
      </c>
      <c r="AF7" s="1" t="s">
        <v>38</v>
      </c>
      <c r="AG7" s="16" t="s">
        <v>40</v>
      </c>
    </row>
    <row r="8" spans="2:33" ht="30" customHeight="1">
      <c r="B8" s="2" t="s">
        <v>41</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3">
        <f>COUNTA(Junho[[#This Row],[1]:[30]])</f>
        <v>0</v>
      </c>
    </row>
    <row r="9" spans="2:33" ht="30" customHeight="1">
      <c r="B9" s="36"/>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3"/>
    </row>
    <row r="10" spans="2:33" ht="30" customHeight="1">
      <c r="B10" s="2" t="s">
        <v>43</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3">
        <f>COUNTA(Junho[[#This Row],[1]:[30]])</f>
        <v>0</v>
      </c>
    </row>
    <row r="11" spans="2:33" ht="30" customHeight="1">
      <c r="B11" s="36"/>
      <c r="C11" s="1"/>
      <c r="D11" s="1"/>
      <c r="E11" s="1"/>
      <c r="F11" s="1"/>
      <c r="G11" s="1"/>
      <c r="H11" s="1"/>
      <c r="I11" s="1"/>
      <c r="J11" s="1"/>
      <c r="K11" s="1"/>
      <c r="L11" s="1"/>
      <c r="M11" s="1"/>
      <c r="N11" s="1"/>
      <c r="O11" s="1"/>
      <c r="P11" s="1"/>
      <c r="Q11" s="1"/>
      <c r="R11" s="1"/>
      <c r="S11" s="1"/>
      <c r="T11" s="1"/>
      <c r="V11" s="1"/>
      <c r="W11" s="1"/>
      <c r="X11" s="1"/>
      <c r="Y11" s="1"/>
      <c r="Z11" s="1"/>
      <c r="AA11" s="1"/>
      <c r="AB11" s="1"/>
      <c r="AC11" s="1"/>
      <c r="AD11" s="1"/>
      <c r="AE11" s="1"/>
      <c r="AF11" s="1"/>
      <c r="AG11" s="3"/>
    </row>
    <row r="12" spans="2:33" ht="30" customHeight="1">
      <c r="B12" s="2" t="s">
        <v>44</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3">
        <f>COUNTA(Junho[[#This Row],[1]:[30]])</f>
        <v>0</v>
      </c>
    </row>
    <row r="13" spans="2:33" ht="30" customHeight="1">
      <c r="B13" s="36"/>
      <c r="C13" s="1"/>
      <c r="D13" s="1"/>
      <c r="E13" s="40"/>
      <c r="F13" s="1"/>
      <c r="G13" s="1"/>
      <c r="H13" s="1"/>
      <c r="I13" s="1"/>
      <c r="J13" s="1"/>
      <c r="K13" s="1"/>
      <c r="L13" s="1"/>
      <c r="M13" s="1"/>
      <c r="N13" s="1"/>
      <c r="O13" s="1"/>
      <c r="P13" s="1"/>
      <c r="Q13" s="1"/>
      <c r="R13" s="1"/>
      <c r="S13" s="56"/>
      <c r="T13" s="1"/>
      <c r="U13" s="1"/>
      <c r="V13" s="57"/>
      <c r="X13" s="1"/>
      <c r="Y13" s="1"/>
      <c r="Z13" s="1"/>
      <c r="AA13" s="1"/>
      <c r="AB13" s="1"/>
      <c r="AC13" s="1"/>
      <c r="AD13" s="1"/>
      <c r="AE13" s="1"/>
      <c r="AF13" s="1"/>
      <c r="AG13" s="3"/>
    </row>
    <row r="14" spans="2:33" ht="30" customHeight="1">
      <c r="B14" s="2" t="s">
        <v>46</v>
      </c>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3">
        <f>COUNTA(Junho[[#This Row],[1]:[30]])</f>
        <v>0</v>
      </c>
    </row>
    <row r="15" spans="2:33" ht="30" customHeight="1">
      <c r="B15" s="36"/>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3"/>
    </row>
    <row r="16" spans="2:33" ht="30" customHeight="1">
      <c r="B16" s="2" t="s">
        <v>47</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3">
        <f>COUNTA(Junho[[#This Row],[1]:[30]])</f>
        <v>0</v>
      </c>
    </row>
    <row r="17" spans="2:33" ht="30" customHeight="1">
      <c r="B17" s="36"/>
      <c r="C17" s="1"/>
      <c r="D17" s="1"/>
      <c r="E17" s="1"/>
      <c r="F17" s="1"/>
      <c r="G17" s="1"/>
      <c r="H17" s="1"/>
      <c r="I17" s="1"/>
      <c r="J17" s="1"/>
      <c r="K17" s="1"/>
      <c r="L17" s="1"/>
      <c r="M17" s="1"/>
      <c r="N17" s="58"/>
      <c r="O17" s="1"/>
      <c r="P17" s="1"/>
      <c r="S17" s="1"/>
      <c r="T17" s="1"/>
      <c r="U17" s="1"/>
      <c r="V17" s="1"/>
      <c r="W17" s="1"/>
      <c r="X17" s="1"/>
      <c r="Z17" s="1"/>
      <c r="AA17" s="1"/>
      <c r="AB17" s="1"/>
      <c r="AC17" s="1"/>
      <c r="AD17" s="1"/>
      <c r="AE17" s="1"/>
      <c r="AF17" s="1"/>
      <c r="AG17" s="3"/>
    </row>
    <row r="18" spans="2:33" ht="30" customHeight="1">
      <c r="B18" s="1" t="s">
        <v>48</v>
      </c>
      <c r="C18" s="4">
        <f>COUNTA(C8,C10,C12,C14,C16)</f>
        <v>0</v>
      </c>
      <c r="D18" s="4">
        <f t="shared" ref="D18:AE18" si="0">COUNTA(D8,D10,D12,D14,D16)</f>
        <v>0</v>
      </c>
      <c r="E18" s="4">
        <f t="shared" si="0"/>
        <v>0</v>
      </c>
      <c r="F18" s="4">
        <f t="shared" si="0"/>
        <v>0</v>
      </c>
      <c r="G18" s="4">
        <f t="shared" si="0"/>
        <v>0</v>
      </c>
      <c r="H18" s="4">
        <f t="shared" si="0"/>
        <v>0</v>
      </c>
      <c r="I18" s="4">
        <f t="shared" si="0"/>
        <v>0</v>
      </c>
      <c r="J18" s="4">
        <f t="shared" si="0"/>
        <v>0</v>
      </c>
      <c r="K18" s="4">
        <f t="shared" si="0"/>
        <v>0</v>
      </c>
      <c r="L18" s="4">
        <f t="shared" si="0"/>
        <v>0</v>
      </c>
      <c r="M18" s="4">
        <f t="shared" si="0"/>
        <v>0</v>
      </c>
      <c r="N18" s="4">
        <f t="shared" si="0"/>
        <v>0</v>
      </c>
      <c r="O18" s="4">
        <f t="shared" si="0"/>
        <v>0</v>
      </c>
      <c r="P18" s="4">
        <f t="shared" si="0"/>
        <v>0</v>
      </c>
      <c r="Q18" s="4">
        <f t="shared" si="0"/>
        <v>0</v>
      </c>
      <c r="R18" s="4">
        <f t="shared" si="0"/>
        <v>0</v>
      </c>
      <c r="S18" s="4">
        <f t="shared" si="0"/>
        <v>0</v>
      </c>
      <c r="T18" s="4">
        <f t="shared" si="0"/>
        <v>0</v>
      </c>
      <c r="U18" s="4">
        <f t="shared" si="0"/>
        <v>0</v>
      </c>
      <c r="V18" s="4">
        <f t="shared" si="0"/>
        <v>0</v>
      </c>
      <c r="W18" s="4">
        <f t="shared" si="0"/>
        <v>0</v>
      </c>
      <c r="X18" s="4">
        <f t="shared" si="0"/>
        <v>0</v>
      </c>
      <c r="Y18" s="4">
        <f t="shared" si="0"/>
        <v>0</v>
      </c>
      <c r="Z18" s="4">
        <f t="shared" si="0"/>
        <v>0</v>
      </c>
      <c r="AA18" s="4">
        <f t="shared" si="0"/>
        <v>0</v>
      </c>
      <c r="AB18" s="4">
        <f t="shared" si="0"/>
        <v>0</v>
      </c>
      <c r="AC18" s="4">
        <f t="shared" si="0"/>
        <v>0</v>
      </c>
      <c r="AD18" s="4">
        <f t="shared" si="0"/>
        <v>0</v>
      </c>
      <c r="AE18" s="4">
        <f t="shared" si="0"/>
        <v>0</v>
      </c>
      <c r="AF18" s="4">
        <f>COUNTA(AF8,AF10,AF12,AF14,AF16)</f>
        <v>0</v>
      </c>
      <c r="AG18" s="4"/>
    </row>
  </sheetData>
  <mergeCells count="5">
    <mergeCell ref="B1:AG1"/>
    <mergeCell ref="D3:E3"/>
    <mergeCell ref="H3:K3"/>
    <mergeCell ref="N3:O3"/>
    <mergeCell ref="C5:AF5"/>
  </mergeCells>
  <phoneticPr fontId="26" type="noConversion"/>
  <conditionalFormatting sqref="C8:AF12 C13:D13 F13:AF13 C14:AF17">
    <cfRule type="cellIs" dxfId="654" priority="11" operator="equal">
      <formula>"L"</formula>
    </cfRule>
    <cfRule type="cellIs" dxfId="653" priority="12" operator="equal">
      <formula>"A"</formula>
    </cfRule>
    <cfRule type="expression" priority="13" stopIfTrue="1">
      <formula>C8=""</formula>
    </cfRule>
    <cfRule type="expression" dxfId="652" priority="14" stopIfTrue="1">
      <formula>C8=ChavePersonalizada2</formula>
    </cfRule>
    <cfRule type="expression" dxfId="651" priority="15" stopIfTrue="1">
      <formula>C8=ChavePersonalizada1</formula>
    </cfRule>
    <cfRule type="expression" dxfId="650" priority="16" stopIfTrue="1">
      <formula>C8=ChaveLicençaMédica</formula>
    </cfRule>
    <cfRule type="expression" dxfId="649" priority="17" stopIfTrue="1">
      <formula>C8=ChavePessoal</formula>
    </cfRule>
    <cfRule type="expression" dxfId="648" priority="18" stopIfTrue="1">
      <formula>C8=ChaveFérias</formula>
    </cfRule>
  </conditionalFormatting>
  <conditionalFormatting sqref="E13">
    <cfRule type="cellIs" dxfId="647" priority="1" operator="equal">
      <formula>"L"</formula>
    </cfRule>
    <cfRule type="cellIs" dxfId="646" priority="2" operator="equal">
      <formula>"A"</formula>
    </cfRule>
    <cfRule type="cellIs" dxfId="645" priority="3" operator="equal">
      <formula>"A"</formula>
    </cfRule>
    <cfRule type="cellIs" dxfId="644" priority="4" operator="equal">
      <formula>"A"</formula>
    </cfRule>
    <cfRule type="expression" priority="5" stopIfTrue="1">
      <formula>E13=""</formula>
    </cfRule>
    <cfRule type="expression" dxfId="643" priority="6" stopIfTrue="1">
      <formula>E13=ChavePersonalizada2</formula>
    </cfRule>
    <cfRule type="expression" dxfId="642" priority="7" stopIfTrue="1">
      <formula>E13=ChavePersonalizada1</formula>
    </cfRule>
    <cfRule type="expression" dxfId="641" priority="8" stopIfTrue="1">
      <formula>E13=ChaveLicençaMédica</formula>
    </cfRule>
    <cfRule type="expression" dxfId="640" priority="9" stopIfTrue="1">
      <formula>E13=ChavePessoal</formula>
    </cfRule>
    <cfRule type="expression" dxfId="639" priority="10" stopIfTrue="1">
      <formula>E13=ChaveFérias</formula>
    </cfRule>
  </conditionalFormatting>
  <conditionalFormatting sqref="AG8:AG17">
    <cfRule type="dataBar" priority="19">
      <dataBar>
        <cfvo type="min"/>
        <cfvo type="formula" val="DATEDIF(DATE(AnoCalendário,2,1),DATE(AnoCalendário,3,1),&quot;d&quot;)"/>
        <color theme="2" tint="-0.249977111117893"/>
      </dataBar>
      <extLst>
        <ext xmlns:x14="http://schemas.microsoft.com/office/spreadsheetml/2009/9/main" uri="{B025F937-C7B1-47D3-B67F-A62EFF666E3E}">
          <x14:id>{5E94D469-7B22-408B-924D-8DC8A136AD3B}</x14:id>
        </ext>
      </extLst>
    </cfRule>
  </conditionalFormatting>
  <dataValidations count="13">
    <dataValidation allowBlank="1" showInputMessage="1" showErrorMessage="1" prompt="Os dias da semana nesta linha são atualizados automaticamente para o mês de acordo com o ano na célula AH4. Cada dia do mês é uma coluna para indicar a falta e o tipo de falta de um funcionário." sqref="C6" xr:uid="{85B1AA25-701F-5E4F-A537-8492818323AC}"/>
    <dataValidation allowBlank="1" showInputMessage="1" showErrorMessage="1" prompt="Calcula automaticamente o número total de dias em que um funcionário esteve ausente deste mês nesta coluna." sqref="AG7" xr:uid="{EFC3BF89-2526-1648-9032-54E38409D629}"/>
    <dataValidation errorStyle="warning" allowBlank="1" showInputMessage="1" showErrorMessage="1" error="Selecione o nome da lista. Selecione Cancelar e pressione Alt+Seta para baixo e Enter para selecionar um nome." prompt="Insira os nomes dos funcionários na planilha Nomes dos funcionários e selecione um dos nomes da lista nesta coluna. Pressione Alt+Seta para baixo e, em seguida, ENTER para selecionar um nome." sqref="B7" xr:uid="{64EA262E-8CED-4499-84C0-FD05191F2ED5}"/>
    <dataValidation allowBlank="1" showInputMessage="1" showErrorMessage="1" prompt="O título atualizado automaticamente está nesta célula. Para modificar o título, atualize B1 na planilha Janeiro." sqref="B1" xr:uid="{E70FA627-F50F-491F-B7DF-1439B0B41D1A}"/>
    <dataValidation allowBlank="1" showInputMessage="1" showErrorMessage="1" prompt="A letra &quot;F&quot; indica falta devido a férias." sqref="C3" xr:uid="{64B0DDD6-2782-4695-AFBF-93B7205AD95D}"/>
    <dataValidation allowBlank="1" showInputMessage="1" showErrorMessage="1" prompt="A letra &quot;P&quot; indica falta devido a motivos pessoais." sqref="G3" xr:uid="{40EC7AAC-96C5-4FC4-8579-E6B1E68CE913}"/>
    <dataValidation allowBlank="1" showInputMessage="1" showErrorMessage="1" prompt="A letra &quot;L&quot; indica falta devido à licença médica." sqref="M3" xr:uid="{B84EAE23-07DE-4B20-858F-17C2A0E59C51}"/>
    <dataValidation allowBlank="1" showInputMessage="1" showErrorMessage="1" prompt="Insira uma letra e personalize o rótulo à direita para adicionar outro item de chave." sqref="U3" xr:uid="{79C6F8BA-4D20-43A1-957E-74812014CEC2}"/>
    <dataValidation allowBlank="1" showInputMessage="1" showErrorMessage="1" prompt="Insira um rótulo para descrever a chave personalizada à esquerda." sqref="V3 Q3" xr:uid="{CFF8620A-AFF9-4628-90FE-8FF05529ECB7}"/>
    <dataValidation allowBlank="1" showInputMessage="1" showErrorMessage="1" prompt="O nome do mês para essa agenda de faltas está nesta célula. Os totais de faltas deste mês estão na última célula da tabela. Selecione os nomes dos funcionários na tabela B." sqref="B1" xr:uid="{321A7080-502A-4A4F-82E1-79567A4FFC17}"/>
    <dataValidation allowBlank="1" showInputMessage="1" showErrorMessage="1" prompt="Os dias do mês nesta linha são gerados automaticamente. Insira a falta e o tipo de falta de um funcionário em cada coluna de cada dia do mês. Espaço vazio significa sem faltas." sqref="C7" xr:uid="{5F765F6B-473A-3349-9925-D065E8DF0F17}"/>
    <dataValidation allowBlank="1" showInputMessage="1" showErrorMessage="1" prompt="Esta linha define as chaves utilizadas na tabela: a célula C4 é Férias, G4 é Pessoal e K4 é Licença médica. As células N4 e R4 são personalizáveis " sqref="B3" xr:uid="{5EB25F8B-0F47-495A-8350-F30C487611B6}"/>
    <dataValidation allowBlank="1" showInputMessage="1" showErrorMessage="1" prompt="Insira o ano nesta célula." sqref="AG5" xr:uid="{54A0209E-E833-4F61-B515-A42A18C73F06}"/>
  </dataValidations>
  <pageMargins left="0.7" right="0.7" top="0.75" bottom="0.75" header="0.3" footer="0.3"/>
  <pageSetup paperSize="9" scale="68" orientation="landscape" verticalDpi="4294967293" r:id="rId1"/>
  <ignoredErrors>
    <ignoredError sqref="AG8 AG10 AG12 AG14 AG16" calculatedColumn="1"/>
  </ignoredErrors>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5E94D469-7B22-408B-924D-8DC8A136AD3B}">
            <x14:dataBar minLength="0" maxLength="100">
              <x14:cfvo type="autoMin"/>
              <x14:cfvo type="formula">
                <xm:f>DATEDIF(DATE(AnoCalendário,2,1),DATE(AnoCalendário,3,1),"d")</xm:f>
              </x14:cfvo>
              <x14:negativeFillColor rgb="FFFF0000"/>
              <x14:axisColor rgb="FF000000"/>
            </x14:dataBar>
          </x14:cfRule>
          <xm:sqref>AG8:AG17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E000000}">
          <x14:formula1>
            <xm:f>Diretores!$B$3:$B$7</xm:f>
          </x14:formula1>
          <xm:sqref>B8:B17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pageSetUpPr fitToPage="1"/>
  </sheetPr>
  <dimension ref="B1:AM18"/>
  <sheetViews>
    <sheetView showGridLines="0" zoomScale="90" zoomScaleNormal="90" workbookViewId="0">
      <selection activeCell="J11" sqref="J11"/>
    </sheetView>
  </sheetViews>
  <sheetFormatPr defaultColWidth="8.7109375" defaultRowHeight="30" customHeight="1"/>
  <cols>
    <col min="1" max="1" width="2.7109375" customWidth="1"/>
    <col min="2" max="2" width="33.140625" bestFit="1" customWidth="1"/>
    <col min="3" max="8" width="4.7109375" customWidth="1"/>
    <col min="9" max="9" width="4.85546875" customWidth="1"/>
    <col min="10" max="33" width="4.7109375" customWidth="1"/>
    <col min="34" max="34" width="14.85546875" customWidth="1"/>
    <col min="35" max="35" width="2.7109375" customWidth="1"/>
  </cols>
  <sheetData>
    <row r="1" spans="2:39" ht="61.5">
      <c r="B1" s="82" t="s">
        <v>54</v>
      </c>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row>
    <row r="2" spans="2:39" ht="15" customHeight="1">
      <c r="B2" s="7"/>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2:39" ht="30" customHeight="1">
      <c r="B3" s="24" t="s">
        <v>1</v>
      </c>
      <c r="C3" s="18" t="s">
        <v>2</v>
      </c>
      <c r="D3" s="79" t="s">
        <v>3</v>
      </c>
      <c r="E3" s="79"/>
      <c r="G3" s="73" t="s">
        <v>4</v>
      </c>
      <c r="H3" s="79" t="s">
        <v>5</v>
      </c>
      <c r="I3" s="79"/>
      <c r="J3" s="79"/>
      <c r="K3" s="79"/>
      <c r="M3" s="17" t="s">
        <v>6</v>
      </c>
      <c r="N3" s="79" t="s">
        <v>7</v>
      </c>
      <c r="O3" s="79"/>
      <c r="P3" s="69"/>
      <c r="Q3" s="38"/>
      <c r="R3" s="38"/>
      <c r="S3" s="38"/>
      <c r="T3" s="38"/>
      <c r="U3" s="32"/>
      <c r="V3" s="38"/>
      <c r="W3" s="34"/>
      <c r="X3" s="34"/>
      <c r="Y3" s="34"/>
    </row>
    <row r="4" spans="2:39" ht="15" customHeight="1">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2:39" ht="23.25">
      <c r="B5" s="5"/>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5">
        <f>AnoCalendário</f>
        <v>2027</v>
      </c>
    </row>
    <row r="6" spans="2:39" ht="30" customHeight="1">
      <c r="B6" s="5"/>
      <c r="C6" s="15" t="str">
        <f>TEXT(WEEKDAY(DATE(AnoCalendário,7,1),1),"ddd")</f>
        <v>qui</v>
      </c>
      <c r="D6" s="15" t="str">
        <f>TEXT(WEEKDAY(DATE(AnoCalendário,7,2),1),"ddd")</f>
        <v>sex</v>
      </c>
      <c r="E6" s="15" t="str">
        <f>TEXT(WEEKDAY(DATE(AnoCalendário,7,3),1),"ddd")</f>
        <v>sáb</v>
      </c>
      <c r="F6" s="15" t="str">
        <f>TEXT(WEEKDAY(DATE(AnoCalendário,7,4),1),"ddd")</f>
        <v>dom</v>
      </c>
      <c r="G6" s="15" t="str">
        <f>TEXT(WEEKDAY(DATE(AnoCalendário,7,5),1),"ddd")</f>
        <v>seg</v>
      </c>
      <c r="H6" s="15" t="str">
        <f>TEXT(WEEKDAY(DATE(AnoCalendário,7,6),1),"ddd")</f>
        <v>ter</v>
      </c>
      <c r="I6" s="15" t="str">
        <f>TEXT(WEEKDAY(DATE(AnoCalendário,7,7),1),"ddd")</f>
        <v>qua</v>
      </c>
      <c r="J6" s="15" t="str">
        <f>TEXT(WEEKDAY(DATE(AnoCalendário,7,8),1),"ddd")</f>
        <v>qui</v>
      </c>
      <c r="K6" s="15" t="str">
        <f>TEXT(WEEKDAY(DATE(AnoCalendário,7,9),1),"ddd")</f>
        <v>sex</v>
      </c>
      <c r="L6" s="15" t="str">
        <f>TEXT(WEEKDAY(DATE(AnoCalendário,7,10),1),"ddd")</f>
        <v>sáb</v>
      </c>
      <c r="M6" s="15" t="str">
        <f>TEXT(WEEKDAY(DATE(AnoCalendário,7,11),1),"ddd")</f>
        <v>dom</v>
      </c>
      <c r="N6" s="15" t="str">
        <f>TEXT(WEEKDAY(DATE(AnoCalendário,7,12),1),"ddd")</f>
        <v>seg</v>
      </c>
      <c r="O6" s="15" t="str">
        <f>TEXT(WEEKDAY(DATE(AnoCalendário,7,13),1),"ddd")</f>
        <v>ter</v>
      </c>
      <c r="P6" s="15" t="str">
        <f>TEXT(WEEKDAY(DATE(AnoCalendário,7,14),1),"ddd")</f>
        <v>qua</v>
      </c>
      <c r="Q6" s="15" t="str">
        <f>TEXT(WEEKDAY(DATE(AnoCalendário,7,15),1),"ddd")</f>
        <v>qui</v>
      </c>
      <c r="R6" s="15" t="str">
        <f>TEXT(WEEKDAY(DATE(AnoCalendário,7,16),1),"ddd")</f>
        <v>sex</v>
      </c>
      <c r="S6" s="15" t="str">
        <f>TEXT(WEEKDAY(DATE(AnoCalendário,7,17),1),"ddd")</f>
        <v>sáb</v>
      </c>
      <c r="T6" s="15" t="str">
        <f>TEXT(WEEKDAY(DATE(AnoCalendário,7,18),1),"ddd")</f>
        <v>dom</v>
      </c>
      <c r="U6" s="15" t="str">
        <f>TEXT(WEEKDAY(DATE(AnoCalendário,7,19),1),"ddd")</f>
        <v>seg</v>
      </c>
      <c r="V6" s="15" t="str">
        <f>TEXT(WEEKDAY(DATE(AnoCalendário,7,20),1),"ddd")</f>
        <v>ter</v>
      </c>
      <c r="W6" s="15" t="str">
        <f>TEXT(WEEKDAY(DATE(AnoCalendário,7,21),1),"ddd")</f>
        <v>qua</v>
      </c>
      <c r="X6" s="15" t="str">
        <f>TEXT(WEEKDAY(DATE(AnoCalendário,7,22),1),"ddd")</f>
        <v>qui</v>
      </c>
      <c r="Y6" s="15" t="str">
        <f>TEXT(WEEKDAY(DATE(AnoCalendário,7,23),1),"ddd")</f>
        <v>sex</v>
      </c>
      <c r="Z6" s="15" t="str">
        <f>TEXT(WEEKDAY(DATE(AnoCalendário,7,24),1),"ddd")</f>
        <v>sáb</v>
      </c>
      <c r="AA6" s="15" t="str">
        <f>TEXT(WEEKDAY(DATE(AnoCalendário,7,25),1),"ddd")</f>
        <v>dom</v>
      </c>
      <c r="AB6" s="15" t="str">
        <f>TEXT(WEEKDAY(DATE(AnoCalendário,7,26),1),"ddd")</f>
        <v>seg</v>
      </c>
      <c r="AC6" s="15" t="str">
        <f>TEXT(WEEKDAY(DATE(AnoCalendário,7,27),1),"ddd")</f>
        <v>ter</v>
      </c>
      <c r="AD6" s="15" t="str">
        <f>TEXT(WEEKDAY(DATE(AnoCalendário,7,28),1),"ddd")</f>
        <v>qua</v>
      </c>
      <c r="AE6" s="15" t="str">
        <f>TEXT(WEEKDAY(DATE(AnoCalendário,7,29),1),"ddd")</f>
        <v>qui</v>
      </c>
      <c r="AF6" s="15" t="str">
        <f>TEXT(WEEKDAY(DATE(AnoCalendário,7,30),1),"ddd")</f>
        <v>sex</v>
      </c>
      <c r="AG6" s="15" t="str">
        <f>TEXT(WEEKDAY(DATE(AnoCalendário,7,31),1),"ddd")</f>
        <v>sáb</v>
      </c>
      <c r="AH6" s="5"/>
    </row>
    <row r="7" spans="2:39" ht="30" customHeight="1">
      <c r="B7" s="20" t="s">
        <v>8</v>
      </c>
      <c r="C7" s="1" t="s">
        <v>9</v>
      </c>
      <c r="D7" s="1" t="s">
        <v>10</v>
      </c>
      <c r="E7" s="1" t="s">
        <v>11</v>
      </c>
      <c r="F7" s="1" t="s">
        <v>12</v>
      </c>
      <c r="G7" s="1" t="s">
        <v>13</v>
      </c>
      <c r="H7" s="1" t="s">
        <v>14</v>
      </c>
      <c r="I7" s="1" t="s">
        <v>15</v>
      </c>
      <c r="J7" s="1" t="s">
        <v>16</v>
      </c>
      <c r="K7" s="1" t="s">
        <v>17</v>
      </c>
      <c r="L7" s="1" t="s">
        <v>18</v>
      </c>
      <c r="M7" s="1" t="s">
        <v>19</v>
      </c>
      <c r="N7" s="1" t="s">
        <v>20</v>
      </c>
      <c r="O7" s="1" t="s">
        <v>21</v>
      </c>
      <c r="P7" s="1" t="s">
        <v>22</v>
      </c>
      <c r="Q7" s="1" t="s">
        <v>23</v>
      </c>
      <c r="R7" s="1" t="s">
        <v>24</v>
      </c>
      <c r="S7" s="1" t="s">
        <v>25</v>
      </c>
      <c r="T7" s="1" t="s">
        <v>26</v>
      </c>
      <c r="U7" s="1" t="s">
        <v>27</v>
      </c>
      <c r="V7" s="1" t="s">
        <v>28</v>
      </c>
      <c r="W7" s="1" t="s">
        <v>29</v>
      </c>
      <c r="X7" s="1" t="s">
        <v>30</v>
      </c>
      <c r="Y7" s="1" t="s">
        <v>31</v>
      </c>
      <c r="Z7" s="1" t="s">
        <v>32</v>
      </c>
      <c r="AA7" s="1" t="s">
        <v>33</v>
      </c>
      <c r="AB7" s="1" t="s">
        <v>34</v>
      </c>
      <c r="AC7" s="1" t="s">
        <v>35</v>
      </c>
      <c r="AD7" s="1" t="s">
        <v>36</v>
      </c>
      <c r="AE7" s="1" t="s">
        <v>37</v>
      </c>
      <c r="AF7" s="1" t="s">
        <v>38</v>
      </c>
      <c r="AG7" s="1" t="s">
        <v>39</v>
      </c>
      <c r="AH7" s="16" t="s">
        <v>40</v>
      </c>
    </row>
    <row r="8" spans="2:39" ht="30" customHeight="1">
      <c r="B8" s="2" t="s">
        <v>41</v>
      </c>
      <c r="C8" s="1"/>
      <c r="D8" s="1"/>
      <c r="E8" s="1"/>
      <c r="F8" s="1"/>
      <c r="G8" s="1" t="s">
        <v>2</v>
      </c>
      <c r="H8" s="1" t="s">
        <v>2</v>
      </c>
      <c r="I8" s="1" t="s">
        <v>2</v>
      </c>
      <c r="J8" s="1" t="s">
        <v>2</v>
      </c>
      <c r="K8" s="1" t="s">
        <v>2</v>
      </c>
      <c r="L8" s="1" t="s">
        <v>2</v>
      </c>
      <c r="M8" s="1" t="s">
        <v>2</v>
      </c>
      <c r="N8" s="1" t="s">
        <v>2</v>
      </c>
      <c r="O8" s="1" t="s">
        <v>2</v>
      </c>
      <c r="P8" s="1" t="s">
        <v>2</v>
      </c>
      <c r="Q8" s="1" t="s">
        <v>2</v>
      </c>
      <c r="R8" s="1" t="s">
        <v>2</v>
      </c>
      <c r="S8" s="1" t="s">
        <v>2</v>
      </c>
      <c r="T8" s="1" t="s">
        <v>2</v>
      </c>
      <c r="U8" s="1" t="s">
        <v>2</v>
      </c>
      <c r="V8" s="1" t="s">
        <v>2</v>
      </c>
      <c r="W8" s="1" t="s">
        <v>2</v>
      </c>
      <c r="X8" s="1" t="s">
        <v>2</v>
      </c>
      <c r="Y8" s="1" t="s">
        <v>2</v>
      </c>
      <c r="Z8" s="1" t="s">
        <v>2</v>
      </c>
      <c r="AA8" s="1" t="s">
        <v>2</v>
      </c>
      <c r="AB8" s="1" t="s">
        <v>2</v>
      </c>
      <c r="AC8" s="1" t="s">
        <v>2</v>
      </c>
      <c r="AD8" s="1" t="s">
        <v>2</v>
      </c>
      <c r="AE8" s="1"/>
      <c r="AF8" s="1"/>
      <c r="AG8" s="1"/>
      <c r="AH8" s="3">
        <f>COUNTA(Julho[[#This Row],[1]:[31]])</f>
        <v>24</v>
      </c>
    </row>
    <row r="9" spans="2:39" ht="30" customHeight="1">
      <c r="B9" s="36"/>
      <c r="C9" s="1"/>
      <c r="D9" s="1"/>
      <c r="E9" s="1"/>
      <c r="F9" s="1"/>
      <c r="G9" s="1"/>
      <c r="H9" s="58"/>
      <c r="J9" s="40"/>
      <c r="K9" s="1"/>
      <c r="L9" s="1"/>
      <c r="M9" s="1"/>
      <c r="N9" s="1"/>
      <c r="O9" s="1" t="s">
        <v>55</v>
      </c>
      <c r="P9" s="1"/>
      <c r="R9" s="1"/>
      <c r="S9" s="1"/>
      <c r="T9" s="1"/>
      <c r="U9" s="1"/>
      <c r="V9" s="1"/>
      <c r="W9" s="1"/>
      <c r="Z9" s="1"/>
      <c r="AA9" s="1"/>
      <c r="AB9" s="1"/>
      <c r="AC9" s="1"/>
      <c r="AD9" s="1"/>
      <c r="AE9" s="1"/>
      <c r="AF9" s="1"/>
      <c r="AG9" s="37"/>
      <c r="AH9" s="3"/>
    </row>
    <row r="10" spans="2:39" ht="30" customHeight="1">
      <c r="B10" s="2" t="s">
        <v>43</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3">
        <f>COUNTA(Julho[[#This Row],[1]:[31]])</f>
        <v>0</v>
      </c>
    </row>
    <row r="11" spans="2:39" ht="30" customHeight="1">
      <c r="B11" s="36"/>
      <c r="C11" s="40"/>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37"/>
      <c r="AH11" s="3"/>
    </row>
    <row r="12" spans="2:39" ht="30" customHeight="1">
      <c r="B12" s="2" t="s">
        <v>44</v>
      </c>
      <c r="C12" s="1"/>
      <c r="D12" s="1"/>
      <c r="E12" s="1"/>
      <c r="F12" s="1"/>
      <c r="G12" s="1"/>
      <c r="H12" s="1"/>
      <c r="I12" s="1"/>
      <c r="J12" s="1"/>
      <c r="K12" s="1"/>
      <c r="L12" s="1"/>
      <c r="M12" s="68"/>
      <c r="N12" s="68"/>
      <c r="O12" s="68"/>
      <c r="P12" s="68"/>
      <c r="Q12" s="68"/>
      <c r="R12" s="68"/>
      <c r="S12" s="68"/>
      <c r="T12" s="68"/>
      <c r="U12" s="68"/>
      <c r="V12" s="68"/>
      <c r="W12" s="68"/>
      <c r="X12" s="68"/>
      <c r="Y12" s="68"/>
      <c r="Z12" s="68"/>
      <c r="AA12" s="68"/>
      <c r="AB12" s="68"/>
      <c r="AC12" s="68"/>
      <c r="AD12" s="68"/>
      <c r="AE12" s="68"/>
      <c r="AF12" s="68"/>
      <c r="AG12" s="68"/>
      <c r="AH12" s="3">
        <f>COUNTA(Julho[[#This Row],[1]:[31]])</f>
        <v>0</v>
      </c>
    </row>
    <row r="13" spans="2:39" ht="30" customHeight="1">
      <c r="B13" s="36"/>
      <c r="C13" s="1"/>
      <c r="D13" s="65"/>
      <c r="E13" s="58"/>
      <c r="F13" s="1"/>
      <c r="G13" s="1"/>
      <c r="H13" s="1"/>
      <c r="I13" s="1"/>
      <c r="J13" s="1"/>
      <c r="K13" s="1"/>
      <c r="L13" s="66"/>
      <c r="O13" s="58"/>
      <c r="R13" s="1"/>
      <c r="T13" s="1"/>
      <c r="U13" s="1"/>
      <c r="X13" s="40"/>
      <c r="Y13" s="1"/>
      <c r="AA13" s="1"/>
      <c r="AB13" s="1"/>
      <c r="AC13" s="1"/>
      <c r="AD13" s="61"/>
      <c r="AE13" s="61"/>
      <c r="AF13" s="61"/>
      <c r="AG13" s="62"/>
      <c r="AH13" s="63"/>
      <c r="AI13" s="64"/>
      <c r="AJ13" s="64"/>
      <c r="AK13" s="64"/>
      <c r="AL13" s="64"/>
      <c r="AM13" s="60"/>
    </row>
    <row r="14" spans="2:39" ht="30" customHeight="1">
      <c r="B14" s="2" t="s">
        <v>46</v>
      </c>
      <c r="C14" s="1"/>
      <c r="D14" s="1"/>
      <c r="E14" s="1"/>
      <c r="F14" s="1"/>
      <c r="G14" s="1"/>
      <c r="H14" s="1"/>
      <c r="I14" s="1"/>
      <c r="J14" s="1"/>
      <c r="K14" s="1"/>
      <c r="L14" s="68"/>
      <c r="M14" s="68"/>
      <c r="N14" s="68"/>
      <c r="O14" s="68"/>
      <c r="P14" s="68"/>
      <c r="Q14" s="68"/>
      <c r="R14" s="68"/>
      <c r="S14" s="68"/>
      <c r="T14" s="68"/>
      <c r="U14" s="68"/>
      <c r="V14" s="68"/>
      <c r="W14" s="68"/>
      <c r="X14" s="68"/>
      <c r="Y14" s="68"/>
      <c r="Z14" s="68"/>
      <c r="AA14" s="68"/>
      <c r="AB14" s="68"/>
      <c r="AC14" s="68"/>
      <c r="AD14" s="68"/>
      <c r="AE14" s="68"/>
      <c r="AF14" s="68"/>
      <c r="AG14" s="68"/>
      <c r="AH14" s="3">
        <f>COUNTA(Julho[[#This Row],[1]:[31]])</f>
        <v>0</v>
      </c>
    </row>
    <row r="15" spans="2:39" ht="30" customHeight="1">
      <c r="B15" s="36"/>
      <c r="C15" s="1"/>
      <c r="D15" s="1"/>
      <c r="E15" s="1"/>
      <c r="G15" s="1"/>
      <c r="H15" s="1"/>
      <c r="I15" s="1"/>
      <c r="J15" s="1"/>
      <c r="K15" s="1"/>
      <c r="L15" s="1"/>
      <c r="M15" s="1"/>
      <c r="N15" s="1"/>
      <c r="Q15" s="40"/>
      <c r="R15" s="1"/>
      <c r="S15" s="1"/>
      <c r="T15" s="1"/>
      <c r="U15" s="1"/>
      <c r="V15" s="1"/>
      <c r="X15" s="40"/>
      <c r="Y15" s="1"/>
      <c r="Z15" s="1"/>
      <c r="AA15" s="1"/>
      <c r="AB15" s="1"/>
      <c r="AC15" s="1"/>
      <c r="AD15" s="1"/>
      <c r="AE15" s="1"/>
      <c r="AF15" s="1"/>
      <c r="AG15" s="37"/>
      <c r="AH15" s="3"/>
    </row>
    <row r="16" spans="2:39" ht="30" customHeight="1">
      <c r="B16" s="2" t="s">
        <v>47</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3">
        <f>COUNTA(Julho[[#This Row],[1]:[31]])</f>
        <v>0</v>
      </c>
    </row>
    <row r="17" spans="2:34" ht="30" customHeight="1">
      <c r="B17" s="36"/>
      <c r="C17" s="1"/>
      <c r="D17" s="1"/>
      <c r="E17" s="1"/>
      <c r="F17" s="1"/>
      <c r="G17" s="1"/>
      <c r="H17" s="1"/>
      <c r="I17" s="1"/>
      <c r="J17" s="1"/>
      <c r="K17" s="1"/>
      <c r="L17" s="1"/>
      <c r="M17" s="1"/>
      <c r="N17" s="1"/>
      <c r="O17" s="1"/>
      <c r="P17" s="1"/>
      <c r="Q17" s="1"/>
      <c r="R17" s="1"/>
      <c r="S17" s="40"/>
      <c r="T17" s="1"/>
      <c r="U17" s="1"/>
      <c r="V17" s="1"/>
      <c r="W17" s="1"/>
      <c r="X17" s="1"/>
      <c r="Y17" s="1"/>
      <c r="Z17" s="1"/>
      <c r="AA17" s="1"/>
      <c r="AB17" s="1"/>
      <c r="AC17" s="1"/>
      <c r="AD17" s="1"/>
      <c r="AE17" s="1"/>
      <c r="AF17" s="1"/>
      <c r="AG17" s="37"/>
      <c r="AH17" s="3"/>
    </row>
    <row r="18" spans="2:34" ht="30" customHeight="1">
      <c r="B18" s="1" t="s">
        <v>48</v>
      </c>
      <c r="C18" s="4">
        <f t="shared" ref="C18:AG18" si="0">COUNTA(C8,C10,C12,C14,C16)</f>
        <v>0</v>
      </c>
      <c r="D18" s="4">
        <f t="shared" si="0"/>
        <v>0</v>
      </c>
      <c r="E18" s="4">
        <f t="shared" si="0"/>
        <v>0</v>
      </c>
      <c r="F18" s="4">
        <f t="shared" si="0"/>
        <v>0</v>
      </c>
      <c r="G18" s="4">
        <f t="shared" si="0"/>
        <v>1</v>
      </c>
      <c r="H18" s="4">
        <f t="shared" si="0"/>
        <v>1</v>
      </c>
      <c r="I18" s="4">
        <f t="shared" si="0"/>
        <v>1</v>
      </c>
      <c r="J18" s="4">
        <f t="shared" si="0"/>
        <v>1</v>
      </c>
      <c r="K18" s="4">
        <f t="shared" si="0"/>
        <v>1</v>
      </c>
      <c r="L18" s="4">
        <f t="shared" si="0"/>
        <v>1</v>
      </c>
      <c r="M18" s="4">
        <f t="shared" si="0"/>
        <v>1</v>
      </c>
      <c r="N18" s="4">
        <f t="shared" si="0"/>
        <v>1</v>
      </c>
      <c r="O18" s="4">
        <f t="shared" si="0"/>
        <v>1</v>
      </c>
      <c r="P18" s="4">
        <f t="shared" si="0"/>
        <v>1</v>
      </c>
      <c r="Q18" s="4">
        <f t="shared" si="0"/>
        <v>1</v>
      </c>
      <c r="R18" s="4">
        <f t="shared" si="0"/>
        <v>1</v>
      </c>
      <c r="S18" s="4">
        <f t="shared" si="0"/>
        <v>1</v>
      </c>
      <c r="T18" s="4">
        <f t="shared" si="0"/>
        <v>1</v>
      </c>
      <c r="U18" s="4">
        <f t="shared" si="0"/>
        <v>1</v>
      </c>
      <c r="V18" s="4">
        <f t="shared" si="0"/>
        <v>1</v>
      </c>
      <c r="W18" s="4">
        <f t="shared" si="0"/>
        <v>1</v>
      </c>
      <c r="X18" s="4">
        <f t="shared" si="0"/>
        <v>1</v>
      </c>
      <c r="Y18" s="4">
        <f t="shared" si="0"/>
        <v>1</v>
      </c>
      <c r="Z18" s="4">
        <f t="shared" si="0"/>
        <v>1</v>
      </c>
      <c r="AA18" s="4">
        <f t="shared" si="0"/>
        <v>1</v>
      </c>
      <c r="AB18" s="4">
        <f t="shared" si="0"/>
        <v>1</v>
      </c>
      <c r="AC18" s="4">
        <f t="shared" si="0"/>
        <v>1</v>
      </c>
      <c r="AD18" s="4">
        <f t="shared" si="0"/>
        <v>1</v>
      </c>
      <c r="AE18" s="4">
        <f t="shared" si="0"/>
        <v>0</v>
      </c>
      <c r="AF18" s="4">
        <f t="shared" si="0"/>
        <v>0</v>
      </c>
      <c r="AG18" s="4">
        <f t="shared" si="0"/>
        <v>0</v>
      </c>
      <c r="AH18" s="4"/>
    </row>
  </sheetData>
  <mergeCells count="5">
    <mergeCell ref="B1:AH1"/>
    <mergeCell ref="D3:E3"/>
    <mergeCell ref="H3:K3"/>
    <mergeCell ref="N3:O3"/>
    <mergeCell ref="C5:AG5"/>
  </mergeCells>
  <phoneticPr fontId="26" type="noConversion"/>
  <conditionalFormatting sqref="C11">
    <cfRule type="expression" dxfId="571" priority="39" stopIfTrue="1">
      <formula>C11=ChavePessoal</formula>
    </cfRule>
    <cfRule type="expression" priority="35" stopIfTrue="1">
      <formula>C11=""</formula>
    </cfRule>
    <cfRule type="expression" dxfId="570" priority="38" stopIfTrue="1">
      <formula>C11=ChaveLicençaMédica</formula>
    </cfRule>
    <cfRule type="expression" dxfId="569" priority="37" stopIfTrue="1">
      <formula>C11=ChavePersonalizada1</formula>
    </cfRule>
    <cfRule type="expression" dxfId="568" priority="36" stopIfTrue="1">
      <formula>C11=ChavePersonalizada2</formula>
    </cfRule>
    <cfRule type="cellIs" dxfId="567" priority="31" operator="equal">
      <formula>"L"</formula>
    </cfRule>
    <cfRule type="cellIs" dxfId="566" priority="32" operator="equal">
      <formula>"A"</formula>
    </cfRule>
    <cfRule type="cellIs" dxfId="565" priority="33" operator="equal">
      <formula>"A"</formula>
    </cfRule>
    <cfRule type="cellIs" dxfId="564" priority="34" operator="equal">
      <formula>"A"</formula>
    </cfRule>
    <cfRule type="expression" dxfId="563" priority="40" stopIfTrue="1">
      <formula>C11=ChaveFérias</formula>
    </cfRule>
  </conditionalFormatting>
  <conditionalFormatting sqref="C8:AG8 C9:H9 J9:AG9 C10:AG10 D11:AG11 C12:AG12 C13:W13 Y13:AG13 C14:AG14 C15:P15 R15:W15 Y15:AG15 C16:AG16 C17:R17 T17:AG17">
    <cfRule type="expression" dxfId="562" priority="65" stopIfTrue="1">
      <formula>C8=ChavePersonalizada1</formula>
    </cfRule>
    <cfRule type="expression" dxfId="561" priority="64" stopIfTrue="1">
      <formula>C8=ChavePersonalizada2</formula>
    </cfRule>
    <cfRule type="expression" priority="63" stopIfTrue="1">
      <formula>C8=""</formula>
    </cfRule>
    <cfRule type="expression" dxfId="560" priority="66" stopIfTrue="1">
      <formula>C8=ChaveLicençaMédica</formula>
    </cfRule>
    <cfRule type="expression" dxfId="559" priority="67" stopIfTrue="1">
      <formula>C8=ChavePessoal</formula>
    </cfRule>
    <cfRule type="expression" dxfId="558" priority="68" stopIfTrue="1">
      <formula>C8=ChaveFérias</formula>
    </cfRule>
  </conditionalFormatting>
  <conditionalFormatting sqref="J9">
    <cfRule type="expression" dxfId="557" priority="60" stopIfTrue="1">
      <formula>J9=ChaveFérias</formula>
    </cfRule>
    <cfRule type="expression" dxfId="556" priority="59" stopIfTrue="1">
      <formula>J9=ChavePessoal</formula>
    </cfRule>
    <cfRule type="expression" dxfId="555" priority="58" stopIfTrue="1">
      <formula>J9=ChaveLicençaMédica</formula>
    </cfRule>
    <cfRule type="expression" dxfId="554" priority="57" stopIfTrue="1">
      <formula>J9=ChavePersonalizada1</formula>
    </cfRule>
    <cfRule type="expression" dxfId="553" priority="56" stopIfTrue="1">
      <formula>J9=ChavePersonalizada2</formula>
    </cfRule>
    <cfRule type="expression" priority="55" stopIfTrue="1">
      <formula>J9=""</formula>
    </cfRule>
    <cfRule type="cellIs" dxfId="552" priority="54" operator="equal">
      <formula>"A"</formula>
    </cfRule>
    <cfRule type="cellIs" dxfId="551" priority="53" operator="equal">
      <formula>"A"</formula>
    </cfRule>
    <cfRule type="cellIs" dxfId="550" priority="52" operator="equal">
      <formula>"A"</formula>
    </cfRule>
    <cfRule type="cellIs" dxfId="549" priority="51" operator="equal">
      <formula>"L"</formula>
    </cfRule>
  </conditionalFormatting>
  <conditionalFormatting sqref="J9:AG9 C8:AG8 C9:H9 C10:AG10 D11:AG11 C12:AG12 C13:W13 Y13:AG13 C14:AG14 C15:P15 R15:W15 Y15:AG15 C16:AG16 C17:R17 T17:AG17">
    <cfRule type="cellIs" dxfId="548" priority="61" operator="equal">
      <formula>"L"</formula>
    </cfRule>
    <cfRule type="cellIs" dxfId="547" priority="62" operator="equal">
      <formula>"A"</formula>
    </cfRule>
  </conditionalFormatting>
  <conditionalFormatting sqref="Q15">
    <cfRule type="cellIs" dxfId="546" priority="4" operator="equal">
      <formula>"A"</formula>
    </cfRule>
    <cfRule type="expression" priority="5" stopIfTrue="1">
      <formula>Q15=""</formula>
    </cfRule>
    <cfRule type="expression" dxfId="545" priority="6" stopIfTrue="1">
      <formula>Q15=ChavePersonalizada2</formula>
    </cfRule>
    <cfRule type="expression" dxfId="544" priority="7" stopIfTrue="1">
      <formula>Q15=ChavePersonalizada1</formula>
    </cfRule>
    <cfRule type="expression" dxfId="543" priority="8" stopIfTrue="1">
      <formula>Q15=ChaveLicençaMédica</formula>
    </cfRule>
    <cfRule type="expression" dxfId="542" priority="10" stopIfTrue="1">
      <formula>Q15=ChaveFérias</formula>
    </cfRule>
    <cfRule type="expression" dxfId="541" priority="9" stopIfTrue="1">
      <formula>Q15=ChavePessoal</formula>
    </cfRule>
    <cfRule type="cellIs" dxfId="540" priority="1" operator="equal">
      <formula>"L"</formula>
    </cfRule>
    <cfRule type="cellIs" dxfId="539" priority="2" operator="equal">
      <formula>"A"</formula>
    </cfRule>
    <cfRule type="cellIs" dxfId="538" priority="3" operator="equal">
      <formula>"A"</formula>
    </cfRule>
  </conditionalFormatting>
  <conditionalFormatting sqref="S17">
    <cfRule type="expression" dxfId="537" priority="20" stopIfTrue="1">
      <formula>S17=ChaveFérias</formula>
    </cfRule>
    <cfRule type="expression" dxfId="536" priority="19" stopIfTrue="1">
      <formula>S17=ChavePessoal</formula>
    </cfRule>
    <cfRule type="expression" dxfId="535" priority="18" stopIfTrue="1">
      <formula>S17=ChaveLicençaMédica</formula>
    </cfRule>
    <cfRule type="expression" dxfId="534" priority="17" stopIfTrue="1">
      <formula>S17=ChavePersonalizada1</formula>
    </cfRule>
    <cfRule type="expression" dxfId="533" priority="16" stopIfTrue="1">
      <formula>S17=ChavePersonalizada2</formula>
    </cfRule>
    <cfRule type="expression" priority="15" stopIfTrue="1">
      <formula>S17=""</formula>
    </cfRule>
    <cfRule type="cellIs" dxfId="532" priority="14" operator="equal">
      <formula>"A"</formula>
    </cfRule>
    <cfRule type="cellIs" dxfId="531" priority="13" operator="equal">
      <formula>"A"</formula>
    </cfRule>
    <cfRule type="cellIs" dxfId="530" priority="12" operator="equal">
      <formula>"A"</formula>
    </cfRule>
    <cfRule type="cellIs" dxfId="529" priority="11" operator="equal">
      <formula>"L"</formula>
    </cfRule>
  </conditionalFormatting>
  <conditionalFormatting sqref="X13">
    <cfRule type="expression" dxfId="528" priority="26" stopIfTrue="1">
      <formula>X13=ChavePersonalizada2</formula>
    </cfRule>
    <cfRule type="expression" priority="25" stopIfTrue="1">
      <formula>X13=""</formula>
    </cfRule>
    <cfRule type="cellIs" dxfId="527" priority="24" operator="equal">
      <formula>"A"</formula>
    </cfRule>
    <cfRule type="cellIs" dxfId="526" priority="23" operator="equal">
      <formula>"A"</formula>
    </cfRule>
    <cfRule type="cellIs" dxfId="525" priority="22" operator="equal">
      <formula>"A"</formula>
    </cfRule>
    <cfRule type="cellIs" dxfId="524" priority="21" operator="equal">
      <formula>"L"</formula>
    </cfRule>
    <cfRule type="expression" dxfId="523" priority="27" stopIfTrue="1">
      <formula>X13=ChavePersonalizada1</formula>
    </cfRule>
    <cfRule type="expression" dxfId="522" priority="30" stopIfTrue="1">
      <formula>X13=ChaveFérias</formula>
    </cfRule>
    <cfRule type="expression" dxfId="521" priority="29" stopIfTrue="1">
      <formula>X13=ChavePessoal</formula>
    </cfRule>
    <cfRule type="expression" dxfId="520" priority="28" stopIfTrue="1">
      <formula>X13=ChaveLicençaMédica</formula>
    </cfRule>
  </conditionalFormatting>
  <conditionalFormatting sqref="X15">
    <cfRule type="cellIs" dxfId="519" priority="41" operator="equal">
      <formula>"L"</formula>
    </cfRule>
    <cfRule type="cellIs" dxfId="518" priority="42" operator="equal">
      <formula>"A"</formula>
    </cfRule>
    <cfRule type="cellIs" dxfId="517" priority="43" operator="equal">
      <formula>"A"</formula>
    </cfRule>
    <cfRule type="cellIs" dxfId="516" priority="44" operator="equal">
      <formula>"A"</formula>
    </cfRule>
    <cfRule type="expression" priority="45" stopIfTrue="1">
      <formula>X15=""</formula>
    </cfRule>
    <cfRule type="expression" dxfId="515" priority="46" stopIfTrue="1">
      <formula>X15=ChavePersonalizada2</formula>
    </cfRule>
    <cfRule type="expression" dxfId="514" priority="47" stopIfTrue="1">
      <formula>X15=ChavePersonalizada1</formula>
    </cfRule>
    <cfRule type="expression" dxfId="513" priority="48" stopIfTrue="1">
      <formula>X15=ChaveLicençaMédica</formula>
    </cfRule>
    <cfRule type="expression" dxfId="512" priority="49" stopIfTrue="1">
      <formula>X15=ChavePessoal</formula>
    </cfRule>
    <cfRule type="expression" dxfId="511" priority="50" stopIfTrue="1">
      <formula>X15=ChaveFérias</formula>
    </cfRule>
  </conditionalFormatting>
  <conditionalFormatting sqref="AH8:AH17">
    <cfRule type="dataBar" priority="69">
      <dataBar>
        <cfvo type="min"/>
        <cfvo type="formula" val="DATEDIF(DATE(AnoCalendário,2,1),DATE(AnoCalendário,3,1),&quot;d&quot;)"/>
        <color theme="2" tint="-0.249977111117893"/>
      </dataBar>
      <extLst>
        <ext xmlns:x14="http://schemas.microsoft.com/office/spreadsheetml/2009/9/main" uri="{B025F937-C7B1-47D3-B67F-A62EFF666E3E}">
          <x14:id>{E0DCF129-9B2A-4CEB-9E56-27607F4BED20}</x14:id>
        </ext>
      </extLst>
    </cfRule>
  </conditionalFormatting>
  <dataValidations count="13">
    <dataValidation allowBlank="1" showInputMessage="1" showErrorMessage="1" prompt="Os dias do mês nesta linha são gerados automaticamente. Insira a falta e o tipo de falta de um funcionário em cada coluna de cada dia do mês. Espaço vazio significa sem faltas." sqref="C7" xr:uid="{03C1A45F-45B9-C64C-AB94-81563D673730}"/>
    <dataValidation allowBlank="1" showInputMessage="1" showErrorMessage="1" prompt="O nome do mês para essa agenda de faltas está nesta célula. Os totais de faltas deste mês estão na última célula da tabela. Selecione os nomes dos funcionários na tabela B." sqref="B1" xr:uid="{67F505EC-31B5-40A7-B716-2CD549AE1104}"/>
    <dataValidation allowBlank="1" showInputMessage="1" showErrorMessage="1" prompt="Insira um rótulo para descrever a chave personalizada à esquerda." sqref="V3 Q3" xr:uid="{8266857E-2E93-46B9-B9E7-39D8ED90E7FB}"/>
    <dataValidation allowBlank="1" showInputMessage="1" showErrorMessage="1" prompt="Insira uma letra e personalize o rótulo à direita para adicionar outro item de chave." sqref="U3" xr:uid="{02B9AD26-B519-46D5-913B-70A1FAB1E8F0}"/>
    <dataValidation allowBlank="1" showInputMessage="1" showErrorMessage="1" prompt="A letra &quot;L&quot; indica falta devido à licença médica." sqref="M3" xr:uid="{11760EC0-89EC-4D43-867B-4DB54E11A4DD}"/>
    <dataValidation allowBlank="1" showInputMessage="1" showErrorMessage="1" prompt="A letra &quot;P&quot; indica falta devido a motivos pessoais." sqref="G3" xr:uid="{325E5E5C-6CFC-4804-9B62-65CA481EBA6A}"/>
    <dataValidation allowBlank="1" showInputMessage="1" showErrorMessage="1" prompt="A letra &quot;F&quot; indica falta devido a férias." sqref="C3" xr:uid="{CDB1CD72-CFEA-44ED-9181-471F7EBDC1AF}"/>
    <dataValidation allowBlank="1" showInputMessage="1" showErrorMessage="1" prompt="O título atualizado automaticamente está nesta célula. Para modificar o título, atualize B1 na planilha Janeiro." sqref="B1" xr:uid="{B3F27361-0597-4269-BFFB-66188C3D1FBB}"/>
    <dataValidation errorStyle="warning" allowBlank="1" showInputMessage="1" showErrorMessage="1" error="Selecione o nome da lista. Selecione Cancelar e pressione Alt+Seta para baixo e Enter para selecionar um nome." prompt="Insira os nomes dos funcionários na planilha Nomes dos funcionários e selecione um dos nomes da lista nesta coluna. Pressione Alt+Seta para baixo e, em seguida, ENTER para selecionar um nome." sqref="B7" xr:uid="{E2AB5665-8BC3-4C63-B766-DEF1E13725EA}"/>
    <dataValidation allowBlank="1" showInputMessage="1" showErrorMessage="1" prompt="Calcula automaticamente o número total de dias em que um funcionário esteve ausente deste mês nesta coluna." sqref="AH7" xr:uid="{7EEB97FE-C4E8-0B42-8F26-4ACE0C358EA5}"/>
    <dataValidation allowBlank="1" showInputMessage="1" showErrorMessage="1" prompt="Ano atualizado automaticamente com base no ano inserido na planilha de janeiro." sqref="AH5" xr:uid="{00000000-0002-0000-0600-00000C000000}"/>
    <dataValidation allowBlank="1" showInputMessage="1" showErrorMessage="1" prompt="Os dias da semana nesta linha são atualizados automaticamente para o mês de acordo com o ano na célula AH4. Cada dia do mês é uma coluna para indicar a falta e o tipo de falta de um funcionário." sqref="C6" xr:uid="{956AA00F-FA3E-EE4C-BC75-65E8AA2EA95F}"/>
    <dataValidation allowBlank="1" showInputMessage="1" showErrorMessage="1" prompt="Esta linha define as chaves utilizadas na tabela: a célula C4 é Férias, G4 é Pessoal e K4 é Licença médica. As células N4 e R4 são personalizáveis " sqref="B3" xr:uid="{7CD91E9A-E379-4242-8473-4BAC4CF10F58}"/>
  </dataValidations>
  <pageMargins left="0.7" right="0.7" top="0.75" bottom="0.75" header="0.3" footer="0.3"/>
  <pageSetup paperSize="9" scale="44"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E0DCF129-9B2A-4CEB-9E56-27607F4BED20}">
            <x14:dataBar minLength="0" maxLength="100">
              <x14:cfvo type="autoMin"/>
              <x14:cfvo type="formula">
                <xm:f>DATEDIF(DATE(AnoCalendário,2,1),DATE(AnoCalendário,3,1),"d")</xm:f>
              </x14:cfvo>
              <x14:negativeFillColor rgb="FFFF0000"/>
              <x14:axisColor rgb="FF000000"/>
            </x14:dataBar>
          </x14:cfRule>
          <xm:sqref>AH8:AH17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E000000}">
          <x14:formula1>
            <xm:f>Diretores!$B$3:$B$7</xm:f>
          </x14:formula1>
          <xm:sqref>B8:B17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sheetPr>
  <dimension ref="B1:AH18"/>
  <sheetViews>
    <sheetView showGridLines="0" zoomScaleNormal="100" workbookViewId="0">
      <selection activeCell="K12" sqref="K12"/>
    </sheetView>
  </sheetViews>
  <sheetFormatPr defaultColWidth="8.7109375" defaultRowHeight="30" customHeight="1"/>
  <cols>
    <col min="1" max="1" width="2.7109375" customWidth="1"/>
    <col min="2" max="2" width="33.42578125" bestFit="1" customWidth="1"/>
    <col min="3" max="33" width="4.7109375" customWidth="1"/>
    <col min="34" max="34" width="14.85546875" customWidth="1"/>
    <col min="35" max="35" width="2.7109375" customWidth="1"/>
  </cols>
  <sheetData>
    <row r="1" spans="2:34" ht="61.5">
      <c r="B1" s="82" t="s">
        <v>56</v>
      </c>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row>
    <row r="2" spans="2:34" ht="15" customHeight="1">
      <c r="B2" s="7"/>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2:34" ht="30" customHeight="1">
      <c r="B3" s="24" t="s">
        <v>1</v>
      </c>
      <c r="C3" s="18" t="s">
        <v>2</v>
      </c>
      <c r="D3" s="79" t="s">
        <v>3</v>
      </c>
      <c r="E3" s="79"/>
      <c r="G3" s="73" t="s">
        <v>4</v>
      </c>
      <c r="H3" s="79" t="s">
        <v>5</v>
      </c>
      <c r="I3" s="79"/>
      <c r="J3" s="79"/>
      <c r="K3" s="79"/>
      <c r="M3" s="17" t="s">
        <v>6</v>
      </c>
      <c r="N3" s="79" t="s">
        <v>7</v>
      </c>
      <c r="O3" s="79"/>
      <c r="P3" s="69"/>
      <c r="Q3" s="38"/>
      <c r="R3" s="38"/>
      <c r="S3" s="38"/>
      <c r="T3" s="38"/>
      <c r="U3" s="32"/>
      <c r="V3" s="38"/>
      <c r="W3" s="34"/>
      <c r="X3" s="34"/>
      <c r="Y3" s="34"/>
    </row>
    <row r="4" spans="2:34" ht="15" customHeight="1">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2:34" ht="23.25">
      <c r="B5" s="5"/>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5">
        <f>AnoCalendário</f>
        <v>2027</v>
      </c>
    </row>
    <row r="6" spans="2:34" ht="30" customHeight="1">
      <c r="B6" s="5"/>
      <c r="C6" s="15" t="str">
        <f>TEXT(WEEKDAY(DATE(AnoCalendário,8,1),1),"ddd")</f>
        <v>dom</v>
      </c>
      <c r="D6" s="15" t="str">
        <f>TEXT(WEEKDAY(DATE(AnoCalendário,8,2),1),"ddd")</f>
        <v>seg</v>
      </c>
      <c r="E6" s="15" t="str">
        <f>TEXT(WEEKDAY(DATE(AnoCalendário,8,3),1),"ddd")</f>
        <v>ter</v>
      </c>
      <c r="F6" s="15" t="str">
        <f>TEXT(WEEKDAY(DATE(AnoCalendário,8,4),1),"ddd")</f>
        <v>qua</v>
      </c>
      <c r="G6" s="15" t="str">
        <f>TEXT(WEEKDAY(DATE(AnoCalendário,8,5),1),"ddd")</f>
        <v>qui</v>
      </c>
      <c r="H6" s="15" t="str">
        <f>TEXT(WEEKDAY(DATE(AnoCalendário,8,6),1),"ddd")</f>
        <v>sex</v>
      </c>
      <c r="I6" s="15" t="str">
        <f>TEXT(WEEKDAY(DATE(AnoCalendário,8,7),1),"ddd")</f>
        <v>sáb</v>
      </c>
      <c r="J6" s="15" t="str">
        <f>TEXT(WEEKDAY(DATE(AnoCalendário,8,8),1),"ddd")</f>
        <v>dom</v>
      </c>
      <c r="K6" s="15" t="str">
        <f>TEXT(WEEKDAY(DATE(AnoCalendário,8,9),1),"ddd")</f>
        <v>seg</v>
      </c>
      <c r="L6" s="15" t="str">
        <f>TEXT(WEEKDAY(DATE(AnoCalendário,8,10),1),"ddd")</f>
        <v>ter</v>
      </c>
      <c r="M6" s="15" t="str">
        <f>TEXT(WEEKDAY(DATE(AnoCalendário,8,11),1),"ddd")</f>
        <v>qua</v>
      </c>
      <c r="N6" s="15" t="str">
        <f>TEXT(WEEKDAY(DATE(AnoCalendário,8,12),1),"ddd")</f>
        <v>qui</v>
      </c>
      <c r="O6" s="15" t="str">
        <f>TEXT(WEEKDAY(DATE(AnoCalendário,8,13),1),"ddd")</f>
        <v>sex</v>
      </c>
      <c r="P6" s="15" t="str">
        <f>TEXT(WEEKDAY(DATE(AnoCalendário,8,14),1),"ddd")</f>
        <v>sáb</v>
      </c>
      <c r="Q6" s="15" t="str">
        <f>TEXT(WEEKDAY(DATE(AnoCalendário,8,15),1),"ddd")</f>
        <v>dom</v>
      </c>
      <c r="R6" s="15" t="str">
        <f>TEXT(WEEKDAY(DATE(AnoCalendário,8,16),1),"ddd")</f>
        <v>seg</v>
      </c>
      <c r="S6" s="15" t="str">
        <f>TEXT(WEEKDAY(DATE(AnoCalendário,8,17),1),"ddd")</f>
        <v>ter</v>
      </c>
      <c r="T6" s="15" t="str">
        <f>TEXT(WEEKDAY(DATE(AnoCalendário,8,18),1),"ddd")</f>
        <v>qua</v>
      </c>
      <c r="U6" s="15" t="str">
        <f>TEXT(WEEKDAY(DATE(AnoCalendário,8,19),1),"ddd")</f>
        <v>qui</v>
      </c>
      <c r="V6" s="15" t="str">
        <f>TEXT(WEEKDAY(DATE(AnoCalendário,8,20),1),"ddd")</f>
        <v>sex</v>
      </c>
      <c r="W6" s="15" t="str">
        <f>TEXT(WEEKDAY(DATE(AnoCalendário,8,21),1),"ddd")</f>
        <v>sáb</v>
      </c>
      <c r="X6" s="15" t="str">
        <f>TEXT(WEEKDAY(DATE(AnoCalendário,8,22),1),"ddd")</f>
        <v>dom</v>
      </c>
      <c r="Y6" s="15" t="str">
        <f>TEXT(WEEKDAY(DATE(AnoCalendário,8,23),1),"ddd")</f>
        <v>seg</v>
      </c>
      <c r="Z6" s="15" t="str">
        <f>TEXT(WEEKDAY(DATE(AnoCalendário,8,24),1),"ddd")</f>
        <v>ter</v>
      </c>
      <c r="AA6" s="15" t="str">
        <f>TEXT(WEEKDAY(DATE(AnoCalendário,8,25),1),"ddd")</f>
        <v>qua</v>
      </c>
      <c r="AB6" s="15" t="str">
        <f>TEXT(WEEKDAY(DATE(AnoCalendário,8,26),1),"ddd")</f>
        <v>qui</v>
      </c>
      <c r="AC6" s="15" t="str">
        <f>TEXT(WEEKDAY(DATE(AnoCalendário,8,27),1),"ddd")</f>
        <v>sex</v>
      </c>
      <c r="AD6" s="15" t="str">
        <f>TEXT(WEEKDAY(DATE(AnoCalendário,8,28),1),"ddd")</f>
        <v>sáb</v>
      </c>
      <c r="AE6" s="15" t="str">
        <f>TEXT(WEEKDAY(DATE(AnoCalendário,8,29),1),"ddd")</f>
        <v>dom</v>
      </c>
      <c r="AF6" s="15" t="str">
        <f>TEXT(WEEKDAY(DATE(AnoCalendário,8,30),1),"ddd")</f>
        <v>seg</v>
      </c>
      <c r="AG6" s="15" t="str">
        <f>TEXT(WEEKDAY(DATE(AnoCalendário,8,31),1),"ddd")</f>
        <v>ter</v>
      </c>
      <c r="AH6" s="5"/>
    </row>
    <row r="7" spans="2:34" ht="30" customHeight="1">
      <c r="B7" s="20" t="s">
        <v>8</v>
      </c>
      <c r="C7" s="1" t="s">
        <v>9</v>
      </c>
      <c r="D7" s="1" t="s">
        <v>10</v>
      </c>
      <c r="E7" s="1" t="s">
        <v>11</v>
      </c>
      <c r="F7" s="1" t="s">
        <v>12</v>
      </c>
      <c r="G7" s="1" t="s">
        <v>13</v>
      </c>
      <c r="H7" s="1" t="s">
        <v>14</v>
      </c>
      <c r="I7" s="1" t="s">
        <v>15</v>
      </c>
      <c r="J7" s="1" t="s">
        <v>16</v>
      </c>
      <c r="K7" s="1" t="s">
        <v>17</v>
      </c>
      <c r="L7" s="1" t="s">
        <v>18</v>
      </c>
      <c r="M7" s="1" t="s">
        <v>19</v>
      </c>
      <c r="N7" s="1" t="s">
        <v>20</v>
      </c>
      <c r="O7" s="1" t="s">
        <v>21</v>
      </c>
      <c r="P7" s="1" t="s">
        <v>22</v>
      </c>
      <c r="Q7" s="1" t="s">
        <v>23</v>
      </c>
      <c r="R7" s="1" t="s">
        <v>24</v>
      </c>
      <c r="S7" s="1" t="s">
        <v>25</v>
      </c>
      <c r="T7" s="1" t="s">
        <v>26</v>
      </c>
      <c r="U7" s="1" t="s">
        <v>27</v>
      </c>
      <c r="V7" s="1" t="s">
        <v>28</v>
      </c>
      <c r="W7" s="1" t="s">
        <v>29</v>
      </c>
      <c r="X7" s="1" t="s">
        <v>30</v>
      </c>
      <c r="Y7" s="1" t="s">
        <v>31</v>
      </c>
      <c r="Z7" s="1" t="s">
        <v>32</v>
      </c>
      <c r="AA7" s="1" t="s">
        <v>33</v>
      </c>
      <c r="AB7" s="1" t="s">
        <v>34</v>
      </c>
      <c r="AC7" s="1" t="s">
        <v>35</v>
      </c>
      <c r="AD7" s="1" t="s">
        <v>36</v>
      </c>
      <c r="AE7" s="1" t="s">
        <v>37</v>
      </c>
      <c r="AF7" s="1" t="s">
        <v>38</v>
      </c>
      <c r="AG7" s="1" t="s">
        <v>39</v>
      </c>
      <c r="AH7" s="16" t="s">
        <v>40</v>
      </c>
    </row>
    <row r="8" spans="2:34" ht="30" customHeight="1">
      <c r="B8" s="2" t="s">
        <v>41</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3">
        <f>COUNTA(Agosto[[#This Row],[1]:[31]])</f>
        <v>0</v>
      </c>
    </row>
    <row r="9" spans="2:34" ht="30" customHeight="1">
      <c r="B9" s="36"/>
      <c r="D9" s="1"/>
      <c r="E9" s="1"/>
      <c r="F9" s="1"/>
      <c r="G9" s="1"/>
      <c r="H9" s="1"/>
      <c r="I9" s="1"/>
      <c r="J9" s="1"/>
      <c r="K9" s="1"/>
      <c r="L9" s="1"/>
      <c r="M9" s="1"/>
      <c r="N9" s="1"/>
      <c r="O9" s="1"/>
      <c r="P9" s="1"/>
      <c r="Q9" s="1"/>
      <c r="R9" s="1"/>
      <c r="S9" s="1"/>
      <c r="T9" s="1"/>
      <c r="U9" s="1"/>
      <c r="V9" s="1"/>
      <c r="W9" s="1"/>
      <c r="Z9" s="1"/>
      <c r="AA9" s="1"/>
      <c r="AB9" s="1"/>
      <c r="AC9" s="1"/>
      <c r="AD9" s="1"/>
      <c r="AE9" s="1"/>
      <c r="AF9" s="1"/>
      <c r="AG9" s="37"/>
      <c r="AH9" s="3"/>
    </row>
    <row r="10" spans="2:34" ht="30" customHeight="1">
      <c r="B10" s="2" t="s">
        <v>43</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3">
        <f>COUNTA(Agosto[[#This Row],[1]:[31]])</f>
        <v>0</v>
      </c>
    </row>
    <row r="11" spans="2:34" ht="30" customHeight="1">
      <c r="B11" s="36"/>
      <c r="C11" s="1"/>
      <c r="D11" s="1"/>
      <c r="E11" s="1"/>
      <c r="F11" s="1"/>
      <c r="G11" s="1"/>
      <c r="H11" s="1"/>
      <c r="I11" s="1"/>
      <c r="L11" s="1"/>
      <c r="M11" s="1"/>
      <c r="N11" s="1"/>
      <c r="O11" s="1"/>
      <c r="P11" s="1"/>
      <c r="Q11" s="1"/>
      <c r="R11" s="1"/>
      <c r="S11" s="1"/>
      <c r="T11" s="1"/>
      <c r="U11" s="1"/>
      <c r="V11" s="1"/>
      <c r="W11" s="1"/>
      <c r="X11" s="1"/>
      <c r="Y11" s="1"/>
      <c r="Z11" s="1"/>
      <c r="AA11" s="1"/>
      <c r="AB11" s="1"/>
      <c r="AC11" s="1"/>
      <c r="AD11" s="1"/>
      <c r="AE11" s="1"/>
      <c r="AF11" s="1"/>
      <c r="AG11" s="37"/>
      <c r="AH11" s="3"/>
    </row>
    <row r="12" spans="2:34" ht="30" customHeight="1">
      <c r="B12" s="2" t="s">
        <v>44</v>
      </c>
      <c r="C12" s="1"/>
      <c r="D12" s="1"/>
      <c r="E12" s="1"/>
      <c r="F12" s="1"/>
      <c r="G12" s="1"/>
      <c r="H12" s="1"/>
      <c r="I12" s="1"/>
      <c r="J12" s="1"/>
      <c r="K12" s="1"/>
      <c r="L12" s="1"/>
      <c r="M12" s="1"/>
      <c r="N12" s="1"/>
      <c r="O12" s="1"/>
      <c r="P12" s="1"/>
      <c r="Q12" s="1"/>
      <c r="R12" s="1"/>
      <c r="S12" s="1"/>
      <c r="T12" s="1"/>
      <c r="U12" s="1"/>
      <c r="V12" s="1"/>
      <c r="W12" s="1"/>
      <c r="X12" s="1"/>
      <c r="Y12" s="69"/>
      <c r="Z12" s="69"/>
      <c r="AA12" s="69"/>
      <c r="AB12" s="69"/>
      <c r="AC12" s="69"/>
      <c r="AD12" s="69"/>
      <c r="AE12" s="69"/>
      <c r="AF12" s="69"/>
      <c r="AG12" s="69"/>
      <c r="AH12" s="3">
        <f>COUNTA(Agosto[[#This Row],[1]:[31]])</f>
        <v>0</v>
      </c>
    </row>
    <row r="13" spans="2:34" ht="30" customHeight="1">
      <c r="B13" s="36"/>
      <c r="D13" s="1"/>
      <c r="E13" s="1"/>
      <c r="G13" s="61"/>
      <c r="H13" s="61"/>
      <c r="I13" s="61"/>
      <c r="J13" s="62"/>
      <c r="K13" s="63"/>
      <c r="L13" s="64"/>
      <c r="M13" s="64"/>
      <c r="N13" s="64"/>
      <c r="O13" s="1"/>
      <c r="P13" s="1"/>
      <c r="Q13" s="1"/>
      <c r="R13" s="1"/>
      <c r="S13" s="1"/>
      <c r="T13" s="1"/>
      <c r="U13" s="1"/>
      <c r="V13" s="1"/>
      <c r="W13" s="1"/>
      <c r="X13" s="1"/>
      <c r="Z13" s="1"/>
      <c r="AA13" s="1"/>
      <c r="AB13" s="1"/>
      <c r="AC13" s="1"/>
      <c r="AD13" s="1"/>
      <c r="AE13" s="1"/>
      <c r="AF13" s="1"/>
      <c r="AG13" s="37"/>
      <c r="AH13" s="3"/>
    </row>
    <row r="14" spans="2:34" ht="30" customHeight="1">
      <c r="B14" s="2" t="s">
        <v>46</v>
      </c>
      <c r="C14" s="68"/>
      <c r="D14" s="68"/>
      <c r="E14" s="68"/>
      <c r="F14" s="68"/>
      <c r="G14" s="68"/>
      <c r="H14" s="68"/>
      <c r="I14" s="68"/>
      <c r="J14" s="1"/>
      <c r="K14" s="1"/>
      <c r="L14" s="1"/>
      <c r="M14" s="1"/>
      <c r="N14" s="1"/>
      <c r="O14" s="1"/>
      <c r="P14" s="1"/>
      <c r="Q14" s="1"/>
      <c r="R14" s="1"/>
      <c r="S14" s="1"/>
      <c r="T14" s="1"/>
      <c r="U14" s="1"/>
      <c r="V14" s="1"/>
      <c r="W14" s="1"/>
      <c r="X14" s="1"/>
      <c r="Y14" s="1"/>
      <c r="Z14" s="1"/>
      <c r="AA14" s="1"/>
      <c r="AB14" s="1"/>
      <c r="AC14" s="1"/>
      <c r="AD14" s="1"/>
      <c r="AE14" s="1"/>
      <c r="AF14" s="1"/>
      <c r="AG14" s="1"/>
      <c r="AH14" s="3">
        <f>COUNTA(Agosto[[#This Row],[1]:[31]])</f>
        <v>0</v>
      </c>
    </row>
    <row r="15" spans="2:34" ht="30" customHeight="1">
      <c r="B15" s="36"/>
      <c r="C15" s="40"/>
      <c r="D15" s="1"/>
      <c r="E15" s="1"/>
      <c r="F15" s="1"/>
      <c r="G15" s="1"/>
      <c r="H15" s="1"/>
      <c r="I15" s="1"/>
      <c r="J15" s="1"/>
      <c r="K15" s="1"/>
      <c r="L15" s="1"/>
      <c r="M15" s="1"/>
      <c r="N15" s="1"/>
      <c r="O15" s="1"/>
      <c r="P15" s="1"/>
      <c r="Q15" s="1"/>
      <c r="R15" s="1"/>
      <c r="S15" s="1"/>
      <c r="T15" s="1"/>
      <c r="U15" s="1"/>
      <c r="V15" s="1"/>
      <c r="W15" s="1"/>
      <c r="Y15" s="1"/>
      <c r="Z15" s="1"/>
      <c r="AA15" s="1"/>
      <c r="AB15" s="1"/>
      <c r="AC15" s="1"/>
      <c r="AD15" s="1"/>
      <c r="AE15" s="1"/>
      <c r="AF15" s="1"/>
      <c r="AG15" s="37"/>
      <c r="AH15" s="3"/>
    </row>
    <row r="16" spans="2:34" ht="30" customHeight="1">
      <c r="B16" s="2" t="s">
        <v>47</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3">
        <f>COUNTA(Agosto[[#This Row],[1]:[31]])</f>
        <v>0</v>
      </c>
    </row>
    <row r="17" spans="2:34" ht="30" customHeight="1">
      <c r="B17" s="36"/>
      <c r="C17" s="1"/>
      <c r="D17" s="1"/>
      <c r="E17" s="1"/>
      <c r="F17" s="1"/>
      <c r="G17" s="1"/>
      <c r="H17" s="1"/>
      <c r="I17" s="1"/>
      <c r="J17" s="1"/>
      <c r="K17" s="1"/>
      <c r="L17" s="58"/>
      <c r="M17" s="1"/>
      <c r="N17" s="1"/>
      <c r="O17" s="1"/>
      <c r="P17" s="1"/>
      <c r="R17" s="1"/>
      <c r="T17" s="1"/>
      <c r="U17" s="40"/>
      <c r="V17" s="1"/>
      <c r="W17" s="1"/>
      <c r="Y17" s="1"/>
      <c r="Z17" s="1"/>
      <c r="AA17" s="1"/>
      <c r="AD17" s="1"/>
      <c r="AE17" s="1"/>
      <c r="AF17" s="1"/>
      <c r="AG17" s="37"/>
      <c r="AH17" s="3"/>
    </row>
    <row r="18" spans="2:34" ht="30" customHeight="1">
      <c r="B18" s="1" t="s">
        <v>48</v>
      </c>
      <c r="C18" s="4">
        <f t="shared" ref="C18:AG18" si="0">COUNTA(C8,C10,C12,C14,C16)</f>
        <v>0</v>
      </c>
      <c r="D18" s="4">
        <f t="shared" si="0"/>
        <v>0</v>
      </c>
      <c r="E18" s="4">
        <f t="shared" si="0"/>
        <v>0</v>
      </c>
      <c r="F18" s="4">
        <f t="shared" si="0"/>
        <v>0</v>
      </c>
      <c r="G18" s="4">
        <f t="shared" si="0"/>
        <v>0</v>
      </c>
      <c r="H18" s="4">
        <f t="shared" si="0"/>
        <v>0</v>
      </c>
      <c r="I18" s="4">
        <f t="shared" si="0"/>
        <v>0</v>
      </c>
      <c r="J18" s="4">
        <f t="shared" si="0"/>
        <v>0</v>
      </c>
      <c r="K18" s="4">
        <f t="shared" si="0"/>
        <v>0</v>
      </c>
      <c r="L18" s="4">
        <f t="shared" si="0"/>
        <v>0</v>
      </c>
      <c r="M18" s="4">
        <f t="shared" si="0"/>
        <v>0</v>
      </c>
      <c r="N18" s="4">
        <f t="shared" si="0"/>
        <v>0</v>
      </c>
      <c r="O18" s="4">
        <f t="shared" si="0"/>
        <v>0</v>
      </c>
      <c r="P18" s="4">
        <f t="shared" si="0"/>
        <v>0</v>
      </c>
      <c r="Q18" s="4">
        <f t="shared" si="0"/>
        <v>0</v>
      </c>
      <c r="R18" s="4">
        <f t="shared" si="0"/>
        <v>0</v>
      </c>
      <c r="S18" s="4">
        <f t="shared" si="0"/>
        <v>0</v>
      </c>
      <c r="T18" s="4">
        <f t="shared" si="0"/>
        <v>0</v>
      </c>
      <c r="U18" s="4">
        <f t="shared" si="0"/>
        <v>0</v>
      </c>
      <c r="V18" s="4">
        <f t="shared" si="0"/>
        <v>0</v>
      </c>
      <c r="W18" s="4">
        <f t="shared" si="0"/>
        <v>0</v>
      </c>
      <c r="X18" s="4">
        <f t="shared" si="0"/>
        <v>0</v>
      </c>
      <c r="Y18" s="4">
        <f t="shared" si="0"/>
        <v>0</v>
      </c>
      <c r="Z18" s="4">
        <f t="shared" si="0"/>
        <v>0</v>
      </c>
      <c r="AA18" s="4">
        <f t="shared" si="0"/>
        <v>0</v>
      </c>
      <c r="AB18" s="4">
        <f t="shared" si="0"/>
        <v>0</v>
      </c>
      <c r="AC18" s="4">
        <f t="shared" si="0"/>
        <v>0</v>
      </c>
      <c r="AD18" s="4">
        <f t="shared" si="0"/>
        <v>0</v>
      </c>
      <c r="AE18" s="4">
        <f t="shared" si="0"/>
        <v>0</v>
      </c>
      <c r="AF18" s="4">
        <f t="shared" si="0"/>
        <v>0</v>
      </c>
      <c r="AG18" s="4">
        <f t="shared" si="0"/>
        <v>0</v>
      </c>
      <c r="AH18" s="4"/>
    </row>
  </sheetData>
  <mergeCells count="5">
    <mergeCell ref="B1:AH1"/>
    <mergeCell ref="D3:E3"/>
    <mergeCell ref="H3:K3"/>
    <mergeCell ref="N3:O3"/>
    <mergeCell ref="C5:AG5"/>
  </mergeCells>
  <phoneticPr fontId="26" type="noConversion"/>
  <conditionalFormatting sqref="C15">
    <cfRule type="cellIs" dxfId="441" priority="20" operator="equal">
      <formula>"L"</formula>
    </cfRule>
    <cfRule type="expression" dxfId="440" priority="29" stopIfTrue="1">
      <formula>C15=ChaveFérias</formula>
    </cfRule>
    <cfRule type="expression" dxfId="439" priority="28" stopIfTrue="1">
      <formula>C15=ChavePessoal</formula>
    </cfRule>
    <cfRule type="expression" dxfId="438" priority="27" stopIfTrue="1">
      <formula>C15=ChaveLicençaMédica</formula>
    </cfRule>
    <cfRule type="expression" dxfId="437" priority="26" stopIfTrue="1">
      <formula>C15=ChavePersonalizada1</formula>
    </cfRule>
    <cfRule type="expression" dxfId="436" priority="25" stopIfTrue="1">
      <formula>C15=ChavePersonalizada2</formula>
    </cfRule>
    <cfRule type="expression" priority="24" stopIfTrue="1">
      <formula>C15=""</formula>
    </cfRule>
    <cfRule type="cellIs" dxfId="435" priority="23" operator="equal">
      <formula>"A"</formula>
    </cfRule>
    <cfRule type="cellIs" dxfId="434" priority="22" operator="equal">
      <formula>"A"</formula>
    </cfRule>
    <cfRule type="cellIs" dxfId="433" priority="21" operator="equal">
      <formula>"A"</formula>
    </cfRule>
  </conditionalFormatting>
  <conditionalFormatting sqref="C13:J13">
    <cfRule type="cellIs" dxfId="432" priority="2" operator="equal">
      <formula>"A"</formula>
    </cfRule>
    <cfRule type="expression" priority="3" stopIfTrue="1">
      <formula>C13=""</formula>
    </cfRule>
    <cfRule type="expression" dxfId="431" priority="4" stopIfTrue="1">
      <formula>C13=ChavePersonalizada2</formula>
    </cfRule>
    <cfRule type="expression" dxfId="430" priority="5" stopIfTrue="1">
      <formula>C13=ChavePersonalizada1</formula>
    </cfRule>
    <cfRule type="expression" dxfId="429" priority="6" stopIfTrue="1">
      <formula>C13=ChaveLicençaMédica</formula>
    </cfRule>
    <cfRule type="expression" dxfId="428" priority="7" stopIfTrue="1">
      <formula>C13=ChavePessoal</formula>
    </cfRule>
    <cfRule type="expression" dxfId="427" priority="8" stopIfTrue="1">
      <formula>C13=ChaveFérias</formula>
    </cfRule>
    <cfRule type="cellIs" dxfId="426" priority="1" operator="equal">
      <formula>"L"</formula>
    </cfRule>
  </conditionalFormatting>
  <conditionalFormatting sqref="C8:AG11 C12:X12 O13:AG13 C14:AG14 D15:AG15 C16:AG16 C17:T17 V17:AG17">
    <cfRule type="cellIs" dxfId="425" priority="30" operator="equal">
      <formula>"L"</formula>
    </cfRule>
    <cfRule type="cellIs" dxfId="424" priority="31" operator="equal">
      <formula>"A"</formula>
    </cfRule>
    <cfRule type="expression" priority="32" stopIfTrue="1">
      <formula>C8=""</formula>
    </cfRule>
    <cfRule type="expression" dxfId="423" priority="33" stopIfTrue="1">
      <formula>C8=ChavePersonalizada2</formula>
    </cfRule>
    <cfRule type="expression" dxfId="422" priority="34" stopIfTrue="1">
      <formula>C8=ChavePersonalizada1</formula>
    </cfRule>
    <cfRule type="expression" dxfId="421" priority="35" stopIfTrue="1">
      <formula>C8=ChaveLicençaMédica</formula>
    </cfRule>
    <cfRule type="expression" dxfId="420" priority="36" stopIfTrue="1">
      <formula>C8=ChavePessoal</formula>
    </cfRule>
    <cfRule type="expression" dxfId="419" priority="37" stopIfTrue="1">
      <formula>C8=ChaveFérias</formula>
    </cfRule>
  </conditionalFormatting>
  <conditionalFormatting sqref="K13">
    <cfRule type="dataBar" priority="9">
      <dataBar>
        <cfvo type="min"/>
        <cfvo type="formula" val="DATEDIF(DATE(AnoCalendário,2,1),DATE(AnoCalendário,3,1),&quot;d&quot;)"/>
        <color theme="2" tint="-0.249977111117893"/>
      </dataBar>
      <extLst>
        <ext xmlns:x14="http://schemas.microsoft.com/office/spreadsheetml/2009/9/main" uri="{B025F937-C7B1-47D3-B67F-A62EFF666E3E}">
          <x14:id>{E76EBD01-AB7E-4389-BE82-47855F34F0D0}</x14:id>
        </ext>
      </extLst>
    </cfRule>
  </conditionalFormatting>
  <conditionalFormatting sqref="U17">
    <cfRule type="cellIs" dxfId="418" priority="10" operator="equal">
      <formula>"L"</formula>
    </cfRule>
    <cfRule type="expression" dxfId="417" priority="19" stopIfTrue="1">
      <formula>U17=ChaveFérias</formula>
    </cfRule>
    <cfRule type="expression" dxfId="416" priority="18" stopIfTrue="1">
      <formula>U17=ChavePessoal</formula>
    </cfRule>
    <cfRule type="expression" dxfId="415" priority="17" stopIfTrue="1">
      <formula>U17=ChaveLicençaMédica</formula>
    </cfRule>
    <cfRule type="expression" dxfId="414" priority="16" stopIfTrue="1">
      <formula>U17=ChavePersonalizada1</formula>
    </cfRule>
    <cfRule type="expression" dxfId="413" priority="15" stopIfTrue="1">
      <formula>U17=ChavePersonalizada2</formula>
    </cfRule>
    <cfRule type="expression" priority="14" stopIfTrue="1">
      <formula>U17=""</formula>
    </cfRule>
    <cfRule type="cellIs" dxfId="412" priority="13" operator="equal">
      <formula>"A"</formula>
    </cfRule>
    <cfRule type="cellIs" dxfId="411" priority="12" operator="equal">
      <formula>"A"</formula>
    </cfRule>
    <cfRule type="cellIs" dxfId="410" priority="11" operator="equal">
      <formula>"A"</formula>
    </cfRule>
  </conditionalFormatting>
  <conditionalFormatting sqref="AH8:AH17">
    <cfRule type="dataBar" priority="38">
      <dataBar>
        <cfvo type="min"/>
        <cfvo type="formula" val="DATEDIF(DATE(AnoCalendário,2,1),DATE(AnoCalendário,3,1),&quot;d&quot;)"/>
        <color theme="2" tint="-0.249977111117893"/>
      </dataBar>
      <extLst>
        <ext xmlns:x14="http://schemas.microsoft.com/office/spreadsheetml/2009/9/main" uri="{B025F937-C7B1-47D3-B67F-A62EFF666E3E}">
          <x14:id>{09900229-9536-43AB-AAE0-FC121BDECD61}</x14:id>
        </ext>
      </extLst>
    </cfRule>
  </conditionalFormatting>
  <dataValidations count="13">
    <dataValidation allowBlank="1" showInputMessage="1" showErrorMessage="1" prompt="Os dias da semana nesta linha são atualizados automaticamente para o mês de acordo com o ano na célula AH4. Cada dia do mês é uma coluna para indicar a falta e o tipo de falta de um funcionário." sqref="C6" xr:uid="{C31066D8-39EA-EB48-A883-D56040D3EA81}"/>
    <dataValidation allowBlank="1" showInputMessage="1" showErrorMessage="1" prompt="Ano atualizado automaticamente com base no ano inserido na planilha de janeiro." sqref="AH5" xr:uid="{4F3A1A67-5AD0-224A-B9EB-2AA94773859B}"/>
    <dataValidation allowBlank="1" showInputMessage="1" showErrorMessage="1" prompt="Calcula automaticamente o número total de dias em que um funcionário esteve ausente deste mês nesta coluna." sqref="AH7" xr:uid="{AC80500B-13F9-964F-8855-BCABB1C8AF13}"/>
    <dataValidation errorStyle="warning" allowBlank="1" showInputMessage="1" showErrorMessage="1" error="Selecione o nome da lista. Selecione Cancelar e pressione Alt+Seta para baixo e Enter para selecionar um nome." prompt="Insira os nomes dos funcionários na planilha Nomes dos funcionários e selecione um dos nomes da lista nesta coluna. Pressione Alt+Seta para baixo e, em seguida, ENTER para selecionar um nome." sqref="B7" xr:uid="{E32E97BE-8410-461F-840F-0F76D9465296}"/>
    <dataValidation allowBlank="1" showInputMessage="1" showErrorMessage="1" prompt="O título atualizado automaticamente está nesta célula. Para modificar o título, atualize B1 na planilha Janeiro." sqref="B1" xr:uid="{1B3522FF-BF6D-4E8D-A35A-6027C37E6604}"/>
    <dataValidation allowBlank="1" showInputMessage="1" showErrorMessage="1" prompt="A letra &quot;F&quot; indica falta devido a férias." sqref="C3" xr:uid="{4F536FCD-A9A9-4F2E-BBCD-E51166B71BC4}"/>
    <dataValidation allowBlank="1" showInputMessage="1" showErrorMessage="1" prompt="A letra &quot;P&quot; indica falta devido a motivos pessoais." sqref="G3" xr:uid="{44143536-9AA3-4F92-BDA6-29AB9B484130}"/>
    <dataValidation allowBlank="1" showInputMessage="1" showErrorMessage="1" prompt="A letra &quot;L&quot; indica falta devido à licença médica." sqref="M3" xr:uid="{1B0A497D-B2FE-4B65-8C47-6662E477E406}"/>
    <dataValidation allowBlank="1" showInputMessage="1" showErrorMessage="1" prompt="Insira uma letra e personalize o rótulo à direita para adicionar outro item de chave." sqref="U3" xr:uid="{C2F353FB-19E3-4AE7-AE34-9A1D1C026C0B}"/>
    <dataValidation allowBlank="1" showInputMessage="1" showErrorMessage="1" prompt="Insira um rótulo para descrever a chave personalizada à esquerda." sqref="V3 Q3" xr:uid="{DEC60F1F-81FA-4AC3-BC67-DC614F5781B5}"/>
    <dataValidation allowBlank="1" showInputMessage="1" showErrorMessage="1" prompt="O nome do mês para essa agenda de faltas está nesta célula. Os totais de faltas deste mês estão na última célula da tabela. Selecione os nomes dos funcionários na tabela B." sqref="B1" xr:uid="{7B368B21-0B51-4799-B0DD-86712A7392E6}"/>
    <dataValidation allowBlank="1" showInputMessage="1" showErrorMessage="1" prompt="Os dias do mês nesta linha são gerados automaticamente. Insira a falta e o tipo de falta de um funcionário em cada coluna de cada dia do mês. Espaço vazio significa sem faltas." sqref="C7" xr:uid="{ACF8EA0E-6010-5D46-9524-6055BFC9D4A3}"/>
    <dataValidation allowBlank="1" showInputMessage="1" showErrorMessage="1" prompt="Esta linha define as chaves utilizadas na tabela: a célula C4 é Férias, G4 é Pessoal e K4 é Licença médica. As células N4 e R4 são personalizáveis " sqref="B3" xr:uid="{87255469-F145-453F-8B68-CAEBA9ADF6FD}"/>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E76EBD01-AB7E-4389-BE82-47855F34F0D0}">
            <x14:dataBar minLength="0" maxLength="100">
              <x14:cfvo type="autoMin"/>
              <x14:cfvo type="formula">
                <xm:f>DATEDIF(DATE(AnoCalendário,2,1),DATE(AnoCalendário,3,1),"d")</xm:f>
              </x14:cfvo>
              <x14:negativeFillColor rgb="FFFF0000"/>
              <x14:axisColor rgb="FF000000"/>
            </x14:dataBar>
          </x14:cfRule>
          <xm:sqref>K13</xm:sqref>
        </x14:conditionalFormatting>
        <x14:conditionalFormatting xmlns:xm="http://schemas.microsoft.com/office/excel/2006/main">
          <x14:cfRule type="dataBar" id="{09900229-9536-43AB-AAE0-FC121BDECD61}">
            <x14:dataBar minLength="0" maxLength="100">
              <x14:cfvo type="autoMin"/>
              <x14:cfvo type="formula">
                <xm:f>DATEDIF(DATE(AnoCalendário,2,1),DATE(AnoCalendário,3,1),"d")</xm:f>
              </x14:cfvo>
              <x14:negativeFillColor rgb="FFFF0000"/>
              <x14:axisColor rgb="FF000000"/>
            </x14:dataBar>
          </x14:cfRule>
          <xm:sqref>AH8:AH17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E000000}">
          <x14:formula1>
            <xm:f>Diretores!$B$3:$B$7</xm:f>
          </x14:formula1>
          <xm:sqref>B8:B17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sheetPr>
  <dimension ref="B1:AG18"/>
  <sheetViews>
    <sheetView showGridLines="0" zoomScale="80" zoomScaleNormal="80" workbookViewId="0">
      <selection activeCell="K14" sqref="K14"/>
    </sheetView>
  </sheetViews>
  <sheetFormatPr defaultColWidth="8.7109375" defaultRowHeight="30" customHeight="1"/>
  <cols>
    <col min="1" max="1" width="2.7109375" customWidth="1"/>
    <col min="2" max="2" width="33.42578125" bestFit="1" customWidth="1"/>
    <col min="3" max="32" width="4.7109375" customWidth="1"/>
    <col min="33" max="33" width="14.85546875" customWidth="1"/>
    <col min="34" max="34" width="2.7109375" customWidth="1"/>
  </cols>
  <sheetData>
    <row r="1" spans="2:33" ht="61.5">
      <c r="B1" s="82" t="s">
        <v>57</v>
      </c>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row>
    <row r="2" spans="2:33" ht="15" customHeight="1">
      <c r="B2" s="7"/>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row>
    <row r="3" spans="2:33" ht="30" customHeight="1">
      <c r="B3" s="24" t="s">
        <v>1</v>
      </c>
      <c r="C3" s="18" t="s">
        <v>2</v>
      </c>
      <c r="D3" s="79" t="s">
        <v>3</v>
      </c>
      <c r="E3" s="79"/>
      <c r="G3" s="73" t="s">
        <v>4</v>
      </c>
      <c r="H3" s="34" t="s">
        <v>5</v>
      </c>
      <c r="I3" s="34"/>
      <c r="J3" s="34"/>
      <c r="K3" s="34"/>
      <c r="M3" s="17" t="s">
        <v>6</v>
      </c>
      <c r="N3" s="79" t="s">
        <v>7</v>
      </c>
      <c r="O3" s="79"/>
      <c r="P3" s="34"/>
      <c r="Q3" s="38"/>
      <c r="R3" s="38"/>
      <c r="S3" s="38"/>
      <c r="T3" s="38"/>
      <c r="U3" s="32"/>
      <c r="V3" s="38"/>
      <c r="W3" s="34"/>
      <c r="X3" s="34"/>
      <c r="Y3" s="34"/>
    </row>
    <row r="4" spans="2:33" ht="15" customHeight="1">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row>
    <row r="5" spans="2:33" ht="23.25">
      <c r="B5" s="5"/>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5">
        <f>AnoCalendário</f>
        <v>2027</v>
      </c>
    </row>
    <row r="6" spans="2:33" ht="30" customHeight="1">
      <c r="B6" s="5"/>
      <c r="C6" s="15" t="str">
        <f>TEXT(WEEKDAY(DATE(AnoCalendário,9,1),1),"ddd")</f>
        <v>qua</v>
      </c>
      <c r="D6" s="15" t="str">
        <f>TEXT(WEEKDAY(DATE(AnoCalendário,9,2),1),"ddd")</f>
        <v>qui</v>
      </c>
      <c r="E6" s="15" t="str">
        <f>TEXT(WEEKDAY(DATE(AnoCalendário,9,3),1),"ddd")</f>
        <v>sex</v>
      </c>
      <c r="F6" s="15" t="str">
        <f>TEXT(WEEKDAY(DATE(AnoCalendário,9,4),1),"ddd")</f>
        <v>sáb</v>
      </c>
      <c r="G6" s="15" t="str">
        <f>TEXT(WEEKDAY(DATE(AnoCalendário,9,5),1),"ddd")</f>
        <v>dom</v>
      </c>
      <c r="H6" s="15" t="str">
        <f>TEXT(WEEKDAY(DATE(AnoCalendário,9,6),1),"ddd")</f>
        <v>seg</v>
      </c>
      <c r="I6" s="15" t="str">
        <f>TEXT(WEEKDAY(DATE(AnoCalendário,9,7),1),"ddd")</f>
        <v>ter</v>
      </c>
      <c r="J6" s="15" t="str">
        <f>TEXT(WEEKDAY(DATE(AnoCalendário,9,8),1),"ddd")</f>
        <v>qua</v>
      </c>
      <c r="K6" s="15" t="str">
        <f>TEXT(WEEKDAY(DATE(AnoCalendário,9,9),1),"ddd")</f>
        <v>qui</v>
      </c>
      <c r="L6" s="15" t="str">
        <f>TEXT(WEEKDAY(DATE(AnoCalendário,9,10),1),"ddd")</f>
        <v>sex</v>
      </c>
      <c r="M6" s="15" t="str">
        <f>TEXT(WEEKDAY(DATE(AnoCalendário,9,11),1),"ddd")</f>
        <v>sáb</v>
      </c>
      <c r="N6" s="15" t="str">
        <f>TEXT(WEEKDAY(DATE(AnoCalendário,9,12),1),"ddd")</f>
        <v>dom</v>
      </c>
      <c r="O6" s="15" t="str">
        <f>TEXT(WEEKDAY(DATE(AnoCalendário,9,13),1),"ddd")</f>
        <v>seg</v>
      </c>
      <c r="P6" s="15" t="str">
        <f>TEXT(WEEKDAY(DATE(AnoCalendário,9,14),1),"ddd")</f>
        <v>ter</v>
      </c>
      <c r="Q6" s="15" t="str">
        <f>TEXT(WEEKDAY(DATE(AnoCalendário,9,15),1),"ddd")</f>
        <v>qua</v>
      </c>
      <c r="R6" s="15" t="str">
        <f>TEXT(WEEKDAY(DATE(AnoCalendário,9,16),1),"ddd")</f>
        <v>qui</v>
      </c>
      <c r="S6" s="15" t="str">
        <f>TEXT(WEEKDAY(DATE(AnoCalendário,9,17),1),"ddd")</f>
        <v>sex</v>
      </c>
      <c r="T6" s="15" t="str">
        <f>TEXT(WEEKDAY(DATE(AnoCalendário,9,18),1),"ddd")</f>
        <v>sáb</v>
      </c>
      <c r="U6" s="15" t="str">
        <f>TEXT(WEEKDAY(DATE(AnoCalendário,9,19),1),"ddd")</f>
        <v>dom</v>
      </c>
      <c r="V6" s="15" t="str">
        <f>TEXT(WEEKDAY(DATE(AnoCalendário,9,20),1),"ddd")</f>
        <v>seg</v>
      </c>
      <c r="W6" s="15" t="str">
        <f>TEXT(WEEKDAY(DATE(AnoCalendário,9,21),1),"ddd")</f>
        <v>ter</v>
      </c>
      <c r="X6" s="15" t="str">
        <f>TEXT(WEEKDAY(DATE(AnoCalendário,9,22),1),"ddd")</f>
        <v>qua</v>
      </c>
      <c r="Y6" s="15" t="str">
        <f>TEXT(WEEKDAY(DATE(AnoCalendário,9,23),1),"ddd")</f>
        <v>qui</v>
      </c>
      <c r="Z6" s="15" t="str">
        <f>TEXT(WEEKDAY(DATE(AnoCalendário,9,24),1),"ddd")</f>
        <v>sex</v>
      </c>
      <c r="AA6" s="15" t="str">
        <f>TEXT(WEEKDAY(DATE(AnoCalendário,9,25),1),"ddd")</f>
        <v>sáb</v>
      </c>
      <c r="AB6" s="15" t="str">
        <f>TEXT(WEEKDAY(DATE(AnoCalendário,9,26),1),"ddd")</f>
        <v>dom</v>
      </c>
      <c r="AC6" s="15" t="str">
        <f>TEXT(WEEKDAY(DATE(AnoCalendário,9,27),1),"ddd")</f>
        <v>seg</v>
      </c>
      <c r="AD6" s="15" t="str">
        <f>TEXT(WEEKDAY(DATE(AnoCalendário,9,28),1),"ddd")</f>
        <v>ter</v>
      </c>
      <c r="AE6" s="15" t="str">
        <f>TEXT(WEEKDAY(DATE(AnoCalendário,9,29),1),"ddd")</f>
        <v>qua</v>
      </c>
      <c r="AF6" s="15" t="str">
        <f>TEXT(WEEKDAY(DATE(AnoCalendário,9,30),1),"ddd")</f>
        <v>qui</v>
      </c>
      <c r="AG6" s="5"/>
    </row>
    <row r="7" spans="2:33" ht="30" customHeight="1">
      <c r="B7" s="20" t="s">
        <v>8</v>
      </c>
      <c r="C7" s="1" t="s">
        <v>9</v>
      </c>
      <c r="D7" s="1" t="s">
        <v>10</v>
      </c>
      <c r="E7" s="1" t="s">
        <v>11</v>
      </c>
      <c r="F7" s="1" t="s">
        <v>12</v>
      </c>
      <c r="G7" s="1" t="s">
        <v>13</v>
      </c>
      <c r="H7" s="1" t="s">
        <v>14</v>
      </c>
      <c r="I7" s="1" t="s">
        <v>15</v>
      </c>
      <c r="J7" s="1" t="s">
        <v>16</v>
      </c>
      <c r="K7" s="1" t="s">
        <v>17</v>
      </c>
      <c r="L7" s="1" t="s">
        <v>18</v>
      </c>
      <c r="M7" s="1" t="s">
        <v>19</v>
      </c>
      <c r="N7" s="1" t="s">
        <v>20</v>
      </c>
      <c r="O7" s="1" t="s">
        <v>21</v>
      </c>
      <c r="P7" s="1" t="s">
        <v>22</v>
      </c>
      <c r="Q7" s="1" t="s">
        <v>23</v>
      </c>
      <c r="R7" s="1" t="s">
        <v>24</v>
      </c>
      <c r="S7" s="1" t="s">
        <v>25</v>
      </c>
      <c r="T7" s="1" t="s">
        <v>26</v>
      </c>
      <c r="U7" s="1" t="s">
        <v>27</v>
      </c>
      <c r="V7" s="1" t="s">
        <v>28</v>
      </c>
      <c r="W7" s="1" t="s">
        <v>29</v>
      </c>
      <c r="X7" s="1" t="s">
        <v>30</v>
      </c>
      <c r="Y7" s="1" t="s">
        <v>31</v>
      </c>
      <c r="Z7" s="1" t="s">
        <v>32</v>
      </c>
      <c r="AA7" s="1" t="s">
        <v>33</v>
      </c>
      <c r="AB7" s="1" t="s">
        <v>34</v>
      </c>
      <c r="AC7" s="1" t="s">
        <v>35</v>
      </c>
      <c r="AD7" s="1" t="s">
        <v>36</v>
      </c>
      <c r="AE7" s="1" t="s">
        <v>37</v>
      </c>
      <c r="AF7" s="1" t="s">
        <v>38</v>
      </c>
      <c r="AG7" s="16" t="s">
        <v>40</v>
      </c>
    </row>
    <row r="8" spans="2:33" ht="30" customHeight="1">
      <c r="B8" s="2" t="s">
        <v>41</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3">
        <f>COUNTA(Setembro[[#This Row],[1]:[30]])</f>
        <v>0</v>
      </c>
    </row>
    <row r="9" spans="2:33" ht="30" customHeight="1">
      <c r="B9" s="36"/>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3"/>
    </row>
    <row r="10" spans="2:33" ht="30" customHeight="1">
      <c r="B10" s="2" t="s">
        <v>43</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3"/>
    </row>
    <row r="11" spans="2:33" ht="30" customHeight="1">
      <c r="B11" s="36"/>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3"/>
    </row>
    <row r="12" spans="2:33" ht="30" customHeight="1">
      <c r="B12" s="2" t="s">
        <v>44</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3">
        <f>COUNTA(Setembro[[#This Row],[1]:[30]])</f>
        <v>0</v>
      </c>
    </row>
    <row r="13" spans="2:33" ht="30" customHeight="1">
      <c r="B13" s="36"/>
      <c r="C13" s="1"/>
      <c r="D13" s="1"/>
      <c r="E13" s="1"/>
      <c r="F13" s="1"/>
      <c r="G13" s="1"/>
      <c r="H13" s="1"/>
      <c r="I13" s="1"/>
      <c r="J13" s="1"/>
      <c r="K13" s="1"/>
      <c r="L13" s="1"/>
      <c r="M13" s="1"/>
      <c r="N13" s="1"/>
      <c r="O13" s="1"/>
      <c r="P13" s="1"/>
      <c r="Q13" s="1"/>
      <c r="R13" s="1"/>
      <c r="S13" s="1"/>
      <c r="T13" s="1"/>
      <c r="U13" s="1"/>
      <c r="V13" s="1"/>
      <c r="W13" s="1"/>
      <c r="X13" s="65"/>
      <c r="Z13" s="1"/>
      <c r="AA13" s="1"/>
      <c r="AB13" s="1"/>
      <c r="AC13" s="1"/>
      <c r="AD13" s="1"/>
      <c r="AE13" s="1"/>
      <c r="AF13" s="1"/>
      <c r="AG13" s="3"/>
    </row>
    <row r="14" spans="2:33" ht="30" customHeight="1">
      <c r="B14" s="2" t="s">
        <v>46</v>
      </c>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3">
        <f>COUNTA(Setembro[[#This Row],[1]:[30]])</f>
        <v>0</v>
      </c>
    </row>
    <row r="15" spans="2:33" ht="30" customHeight="1">
      <c r="B15" s="36"/>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3"/>
    </row>
    <row r="16" spans="2:33" ht="30" customHeight="1">
      <c r="B16" s="2" t="s">
        <v>47</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3">
        <f>COUNTA(Setembro[[#This Row],[1]:[30]])</f>
        <v>0</v>
      </c>
    </row>
    <row r="17" spans="2:33" ht="30" customHeight="1">
      <c r="B17" s="36"/>
      <c r="C17" s="58"/>
      <c r="D17" s="1"/>
      <c r="E17" s="1"/>
      <c r="F17" s="1"/>
      <c r="G17" s="1"/>
      <c r="I17" s="1"/>
      <c r="K17" s="1"/>
      <c r="L17" s="1"/>
      <c r="M17" s="58"/>
      <c r="N17" s="1"/>
      <c r="O17" s="1"/>
      <c r="P17" s="1"/>
      <c r="Q17" s="1"/>
      <c r="R17" s="1"/>
      <c r="S17" s="1"/>
      <c r="T17" s="1"/>
      <c r="U17" s="1"/>
      <c r="V17" s="1"/>
      <c r="W17" s="1"/>
      <c r="Y17" s="1"/>
      <c r="Z17" s="1"/>
      <c r="AA17" s="1"/>
      <c r="AB17" s="1"/>
      <c r="AC17" s="1"/>
      <c r="AD17" s="1"/>
      <c r="AE17" s="1"/>
      <c r="AF17" s="1"/>
      <c r="AG17" s="3"/>
    </row>
    <row r="18" spans="2:33" ht="30" customHeight="1">
      <c r="B18" s="1" t="s">
        <v>48</v>
      </c>
      <c r="C18" s="4">
        <f t="shared" ref="C18:AF18" si="0">COUNTA(C8,C10,C12,C14,C16)</f>
        <v>0</v>
      </c>
      <c r="D18" s="4">
        <f t="shared" si="0"/>
        <v>0</v>
      </c>
      <c r="E18" s="4">
        <f t="shared" si="0"/>
        <v>0</v>
      </c>
      <c r="F18" s="4">
        <f t="shared" si="0"/>
        <v>0</v>
      </c>
      <c r="G18" s="4">
        <f t="shared" si="0"/>
        <v>0</v>
      </c>
      <c r="H18" s="4">
        <f t="shared" si="0"/>
        <v>0</v>
      </c>
      <c r="I18" s="4">
        <f t="shared" si="0"/>
        <v>0</v>
      </c>
      <c r="J18" s="4">
        <f t="shared" si="0"/>
        <v>0</v>
      </c>
      <c r="K18" s="4">
        <f t="shared" si="0"/>
        <v>0</v>
      </c>
      <c r="L18" s="4">
        <f t="shared" si="0"/>
        <v>0</v>
      </c>
      <c r="M18" s="4">
        <f t="shared" si="0"/>
        <v>0</v>
      </c>
      <c r="N18" s="4">
        <f t="shared" si="0"/>
        <v>0</v>
      </c>
      <c r="O18" s="4">
        <f t="shared" si="0"/>
        <v>0</v>
      </c>
      <c r="P18" s="4">
        <f t="shared" si="0"/>
        <v>0</v>
      </c>
      <c r="Q18" s="4">
        <f t="shared" si="0"/>
        <v>0</v>
      </c>
      <c r="R18" s="4">
        <f t="shared" si="0"/>
        <v>0</v>
      </c>
      <c r="S18" s="4">
        <f t="shared" si="0"/>
        <v>0</v>
      </c>
      <c r="T18" s="4">
        <f t="shared" si="0"/>
        <v>0</v>
      </c>
      <c r="U18" s="4">
        <f t="shared" si="0"/>
        <v>0</v>
      </c>
      <c r="V18" s="4">
        <f t="shared" si="0"/>
        <v>0</v>
      </c>
      <c r="W18" s="4">
        <f t="shared" si="0"/>
        <v>0</v>
      </c>
      <c r="X18" s="4">
        <f t="shared" si="0"/>
        <v>0</v>
      </c>
      <c r="Y18" s="4">
        <f t="shared" si="0"/>
        <v>0</v>
      </c>
      <c r="Z18" s="4">
        <f t="shared" si="0"/>
        <v>0</v>
      </c>
      <c r="AA18" s="4">
        <f t="shared" si="0"/>
        <v>0</v>
      </c>
      <c r="AB18" s="4">
        <f t="shared" si="0"/>
        <v>0</v>
      </c>
      <c r="AC18" s="4">
        <f t="shared" si="0"/>
        <v>0</v>
      </c>
      <c r="AD18" s="4">
        <f t="shared" si="0"/>
        <v>0</v>
      </c>
      <c r="AE18" s="4">
        <f t="shared" si="0"/>
        <v>0</v>
      </c>
      <c r="AF18" s="4">
        <f t="shared" si="0"/>
        <v>0</v>
      </c>
      <c r="AG18" s="4"/>
    </row>
  </sheetData>
  <mergeCells count="4">
    <mergeCell ref="B1:AG1"/>
    <mergeCell ref="D3:E3"/>
    <mergeCell ref="N3:O3"/>
    <mergeCell ref="C5:AF5"/>
  </mergeCells>
  <phoneticPr fontId="26" type="noConversion"/>
  <conditionalFormatting sqref="C8:AF17">
    <cfRule type="cellIs" dxfId="340" priority="1" operator="equal">
      <formula>"L"</formula>
    </cfRule>
    <cfRule type="cellIs" dxfId="339" priority="2" operator="equal">
      <formula>"A"</formula>
    </cfRule>
    <cfRule type="expression" priority="3" stopIfTrue="1">
      <formula>C8=""</formula>
    </cfRule>
    <cfRule type="expression" dxfId="338" priority="4" stopIfTrue="1">
      <formula>C8=ChavePersonalizada2</formula>
    </cfRule>
    <cfRule type="expression" dxfId="337" priority="5" stopIfTrue="1">
      <formula>C8=ChavePersonalizada1</formula>
    </cfRule>
    <cfRule type="expression" dxfId="336" priority="6" stopIfTrue="1">
      <formula>C8=ChaveLicençaMédica</formula>
    </cfRule>
    <cfRule type="expression" dxfId="335" priority="7" stopIfTrue="1">
      <formula>C8=ChavePessoal</formula>
    </cfRule>
    <cfRule type="expression" dxfId="334" priority="8" stopIfTrue="1">
      <formula>C8=ChaveFérias</formula>
    </cfRule>
  </conditionalFormatting>
  <conditionalFormatting sqref="AG8:AG17">
    <cfRule type="dataBar" priority="9">
      <dataBar>
        <cfvo type="min"/>
        <cfvo type="formula" val="DATEDIF(DATE(AnoCalendário,2,1),DATE(AnoCalendário,3,1),&quot;d&quot;)"/>
        <color theme="2" tint="-0.249977111117893"/>
      </dataBar>
      <extLst>
        <ext xmlns:x14="http://schemas.microsoft.com/office/spreadsheetml/2009/9/main" uri="{B025F937-C7B1-47D3-B67F-A62EFF666E3E}">
          <x14:id>{1A021984-06A1-41D9-90D2-8C16E885020B}</x14:id>
        </ext>
      </extLst>
    </cfRule>
  </conditionalFormatting>
  <dataValidations count="13">
    <dataValidation allowBlank="1" showInputMessage="1" showErrorMessage="1" prompt="Os dias do mês nesta linha são gerados automaticamente. Insira a falta e o tipo de falta de um funcionário em cada coluna de cada dia do mês. Espaço vazio significa sem faltas." sqref="C7" xr:uid="{9DDE2A21-51EA-3649-A2EE-B04BD18F4ABA}"/>
    <dataValidation allowBlank="1" showInputMessage="1" showErrorMessage="1" prompt="O nome do mês para essa agenda de faltas está nesta célula. Os totais de faltas deste mês estão na última célula da tabela. Selecione os nomes dos funcionários na tabela B." sqref="B1" xr:uid="{6DFC368B-143F-4227-A4A6-6C28DE3DEDAD}"/>
    <dataValidation allowBlank="1" showInputMessage="1" showErrorMessage="1" prompt="Insira um rótulo para descrever a chave personalizada à esquerda." sqref="V3 Q3" xr:uid="{78A0C08E-8142-48B0-A874-A51B640FBD80}"/>
    <dataValidation allowBlank="1" showInputMessage="1" showErrorMessage="1" prompt="Insira uma letra e personalize o rótulo à direita para adicionar outro item de chave." sqref="U3" xr:uid="{CF69E8EE-7FE1-4F36-B3E3-B9A754A7ADD6}"/>
    <dataValidation allowBlank="1" showInputMessage="1" showErrorMessage="1" prompt="A letra &quot;L&quot; indica falta devido à licença médica." sqref="M3" xr:uid="{DAD07E45-5635-4689-A592-C1F1548FC046}"/>
    <dataValidation allowBlank="1" showInputMessage="1" showErrorMessage="1" prompt="A letra &quot;P&quot; indica falta devido a motivos pessoais." sqref="G3" xr:uid="{05694B6B-1AD8-4448-B3DC-DA260C9E0B28}"/>
    <dataValidation allowBlank="1" showInputMessage="1" showErrorMessage="1" prompt="A letra &quot;F&quot; indica falta devido a férias." sqref="C3" xr:uid="{C1F0E1FC-2CFB-44D4-9E00-C6C71E62B207}"/>
    <dataValidation allowBlank="1" showInputMessage="1" showErrorMessage="1" prompt="O título atualizado automaticamente está nesta célula. Para modificar o título, atualize B1 na planilha Janeiro." sqref="B1" xr:uid="{6AD22ECC-7525-4E25-9D13-E5AD6F35475E}"/>
    <dataValidation errorStyle="warning" allowBlank="1" showInputMessage="1" showErrorMessage="1" error="Selecione o nome da lista. Selecione Cancelar e pressione Alt+Seta para baixo e Enter para selecionar um nome." prompt="Insira os nomes dos funcionários na planilha Nomes dos funcionários e selecione um dos nomes da lista nesta coluna. Pressione Alt+Seta para baixo e, em seguida, ENTER para selecionar um nome." sqref="B7" xr:uid="{CAF43558-9108-4C49-8ECF-DCF0EF12D353}"/>
    <dataValidation allowBlank="1" showInputMessage="1" showErrorMessage="1" prompt="Calcula automaticamente o número total de dias em que um funcionário esteve ausente deste mês nesta coluna." sqref="AG7" xr:uid="{5C77DC9E-A1AE-7C41-B518-6426DAF8D1EE}"/>
    <dataValidation allowBlank="1" showInputMessage="1" showErrorMessage="1" prompt="Ano atualizado automaticamente com base no ano inserido na planilha de janeiro." sqref="AG5" xr:uid="{075296AD-6F4A-1446-94E5-CA2E94C7BFCE}"/>
    <dataValidation allowBlank="1" showInputMessage="1" showErrorMessage="1" prompt="Os dias da semana nesta linha são atualizados automaticamente para o mês de acordo com o ano na célula AH4. Cada dia do mês é uma coluna para indicar a falta e o tipo de falta de um funcionário." sqref="C6" xr:uid="{D85777C8-14EB-B748-8BBD-8B9BF124E384}"/>
    <dataValidation allowBlank="1" showInputMessage="1" showErrorMessage="1" prompt="Esta linha define as chaves utilizadas na tabela: a célula C4 é Férias, G4 é Pessoal e K4 é Licença médica. As células N4 e R4 são personalizáveis " sqref="B3" xr:uid="{198D4176-A364-4FB6-9EB6-57CFB4F903D5}"/>
  </dataValidations>
  <pageMargins left="0.7" right="0.7" top="0.75" bottom="0.75" header="0.3" footer="0.3"/>
  <pageSetup paperSize="9" fitToHeight="0" orientation="portrait" verticalDpi="4294967293" r:id="rId1"/>
  <ignoredErrors>
    <ignoredError sqref="AG8 AG12 AG14 AG16" calculatedColumn="1"/>
  </ignoredErrors>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1A021984-06A1-41D9-90D2-8C16E885020B}">
            <x14:dataBar minLength="0" maxLength="100">
              <x14:cfvo type="autoMin"/>
              <x14:cfvo type="formula">
                <xm:f>DATEDIF(DATE(AnoCalendário,2,1),DATE(AnoCalendário,3,1),"d")</xm:f>
              </x14:cfvo>
              <x14:negativeFillColor rgb="FFFF0000"/>
              <x14:axisColor rgb="FF000000"/>
            </x14:dataBar>
          </x14:cfRule>
          <xm:sqref>AG8:AG17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E000000}">
          <x14:formula1>
            <xm:f>Diretores!$B$3:$B$7</xm:f>
          </x14:formula1>
          <xm:sqref>B8:B17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sheetPr>
  <dimension ref="B1:AH18"/>
  <sheetViews>
    <sheetView showGridLines="0" zoomScale="112" zoomScaleNormal="112" workbookViewId="0">
      <selection activeCell="L12" sqref="L12"/>
    </sheetView>
  </sheetViews>
  <sheetFormatPr defaultColWidth="8.7109375" defaultRowHeight="30" customHeight="1"/>
  <cols>
    <col min="1" max="1" width="2.7109375" customWidth="1"/>
    <col min="2" max="2" width="33.42578125" bestFit="1" customWidth="1"/>
    <col min="3" max="33" width="4.7109375" customWidth="1"/>
    <col min="34" max="34" width="14.85546875" customWidth="1"/>
    <col min="35" max="35" width="2.7109375" customWidth="1"/>
  </cols>
  <sheetData>
    <row r="1" spans="2:34" ht="61.5">
      <c r="B1" s="82" t="s">
        <v>58</v>
      </c>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row>
    <row r="2" spans="2:34" ht="15" customHeight="1">
      <c r="B2" s="7"/>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2:34" ht="30" customHeight="1">
      <c r="B3" s="24" t="s">
        <v>1</v>
      </c>
      <c r="C3" s="18" t="s">
        <v>2</v>
      </c>
      <c r="D3" s="79" t="s">
        <v>3</v>
      </c>
      <c r="E3" s="79"/>
      <c r="G3" s="73" t="s">
        <v>4</v>
      </c>
      <c r="H3" s="79" t="s">
        <v>5</v>
      </c>
      <c r="I3" s="79"/>
      <c r="J3" s="79"/>
      <c r="K3" s="79"/>
      <c r="M3" s="17" t="s">
        <v>6</v>
      </c>
      <c r="N3" s="79" t="s">
        <v>7</v>
      </c>
      <c r="O3" s="79"/>
      <c r="P3" s="69"/>
      <c r="Q3" s="38"/>
      <c r="R3" s="38"/>
      <c r="S3" s="38"/>
      <c r="T3" s="38"/>
      <c r="U3" s="32"/>
      <c r="V3" s="38"/>
      <c r="W3" s="34"/>
      <c r="X3" s="34"/>
      <c r="Y3" s="34"/>
    </row>
    <row r="4" spans="2:34" ht="15" customHeight="1">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2:34" ht="23.25">
      <c r="B5" s="5"/>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5">
        <f>AnoCalendário</f>
        <v>2027</v>
      </c>
    </row>
    <row r="6" spans="2:34" ht="30" customHeight="1">
      <c r="B6" s="5"/>
      <c r="C6" s="15" t="str">
        <f>TEXT(WEEKDAY(DATE(AnoCalendário,10,1),1),"ddd")</f>
        <v>sex</v>
      </c>
      <c r="D6" s="15" t="str">
        <f>TEXT(WEEKDAY(DATE(AnoCalendário,10,2),1),"ddd")</f>
        <v>sáb</v>
      </c>
      <c r="E6" s="15" t="str">
        <f>TEXT(WEEKDAY(DATE(AnoCalendário,10,3),1),"ddd")</f>
        <v>dom</v>
      </c>
      <c r="F6" s="15" t="str">
        <f>TEXT(WEEKDAY(DATE(AnoCalendário,10,4),1),"ddd")</f>
        <v>seg</v>
      </c>
      <c r="G6" s="15" t="str">
        <f>TEXT(WEEKDAY(DATE(AnoCalendário,10,5),1),"ddd")</f>
        <v>ter</v>
      </c>
      <c r="H6" s="15" t="str">
        <f>TEXT(WEEKDAY(DATE(AnoCalendário,10,6),1),"ddd")</f>
        <v>qua</v>
      </c>
      <c r="I6" s="15" t="str">
        <f>TEXT(WEEKDAY(DATE(AnoCalendário,10,7),1),"ddd")</f>
        <v>qui</v>
      </c>
      <c r="J6" s="15" t="str">
        <f>TEXT(WEEKDAY(DATE(AnoCalendário,10,8),1),"ddd")</f>
        <v>sex</v>
      </c>
      <c r="K6" s="15" t="str">
        <f>TEXT(WEEKDAY(DATE(AnoCalendário,10,9),1),"ddd")</f>
        <v>sáb</v>
      </c>
      <c r="L6" s="15" t="str">
        <f>TEXT(WEEKDAY(DATE(AnoCalendário,10,10),1),"ddd")</f>
        <v>dom</v>
      </c>
      <c r="M6" s="15" t="str">
        <f>TEXT(WEEKDAY(DATE(AnoCalendário,10,11),1),"ddd")</f>
        <v>seg</v>
      </c>
      <c r="N6" s="15" t="str">
        <f>TEXT(WEEKDAY(DATE(AnoCalendário,10,12),1),"ddd")</f>
        <v>ter</v>
      </c>
      <c r="O6" s="15" t="str">
        <f>TEXT(WEEKDAY(DATE(AnoCalendário,10,13),1),"ddd")</f>
        <v>qua</v>
      </c>
      <c r="P6" s="15" t="str">
        <f>TEXT(WEEKDAY(DATE(AnoCalendário,10,14),1),"ddd")</f>
        <v>qui</v>
      </c>
      <c r="Q6" s="15" t="str">
        <f>TEXT(WEEKDAY(DATE(AnoCalendário,10,15),1),"ddd")</f>
        <v>sex</v>
      </c>
      <c r="R6" s="15" t="str">
        <f>TEXT(WEEKDAY(DATE(AnoCalendário,10,16),1),"ddd")</f>
        <v>sáb</v>
      </c>
      <c r="S6" s="15" t="str">
        <f>TEXT(WEEKDAY(DATE(AnoCalendário,10,17),1),"ddd")</f>
        <v>dom</v>
      </c>
      <c r="T6" s="15" t="str">
        <f>TEXT(WEEKDAY(DATE(AnoCalendário,10,18),1),"ddd")</f>
        <v>seg</v>
      </c>
      <c r="U6" s="15" t="str">
        <f>TEXT(WEEKDAY(DATE(AnoCalendário,10,19),1),"ddd")</f>
        <v>ter</v>
      </c>
      <c r="V6" s="15" t="str">
        <f>TEXT(WEEKDAY(DATE(AnoCalendário,10,20),1),"ddd")</f>
        <v>qua</v>
      </c>
      <c r="W6" s="15" t="str">
        <f>TEXT(WEEKDAY(DATE(AnoCalendário,10,21),1),"ddd")</f>
        <v>qui</v>
      </c>
      <c r="X6" s="15" t="str">
        <f>TEXT(WEEKDAY(DATE(AnoCalendário,10,22),1),"ddd")</f>
        <v>sex</v>
      </c>
      <c r="Y6" s="15" t="str">
        <f>TEXT(WEEKDAY(DATE(AnoCalendário,10,23),1),"ddd")</f>
        <v>sáb</v>
      </c>
      <c r="Z6" s="15" t="str">
        <f>TEXT(WEEKDAY(DATE(AnoCalendário,10,24),1),"ddd")</f>
        <v>dom</v>
      </c>
      <c r="AA6" s="15" t="str">
        <f>TEXT(WEEKDAY(DATE(AnoCalendário,10,25),1),"ddd")</f>
        <v>seg</v>
      </c>
      <c r="AB6" s="15" t="str">
        <f>TEXT(WEEKDAY(DATE(AnoCalendário,10,26),1),"ddd")</f>
        <v>ter</v>
      </c>
      <c r="AC6" s="15" t="str">
        <f>TEXT(WEEKDAY(DATE(AnoCalendário,10,27),1),"ddd")</f>
        <v>qua</v>
      </c>
      <c r="AD6" s="15" t="str">
        <f>TEXT(WEEKDAY(DATE(AnoCalendário,10,28),1),"ddd")</f>
        <v>qui</v>
      </c>
      <c r="AE6" s="15" t="str">
        <f>TEXT(WEEKDAY(DATE(AnoCalendário,10,29),1),"ddd")</f>
        <v>sex</v>
      </c>
      <c r="AF6" s="15" t="str">
        <f>TEXT(WEEKDAY(DATE(AnoCalendário,10,30),1),"ddd")</f>
        <v>sáb</v>
      </c>
      <c r="AG6" s="15" t="str">
        <f>TEXT(WEEKDAY(DATE(AnoCalendário,10,31),1),"ddd")</f>
        <v>dom</v>
      </c>
      <c r="AH6" s="5"/>
    </row>
    <row r="7" spans="2:34" ht="30" customHeight="1">
      <c r="B7" s="20" t="s">
        <v>8</v>
      </c>
      <c r="C7" s="1" t="s">
        <v>9</v>
      </c>
      <c r="D7" s="1" t="s">
        <v>10</v>
      </c>
      <c r="E7" s="1" t="s">
        <v>11</v>
      </c>
      <c r="F7" s="1" t="s">
        <v>12</v>
      </c>
      <c r="G7" s="1" t="s">
        <v>13</v>
      </c>
      <c r="H7" s="1" t="s">
        <v>14</v>
      </c>
      <c r="I7" s="1" t="s">
        <v>15</v>
      </c>
      <c r="J7" s="1" t="s">
        <v>16</v>
      </c>
      <c r="K7" s="1" t="s">
        <v>17</v>
      </c>
      <c r="L7" s="1" t="s">
        <v>18</v>
      </c>
      <c r="M7" s="1" t="s">
        <v>19</v>
      </c>
      <c r="N7" s="1" t="s">
        <v>20</v>
      </c>
      <c r="O7" s="1" t="s">
        <v>21</v>
      </c>
      <c r="P7" s="1" t="s">
        <v>22</v>
      </c>
      <c r="Q7" s="1" t="s">
        <v>23</v>
      </c>
      <c r="R7" s="1" t="s">
        <v>24</v>
      </c>
      <c r="S7" s="1" t="s">
        <v>25</v>
      </c>
      <c r="T7" s="1" t="s">
        <v>26</v>
      </c>
      <c r="U7" s="1" t="s">
        <v>27</v>
      </c>
      <c r="V7" s="1" t="s">
        <v>28</v>
      </c>
      <c r="W7" s="1" t="s">
        <v>29</v>
      </c>
      <c r="X7" s="1" t="s">
        <v>30</v>
      </c>
      <c r="Y7" s="1" t="s">
        <v>31</v>
      </c>
      <c r="Z7" s="1" t="s">
        <v>32</v>
      </c>
      <c r="AA7" s="1" t="s">
        <v>33</v>
      </c>
      <c r="AB7" s="1" t="s">
        <v>34</v>
      </c>
      <c r="AC7" s="1" t="s">
        <v>35</v>
      </c>
      <c r="AD7" s="1" t="s">
        <v>36</v>
      </c>
      <c r="AE7" s="1" t="s">
        <v>37</v>
      </c>
      <c r="AF7" s="1" t="s">
        <v>38</v>
      </c>
      <c r="AG7" s="1" t="s">
        <v>39</v>
      </c>
      <c r="AH7" s="16" t="s">
        <v>40</v>
      </c>
    </row>
    <row r="8" spans="2:34" ht="30" customHeight="1">
      <c r="B8" s="2" t="s">
        <v>41</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3">
        <f>COUNTA(Outubro[[#This Row],[1]:[31]])</f>
        <v>0</v>
      </c>
    </row>
    <row r="9" spans="2:34" ht="30" customHeight="1">
      <c r="B9" s="36"/>
      <c r="C9" s="1"/>
      <c r="D9" s="1"/>
      <c r="E9" s="1"/>
      <c r="G9" s="1"/>
      <c r="I9" s="1"/>
      <c r="J9" s="1"/>
      <c r="K9" s="1"/>
      <c r="L9" s="1"/>
      <c r="M9" s="1"/>
      <c r="N9" s="1"/>
      <c r="O9" s="1"/>
      <c r="P9" s="1"/>
      <c r="Q9" s="1"/>
      <c r="S9" s="67"/>
      <c r="T9" s="1"/>
      <c r="V9" s="1"/>
      <c r="X9" s="1"/>
      <c r="Z9" s="1"/>
      <c r="AA9" s="1"/>
      <c r="AB9" s="1"/>
      <c r="AC9" s="1"/>
      <c r="AF9" s="1"/>
      <c r="AG9" s="37"/>
      <c r="AH9" s="3"/>
    </row>
    <row r="10" spans="2:34" ht="30" customHeight="1">
      <c r="B10" s="2" t="s">
        <v>43</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3">
        <f>COUNTA(Outubro[[#This Row],[1]:[31]])</f>
        <v>0</v>
      </c>
    </row>
    <row r="11" spans="2:34" ht="30" customHeight="1">
      <c r="B11" s="36"/>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37"/>
      <c r="AH11" s="3"/>
    </row>
    <row r="12" spans="2:34" ht="30" customHeight="1">
      <c r="B12" s="2" t="s">
        <v>44</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3">
        <f>COUNTA(Outubro[[#This Row],[1]:[31]])</f>
        <v>0</v>
      </c>
    </row>
    <row r="13" spans="2:34" ht="30" customHeight="1">
      <c r="B13" s="36"/>
      <c r="C13" s="40"/>
      <c r="E13" s="1"/>
      <c r="G13" s="1"/>
      <c r="I13" s="1"/>
      <c r="J13" s="1"/>
      <c r="K13" s="1"/>
      <c r="L13" s="1"/>
      <c r="M13" s="1"/>
      <c r="N13" s="1"/>
      <c r="P13" s="1"/>
      <c r="Q13" s="1"/>
      <c r="R13" s="1"/>
      <c r="S13" s="1"/>
      <c r="T13" s="1"/>
      <c r="U13" s="1"/>
      <c r="V13" s="1"/>
      <c r="W13" s="1"/>
      <c r="X13" s="1"/>
      <c r="Y13" s="1"/>
      <c r="Z13" s="1"/>
      <c r="AA13" s="1"/>
      <c r="AB13" s="1"/>
      <c r="AC13" s="1"/>
      <c r="AD13" s="1"/>
      <c r="AF13" s="1"/>
      <c r="AG13" s="37"/>
      <c r="AH13" s="3"/>
    </row>
    <row r="14" spans="2:34" ht="30" customHeight="1">
      <c r="B14" s="2" t="s">
        <v>46</v>
      </c>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3">
        <f>COUNTA(Outubro[[#This Row],[1]:[31]])</f>
        <v>0</v>
      </c>
    </row>
    <row r="15" spans="2:34" ht="30" customHeight="1">
      <c r="B15" s="36"/>
      <c r="C15" s="1"/>
      <c r="D15" s="1"/>
      <c r="E15" s="1"/>
      <c r="G15" s="1"/>
      <c r="H15" s="1"/>
      <c r="I15" s="1"/>
      <c r="J15" s="1"/>
      <c r="K15" s="1"/>
      <c r="L15" s="1"/>
      <c r="M15" s="1"/>
      <c r="N15" s="1"/>
      <c r="O15" s="1"/>
      <c r="Q15" s="1"/>
      <c r="R15" s="1"/>
      <c r="S15" s="1"/>
      <c r="T15" s="1"/>
      <c r="U15" s="1"/>
      <c r="V15" s="1"/>
      <c r="W15" s="1"/>
      <c r="X15" s="1"/>
      <c r="Y15" s="1"/>
      <c r="Z15" s="1"/>
      <c r="AC15" s="1"/>
      <c r="AD15" s="1"/>
      <c r="AF15" s="1"/>
      <c r="AG15" s="37"/>
      <c r="AH15" s="3"/>
    </row>
    <row r="16" spans="2:34" ht="30" customHeight="1">
      <c r="B16" s="2" t="s">
        <v>47</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3">
        <f>COUNTA(Outubro[[#This Row],[1]:[31]])</f>
        <v>0</v>
      </c>
    </row>
    <row r="17" spans="2:34" ht="30" customHeight="1">
      <c r="B17" s="36"/>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37"/>
      <c r="AH17" s="3"/>
    </row>
    <row r="18" spans="2:34" ht="30" customHeight="1">
      <c r="B18" s="1" t="s">
        <v>48</v>
      </c>
      <c r="C18" s="4">
        <f>COUNTA(C8,C10,C12,C14,C16)</f>
        <v>0</v>
      </c>
      <c r="D18" s="4">
        <f t="shared" ref="D18:AF18" si="0">COUNTA(D8,D10,D12,D14,D16)</f>
        <v>0</v>
      </c>
      <c r="E18" s="4">
        <f t="shared" si="0"/>
        <v>0</v>
      </c>
      <c r="F18" s="4">
        <f t="shared" si="0"/>
        <v>0</v>
      </c>
      <c r="G18" s="4">
        <f t="shared" si="0"/>
        <v>0</v>
      </c>
      <c r="H18" s="4">
        <f t="shared" si="0"/>
        <v>0</v>
      </c>
      <c r="I18" s="4">
        <f t="shared" si="0"/>
        <v>0</v>
      </c>
      <c r="J18" s="4">
        <f t="shared" si="0"/>
        <v>0</v>
      </c>
      <c r="K18" s="4">
        <f t="shared" si="0"/>
        <v>0</v>
      </c>
      <c r="L18" s="4">
        <f t="shared" si="0"/>
        <v>0</v>
      </c>
      <c r="M18" s="4">
        <f t="shared" si="0"/>
        <v>0</v>
      </c>
      <c r="N18" s="4">
        <f t="shared" si="0"/>
        <v>0</v>
      </c>
      <c r="O18" s="4">
        <f t="shared" si="0"/>
        <v>0</v>
      </c>
      <c r="P18" s="4">
        <f t="shared" si="0"/>
        <v>0</v>
      </c>
      <c r="Q18" s="4">
        <f t="shared" si="0"/>
        <v>0</v>
      </c>
      <c r="R18" s="4">
        <f t="shared" si="0"/>
        <v>0</v>
      </c>
      <c r="S18" s="4">
        <f t="shared" si="0"/>
        <v>0</v>
      </c>
      <c r="T18" s="4">
        <f t="shared" si="0"/>
        <v>0</v>
      </c>
      <c r="U18" s="4">
        <f t="shared" si="0"/>
        <v>0</v>
      </c>
      <c r="V18" s="4">
        <f t="shared" si="0"/>
        <v>0</v>
      </c>
      <c r="W18" s="4">
        <f t="shared" si="0"/>
        <v>0</v>
      </c>
      <c r="X18" s="4">
        <f t="shared" si="0"/>
        <v>0</v>
      </c>
      <c r="Y18" s="4">
        <f t="shared" si="0"/>
        <v>0</v>
      </c>
      <c r="Z18" s="4">
        <f t="shared" si="0"/>
        <v>0</v>
      </c>
      <c r="AA18" s="4">
        <f t="shared" si="0"/>
        <v>0</v>
      </c>
      <c r="AB18" s="4">
        <f t="shared" si="0"/>
        <v>0</v>
      </c>
      <c r="AC18" s="4">
        <f t="shared" si="0"/>
        <v>0</v>
      </c>
      <c r="AD18" s="4">
        <f t="shared" si="0"/>
        <v>0</v>
      </c>
      <c r="AE18" s="4">
        <f t="shared" si="0"/>
        <v>0</v>
      </c>
      <c r="AF18" s="4">
        <f t="shared" si="0"/>
        <v>0</v>
      </c>
      <c r="AG18" s="4">
        <f>COUNTA(AG8,AG10,AG12,AG14,AG16)</f>
        <v>0</v>
      </c>
      <c r="AH18" s="4"/>
    </row>
  </sheetData>
  <mergeCells count="5">
    <mergeCell ref="B1:AH1"/>
    <mergeCell ref="D3:E3"/>
    <mergeCell ref="H3:K3"/>
    <mergeCell ref="N3:O3"/>
    <mergeCell ref="C5:AG5"/>
  </mergeCells>
  <phoneticPr fontId="26" type="noConversion"/>
  <conditionalFormatting sqref="C13">
    <cfRule type="cellIs" dxfId="266" priority="1" operator="equal">
      <formula>"L"</formula>
    </cfRule>
    <cfRule type="cellIs" dxfId="265" priority="2" operator="equal">
      <formula>"A"</formula>
    </cfRule>
    <cfRule type="cellIs" dxfId="264" priority="3" operator="equal">
      <formula>"A"</formula>
    </cfRule>
    <cfRule type="cellIs" dxfId="263" priority="4" operator="equal">
      <formula>"A"</formula>
    </cfRule>
    <cfRule type="expression" priority="5" stopIfTrue="1">
      <formula>C13=""</formula>
    </cfRule>
    <cfRule type="expression" dxfId="262" priority="6" stopIfTrue="1">
      <formula>C13=ChavePersonalizada2</formula>
    </cfRule>
    <cfRule type="expression" dxfId="261" priority="7" stopIfTrue="1">
      <formula>C13=ChavePersonalizada1</formula>
    </cfRule>
    <cfRule type="expression" dxfId="260" priority="8" stopIfTrue="1">
      <formula>C13=ChaveLicençaMédica</formula>
    </cfRule>
    <cfRule type="expression" dxfId="259" priority="9" stopIfTrue="1">
      <formula>C13=ChavePessoal</formula>
    </cfRule>
    <cfRule type="expression" dxfId="258" priority="10" stopIfTrue="1">
      <formula>C13=ChaveFérias</formula>
    </cfRule>
  </conditionalFormatting>
  <conditionalFormatting sqref="C8:AG12 D13:AG13 C14:AG17">
    <cfRule type="cellIs" dxfId="257" priority="11" operator="equal">
      <formula>"L"</formula>
    </cfRule>
    <cfRule type="cellIs" dxfId="256" priority="12" operator="equal">
      <formula>"A"</formula>
    </cfRule>
    <cfRule type="expression" priority="13" stopIfTrue="1">
      <formula>C8=""</formula>
    </cfRule>
    <cfRule type="expression" dxfId="255" priority="14" stopIfTrue="1">
      <formula>C8=ChavePersonalizada2</formula>
    </cfRule>
    <cfRule type="expression" dxfId="254" priority="15" stopIfTrue="1">
      <formula>C8=ChavePersonalizada1</formula>
    </cfRule>
    <cfRule type="expression" dxfId="253" priority="16" stopIfTrue="1">
      <formula>C8=ChaveLicençaMédica</formula>
    </cfRule>
    <cfRule type="expression" dxfId="252" priority="17" stopIfTrue="1">
      <formula>C8=ChavePessoal</formula>
    </cfRule>
    <cfRule type="expression" dxfId="251" priority="18" stopIfTrue="1">
      <formula>C8=ChaveFérias</formula>
    </cfRule>
  </conditionalFormatting>
  <conditionalFormatting sqref="AH8:AH17">
    <cfRule type="dataBar" priority="19">
      <dataBar>
        <cfvo type="min"/>
        <cfvo type="formula" val="DATEDIF(DATE(AnoCalendário,2,1),DATE(AnoCalendário,3,1),&quot;d&quot;)"/>
        <color theme="2" tint="-0.249977111117893"/>
      </dataBar>
      <extLst>
        <ext xmlns:x14="http://schemas.microsoft.com/office/spreadsheetml/2009/9/main" uri="{B025F937-C7B1-47D3-B67F-A62EFF666E3E}">
          <x14:id>{F32A08EA-50E8-4B5F-AB1F-5A7739FBC16C}</x14:id>
        </ext>
      </extLst>
    </cfRule>
  </conditionalFormatting>
  <dataValidations count="13">
    <dataValidation allowBlank="1" showInputMessage="1" showErrorMessage="1" prompt="Os dias da semana nesta linha são atualizados automaticamente para o mês de acordo com o ano na célula AH4. Cada dia do mês é uma coluna para indicar a falta e o tipo de falta de um funcionário." sqref="C6" xr:uid="{6C3B7250-7883-E447-A5BD-190F9EC85610}"/>
    <dataValidation allowBlank="1" showInputMessage="1" showErrorMessage="1" prompt="Ano atualizado automaticamente com base no ano inserido na planilha de janeiro." sqref="AH5" xr:uid="{856FAEF4-8645-3447-91CD-944E3DA437F4}"/>
    <dataValidation allowBlank="1" showInputMessage="1" showErrorMessage="1" prompt="Calcula automaticamente o número total de dias em que um funcionário esteve ausente deste mês nesta coluna." sqref="AH7" xr:uid="{460C2673-D90D-514F-89AA-D6D7BDC2B7D4}"/>
    <dataValidation errorStyle="warning" allowBlank="1" showInputMessage="1" showErrorMessage="1" error="Selecione o nome da lista. Selecione Cancelar e pressione Alt+Seta para baixo e Enter para selecionar um nome." prompt="Insira os nomes dos funcionários na planilha Nomes dos funcionários e selecione um dos nomes da lista nesta coluna. Pressione Alt+Seta para baixo e, em seguida, ENTER para selecionar um nome." sqref="B7" xr:uid="{206A4A4D-BDF9-46D6-831F-D06771C11CA9}"/>
    <dataValidation allowBlank="1" showInputMessage="1" showErrorMessage="1" prompt="A letra &quot;F&quot; indica falta devido a férias." sqref="C3" xr:uid="{6B4957B2-317E-476E-AB19-27588B4389B2}"/>
    <dataValidation allowBlank="1" showInputMessage="1" showErrorMessage="1" prompt="A letra &quot;P&quot; indica falta devido a motivos pessoais." sqref="G3" xr:uid="{6B04E950-3842-4D78-8E18-B6CA2E819C29}"/>
    <dataValidation allowBlank="1" showInputMessage="1" showErrorMessage="1" prompt="A letra &quot;L&quot; indica falta devido à licença médica." sqref="M3" xr:uid="{ABFF2FB9-6202-4123-B128-FAAEE03BD3D8}"/>
    <dataValidation allowBlank="1" showInputMessage="1" showErrorMessage="1" prompt="Insira uma letra e personalize o rótulo à direita para adicionar outro item de chave." sqref="U3" xr:uid="{51E398A9-6626-49B9-8B5E-0134A438C6D5}"/>
    <dataValidation allowBlank="1" showInputMessage="1" showErrorMessage="1" prompt="Insira um rótulo para descrever a chave personalizada à esquerda." sqref="V3 Q3" xr:uid="{6848082C-681A-4789-8CE5-E69D9CE323BF}"/>
    <dataValidation allowBlank="1" showInputMessage="1" showErrorMessage="1" prompt="O nome do mês para essa agenda de faltas está nesta célula. Os totais de faltas deste mês estão na última célula da tabela. Selecione os nomes dos funcionários na tabela B." sqref="B1" xr:uid="{B030D16F-48FB-479E-87F2-C067166F23F0}"/>
    <dataValidation allowBlank="1" showInputMessage="1" showErrorMessage="1" prompt="Os dias do mês nesta linha são gerados automaticamente. Insira a falta e o tipo de falta de um funcionário em cada coluna de cada dia do mês. Espaço vazio significa sem faltas." sqref="C7" xr:uid="{E2589F34-72AD-7946-9C30-9FD4409BBCB4}"/>
    <dataValidation allowBlank="1" showInputMessage="1" showErrorMessage="1" prompt="Esta linha define as chaves utilizadas na tabela: a célula C4 é Férias, G4 é Pessoal e K4 é Licença médica. As células N4 e R4 são personalizáveis " sqref="B3" xr:uid="{FB1DC487-7164-4BAD-9A25-200A4CE16C85}"/>
    <dataValidation allowBlank="1" showInputMessage="1" showErrorMessage="1" prompt="O título atualizado automaticamente está nesta célula. Para modificar o título, atualize B1 na planilha Janeiro." sqref="B1" xr:uid="{13BE7079-A127-4F82-9A5C-641FDD72A7F8}"/>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F32A08EA-50E8-4B5F-AB1F-5A7739FBC16C}">
            <x14:dataBar minLength="0" maxLength="100">
              <x14:cfvo type="autoMin"/>
              <x14:cfvo type="formula">
                <xm:f>DATEDIF(DATE(AnoCalendário,2,1),DATE(AnoCalendário,3,1),"d")</xm:f>
              </x14:cfvo>
              <x14:negativeFillColor rgb="FFFF0000"/>
              <x14:axisColor rgb="FF000000"/>
            </x14:dataBar>
          </x14:cfRule>
          <xm:sqref>AH8:AH17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E000000}">
          <x14:formula1>
            <xm:f>Diretores!$B$3:$B$7</xm:f>
          </x14:formula1>
          <xm:sqref>B8:B17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sheetPr>
  <dimension ref="B1:AG18"/>
  <sheetViews>
    <sheetView showGridLines="0" zoomScale="80" zoomScaleNormal="80" workbookViewId="0">
      <selection activeCell="M14" sqref="M14"/>
    </sheetView>
  </sheetViews>
  <sheetFormatPr defaultColWidth="8.7109375" defaultRowHeight="30" customHeight="1"/>
  <cols>
    <col min="1" max="1" width="2.7109375" customWidth="1"/>
    <col min="2" max="2" width="33.42578125" bestFit="1" customWidth="1"/>
    <col min="3" max="3" width="4.85546875" customWidth="1"/>
    <col min="4" max="8" width="4.7109375" customWidth="1"/>
    <col min="9" max="9" width="5.140625" customWidth="1"/>
    <col min="10" max="32" width="4.7109375" customWidth="1"/>
    <col min="33" max="33" width="14.85546875" customWidth="1"/>
    <col min="34" max="34" width="2.7109375" customWidth="1"/>
  </cols>
  <sheetData>
    <row r="1" spans="2:33" ht="61.5">
      <c r="B1" s="82" t="s">
        <v>59</v>
      </c>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row>
    <row r="2" spans="2:33" ht="15" customHeight="1">
      <c r="B2" s="7"/>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row>
    <row r="3" spans="2:33" ht="30" customHeight="1">
      <c r="B3" s="24" t="s">
        <v>1</v>
      </c>
      <c r="C3" s="18" t="s">
        <v>2</v>
      </c>
      <c r="D3" s="79" t="s">
        <v>3</v>
      </c>
      <c r="E3" s="79"/>
      <c r="G3" s="73" t="s">
        <v>4</v>
      </c>
      <c r="H3" s="79" t="s">
        <v>5</v>
      </c>
      <c r="I3" s="79"/>
      <c r="J3" s="79"/>
      <c r="K3" s="79"/>
      <c r="M3" s="17" t="s">
        <v>6</v>
      </c>
      <c r="N3" s="79" t="s">
        <v>7</v>
      </c>
      <c r="O3" s="79"/>
      <c r="P3" s="34"/>
      <c r="Q3" s="38"/>
      <c r="R3" s="38"/>
      <c r="S3" s="38"/>
      <c r="T3" s="38"/>
      <c r="U3" s="32"/>
      <c r="V3" s="38"/>
      <c r="W3" s="34"/>
      <c r="X3" s="34"/>
      <c r="Y3" s="34"/>
    </row>
    <row r="4" spans="2:33" ht="15" customHeight="1">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row>
    <row r="5" spans="2:33" ht="17.25" customHeight="1">
      <c r="B5" s="5"/>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5">
        <f>AnoCalendário</f>
        <v>2027</v>
      </c>
    </row>
    <row r="6" spans="2:33" ht="21.75" customHeight="1">
      <c r="B6" s="5"/>
      <c r="C6" s="15" t="str">
        <f>TEXT(WEEKDAY(DATE(AnoCalendário,11,1),1),"ddd")</f>
        <v>seg</v>
      </c>
      <c r="D6" s="15" t="str">
        <f>TEXT(WEEKDAY(DATE(AnoCalendário,11,2),1),"ddd")</f>
        <v>ter</v>
      </c>
      <c r="E6" s="15" t="str">
        <f>TEXT(WEEKDAY(DATE(AnoCalendário,11,3),1),"ddd")</f>
        <v>qua</v>
      </c>
      <c r="F6" s="15" t="str">
        <f>TEXT(WEEKDAY(DATE(AnoCalendário,11,4),1),"ddd")</f>
        <v>qui</v>
      </c>
      <c r="G6" s="15" t="str">
        <f>TEXT(WEEKDAY(DATE(AnoCalendário,11,5),1),"ddd")</f>
        <v>sex</v>
      </c>
      <c r="H6" s="15" t="str">
        <f>TEXT(WEEKDAY(DATE(AnoCalendário,11,6),1),"ddd")</f>
        <v>sáb</v>
      </c>
      <c r="I6" s="15" t="str">
        <f>TEXT(WEEKDAY(DATE(AnoCalendário,11,7),1),"ddd")</f>
        <v>dom</v>
      </c>
      <c r="J6" s="15" t="str">
        <f>TEXT(WEEKDAY(DATE(AnoCalendário,11,8),1),"ddd")</f>
        <v>seg</v>
      </c>
      <c r="K6" s="15" t="str">
        <f>TEXT(WEEKDAY(DATE(AnoCalendário,11,9),1),"ddd")</f>
        <v>ter</v>
      </c>
      <c r="L6" s="15" t="str">
        <f>TEXT(WEEKDAY(DATE(AnoCalendário,11,10),1),"ddd")</f>
        <v>qua</v>
      </c>
      <c r="M6" s="15" t="str">
        <f>TEXT(WEEKDAY(DATE(AnoCalendário,11,11),1),"ddd")</f>
        <v>qui</v>
      </c>
      <c r="N6" s="15" t="str">
        <f>TEXT(WEEKDAY(DATE(AnoCalendário,11,12),1),"ddd")</f>
        <v>sex</v>
      </c>
      <c r="O6" s="15" t="str">
        <f>TEXT(WEEKDAY(DATE(AnoCalendário,11,13),1),"ddd")</f>
        <v>sáb</v>
      </c>
      <c r="P6" s="15" t="str">
        <f>TEXT(WEEKDAY(DATE(AnoCalendário,11,14),1),"ddd")</f>
        <v>dom</v>
      </c>
      <c r="Q6" s="15" t="str">
        <f>TEXT(WEEKDAY(DATE(AnoCalendário,11,15),1),"ddd")</f>
        <v>seg</v>
      </c>
      <c r="R6" s="15" t="str">
        <f>TEXT(WEEKDAY(DATE(AnoCalendário,11,16),1),"ddd")</f>
        <v>ter</v>
      </c>
      <c r="S6" s="15" t="str">
        <f>TEXT(WEEKDAY(DATE(AnoCalendário,11,17),1),"ddd")</f>
        <v>qua</v>
      </c>
      <c r="T6" s="15" t="str">
        <f>TEXT(WEEKDAY(DATE(AnoCalendário,11,18),1),"ddd")</f>
        <v>qui</v>
      </c>
      <c r="U6" s="15" t="str">
        <f>TEXT(WEEKDAY(DATE(AnoCalendário,11,19),1),"ddd")</f>
        <v>sex</v>
      </c>
      <c r="V6" s="15" t="str">
        <f>TEXT(WEEKDAY(DATE(AnoCalendário,11,20),1),"ddd")</f>
        <v>sáb</v>
      </c>
      <c r="W6" s="15" t="str">
        <f>TEXT(WEEKDAY(DATE(AnoCalendário,11,21),1),"ddd")</f>
        <v>dom</v>
      </c>
      <c r="X6" s="15" t="str">
        <f>TEXT(WEEKDAY(DATE(AnoCalendário,11,22),1),"ddd")</f>
        <v>seg</v>
      </c>
      <c r="Y6" s="15" t="str">
        <f>TEXT(WEEKDAY(DATE(AnoCalendário,11,23),1),"ddd")</f>
        <v>ter</v>
      </c>
      <c r="Z6" s="15" t="str">
        <f>TEXT(WEEKDAY(DATE(AnoCalendário,11,24),1),"ddd")</f>
        <v>qua</v>
      </c>
      <c r="AA6" s="15" t="str">
        <f>TEXT(WEEKDAY(DATE(AnoCalendário,11,25),1),"ddd")</f>
        <v>qui</v>
      </c>
      <c r="AB6" s="15" t="str">
        <f>TEXT(WEEKDAY(DATE(AnoCalendário,11,26),1),"ddd")</f>
        <v>sex</v>
      </c>
      <c r="AC6" s="15" t="str">
        <f>TEXT(WEEKDAY(DATE(AnoCalendário,11,27),1),"ddd")</f>
        <v>sáb</v>
      </c>
      <c r="AD6" s="15" t="str">
        <f>TEXT(WEEKDAY(DATE(AnoCalendário,11,28),1),"ddd")</f>
        <v>dom</v>
      </c>
      <c r="AE6" s="15" t="str">
        <f>TEXT(WEEKDAY(DATE(AnoCalendário,11,29),1),"ddd")</f>
        <v>seg</v>
      </c>
      <c r="AF6" s="15" t="str">
        <f>TEXT(WEEKDAY(DATE(AnoCalendário,11,30),1),"ddd")</f>
        <v>ter</v>
      </c>
      <c r="AG6" s="5"/>
    </row>
    <row r="7" spans="2:33" ht="30" customHeight="1">
      <c r="B7" s="20" t="s">
        <v>8</v>
      </c>
      <c r="C7" s="1" t="s">
        <v>9</v>
      </c>
      <c r="D7" s="1" t="s">
        <v>10</v>
      </c>
      <c r="E7" s="1" t="s">
        <v>11</v>
      </c>
      <c r="F7" s="1" t="s">
        <v>12</v>
      </c>
      <c r="G7" s="1" t="s">
        <v>13</v>
      </c>
      <c r="H7" s="1" t="s">
        <v>14</v>
      </c>
      <c r="I7" s="1" t="s">
        <v>15</v>
      </c>
      <c r="J7" s="1" t="s">
        <v>16</v>
      </c>
      <c r="K7" s="1" t="s">
        <v>17</v>
      </c>
      <c r="L7" s="1" t="s">
        <v>18</v>
      </c>
      <c r="M7" s="1" t="s">
        <v>19</v>
      </c>
      <c r="N7" s="1" t="s">
        <v>20</v>
      </c>
      <c r="O7" s="1" t="s">
        <v>21</v>
      </c>
      <c r="P7" s="1" t="s">
        <v>22</v>
      </c>
      <c r="Q7" s="1" t="s">
        <v>23</v>
      </c>
      <c r="R7" s="1" t="s">
        <v>24</v>
      </c>
      <c r="S7" s="1" t="s">
        <v>25</v>
      </c>
      <c r="T7" s="1" t="s">
        <v>26</v>
      </c>
      <c r="U7" s="1" t="s">
        <v>27</v>
      </c>
      <c r="V7" s="1" t="s">
        <v>28</v>
      </c>
      <c r="W7" s="1" t="s">
        <v>29</v>
      </c>
      <c r="X7" s="1" t="s">
        <v>30</v>
      </c>
      <c r="Y7" s="1" t="s">
        <v>31</v>
      </c>
      <c r="Z7" s="1" t="s">
        <v>32</v>
      </c>
      <c r="AA7" s="1" t="s">
        <v>33</v>
      </c>
      <c r="AB7" s="1" t="s">
        <v>34</v>
      </c>
      <c r="AC7" s="1" t="s">
        <v>35</v>
      </c>
      <c r="AD7" s="1" t="s">
        <v>36</v>
      </c>
      <c r="AE7" s="1" t="s">
        <v>37</v>
      </c>
      <c r="AF7" s="1" t="s">
        <v>38</v>
      </c>
      <c r="AG7" s="16" t="s">
        <v>40</v>
      </c>
    </row>
    <row r="8" spans="2:33" ht="30" customHeight="1">
      <c r="B8" s="2" t="s">
        <v>41</v>
      </c>
      <c r="C8" s="1"/>
      <c r="D8" s="1"/>
      <c r="E8" s="1"/>
      <c r="F8" s="1"/>
      <c r="G8" s="1"/>
      <c r="H8" s="1"/>
      <c r="I8" s="1"/>
      <c r="J8" s="1"/>
      <c r="K8" s="1"/>
      <c r="L8" s="1"/>
      <c r="M8" s="1"/>
      <c r="N8" s="1"/>
      <c r="O8" s="1"/>
      <c r="P8" s="1"/>
      <c r="Q8" s="1"/>
      <c r="R8" s="1" t="s">
        <v>2</v>
      </c>
      <c r="S8" s="1" t="s">
        <v>2</v>
      </c>
      <c r="T8" s="1" t="s">
        <v>2</v>
      </c>
      <c r="U8" s="1" t="s">
        <v>2</v>
      </c>
      <c r="V8" s="1"/>
      <c r="W8" s="1"/>
      <c r="X8" s="1"/>
      <c r="Y8" s="1"/>
      <c r="Z8" s="1"/>
      <c r="AA8" s="1"/>
      <c r="AB8" s="1"/>
      <c r="AC8" s="1"/>
      <c r="AD8" s="1"/>
      <c r="AE8" s="1"/>
      <c r="AF8" s="1"/>
      <c r="AG8" s="41">
        <f>COUNTA(Novembro[[#This Row],[1]:[30]])</f>
        <v>4</v>
      </c>
    </row>
    <row r="9" spans="2:33" ht="30" customHeight="1">
      <c r="B9" s="36"/>
      <c r="D9" s="1"/>
      <c r="E9" s="1"/>
      <c r="F9" s="1"/>
      <c r="G9" s="1"/>
      <c r="H9" s="1"/>
      <c r="I9" s="1"/>
      <c r="J9" s="1"/>
      <c r="K9" s="1"/>
      <c r="M9" s="1"/>
      <c r="O9" s="1"/>
      <c r="P9" s="1"/>
      <c r="Q9" s="1"/>
      <c r="R9" s="1"/>
      <c r="S9" s="1" t="s">
        <v>60</v>
      </c>
      <c r="U9" s="1"/>
      <c r="W9" s="1"/>
      <c r="X9" s="1"/>
      <c r="Z9" s="1"/>
      <c r="AA9" s="1"/>
      <c r="AB9" s="1"/>
      <c r="AC9" s="1"/>
      <c r="AD9" s="1"/>
      <c r="AE9" s="1"/>
      <c r="AF9" s="1"/>
      <c r="AG9" s="41"/>
    </row>
    <row r="10" spans="2:33" ht="30" customHeight="1">
      <c r="B10" s="2" t="s">
        <v>43</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3">
        <f>COUNTA(Novembro[[#This Row],[1]:[30]])</f>
        <v>0</v>
      </c>
    </row>
    <row r="11" spans="2:33" ht="30" customHeight="1">
      <c r="B11" s="36"/>
      <c r="C11" s="1"/>
      <c r="D11" s="1"/>
      <c r="E11" s="1"/>
      <c r="F11" s="40"/>
      <c r="H11" s="1"/>
      <c r="I11" s="1"/>
      <c r="J11" s="1"/>
      <c r="K11" s="1"/>
      <c r="L11" s="1"/>
      <c r="M11" s="1"/>
      <c r="N11" s="1"/>
      <c r="O11" s="1"/>
      <c r="P11" s="1"/>
      <c r="Q11" s="1"/>
      <c r="R11" s="1"/>
      <c r="S11" s="1"/>
      <c r="T11" s="1"/>
      <c r="U11" s="1"/>
      <c r="V11" s="1"/>
      <c r="W11" s="1"/>
      <c r="X11" s="1"/>
      <c r="Y11" s="1"/>
      <c r="Z11" s="1"/>
      <c r="AA11" s="1"/>
      <c r="AB11" s="1"/>
      <c r="AC11" s="1"/>
      <c r="AD11" s="1"/>
      <c r="AE11" s="1"/>
      <c r="AF11" s="1"/>
      <c r="AG11" s="3"/>
    </row>
    <row r="12" spans="2:33" ht="30" customHeight="1">
      <c r="B12" s="2" t="s">
        <v>44</v>
      </c>
      <c r="C12" s="1"/>
      <c r="D12" s="1"/>
      <c r="E12" s="1"/>
      <c r="F12" s="1"/>
      <c r="H12" s="1"/>
      <c r="I12" s="1"/>
      <c r="J12" s="1"/>
      <c r="K12" s="1"/>
      <c r="L12" s="1"/>
      <c r="M12" s="1"/>
      <c r="N12" s="1"/>
      <c r="O12" s="1"/>
      <c r="P12" s="1"/>
      <c r="Q12" s="1"/>
      <c r="R12" s="1"/>
      <c r="S12" s="1"/>
      <c r="T12" s="1"/>
      <c r="U12" s="1"/>
      <c r="V12" s="1"/>
      <c r="W12" s="1"/>
      <c r="X12" s="1"/>
      <c r="Y12" s="1"/>
      <c r="Z12" s="1"/>
      <c r="AA12" s="1"/>
      <c r="AB12" s="1"/>
      <c r="AC12" s="1"/>
      <c r="AD12" s="1"/>
      <c r="AE12" s="1"/>
      <c r="AF12" s="1"/>
      <c r="AG12" s="3">
        <f>COUNTA(Novembro[[#This Row],[1]:[30]])</f>
        <v>0</v>
      </c>
    </row>
    <row r="13" spans="2:33" ht="30" customHeight="1">
      <c r="B13" s="36"/>
      <c r="D13" s="1"/>
      <c r="E13" s="1"/>
      <c r="F13" s="1"/>
      <c r="G13" s="1"/>
      <c r="H13" s="1"/>
      <c r="I13" s="1"/>
      <c r="J13" s="1"/>
      <c r="K13" s="1"/>
      <c r="L13" s="1"/>
      <c r="N13" s="1"/>
      <c r="O13" s="1"/>
      <c r="P13" s="1"/>
      <c r="Q13" s="1"/>
      <c r="R13" s="1"/>
      <c r="S13" s="1"/>
      <c r="T13" s="1"/>
      <c r="U13" s="1"/>
      <c r="V13" s="1"/>
      <c r="W13" s="1"/>
      <c r="X13" s="1"/>
      <c r="Y13" s="1"/>
      <c r="Z13" s="1"/>
      <c r="AA13" s="1"/>
      <c r="AB13" s="1"/>
      <c r="AC13" s="1"/>
      <c r="AD13" s="1"/>
      <c r="AE13" s="1"/>
      <c r="AF13" s="1"/>
      <c r="AG13" s="3"/>
    </row>
    <row r="14" spans="2:33" ht="30" customHeight="1">
      <c r="B14" s="2" t="s">
        <v>46</v>
      </c>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3">
        <f>COUNTA(Novembro[[#This Row],[1]:[30]])</f>
        <v>0</v>
      </c>
    </row>
    <row r="15" spans="2:33" ht="30" customHeight="1">
      <c r="B15" s="36"/>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3"/>
    </row>
    <row r="16" spans="2:33" ht="30" customHeight="1">
      <c r="B16" s="2" t="s">
        <v>47</v>
      </c>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3">
        <f>COUNTA(Novembro[[#This Row],[1]:[30]])</f>
        <v>0</v>
      </c>
    </row>
    <row r="17" spans="2:33" ht="30" customHeight="1">
      <c r="B17" s="36"/>
      <c r="C17" s="1"/>
      <c r="D17" s="1"/>
      <c r="F17" s="1"/>
      <c r="G17" s="1"/>
      <c r="H17" s="1"/>
      <c r="I17" s="1"/>
      <c r="J17" s="1"/>
      <c r="K17" s="1"/>
      <c r="L17" s="1"/>
      <c r="M17" s="1"/>
      <c r="O17" s="1"/>
      <c r="P17" s="1"/>
      <c r="Q17" s="1"/>
      <c r="R17" s="1"/>
      <c r="S17" s="1"/>
      <c r="U17" s="40"/>
      <c r="V17" s="1"/>
      <c r="W17" s="1"/>
      <c r="X17" s="1"/>
      <c r="Z17" s="1"/>
      <c r="AA17" s="1"/>
      <c r="AB17" s="1"/>
      <c r="AC17" s="1"/>
      <c r="AD17" s="1"/>
      <c r="AE17" s="1"/>
      <c r="AF17" s="1"/>
      <c r="AG17" s="3"/>
    </row>
    <row r="18" spans="2:33" ht="30" customHeight="1">
      <c r="B18" s="1" t="s">
        <v>48</v>
      </c>
      <c r="C18" s="4">
        <f t="shared" ref="C18:AF18" si="0">COUNTA(C8,C10,C12,C14,C16)</f>
        <v>0</v>
      </c>
      <c r="D18" s="4">
        <f t="shared" si="0"/>
        <v>0</v>
      </c>
      <c r="E18" s="4">
        <f t="shared" si="0"/>
        <v>0</v>
      </c>
      <c r="F18" s="4">
        <f t="shared" si="0"/>
        <v>0</v>
      </c>
      <c r="G18" s="4">
        <f t="shared" si="0"/>
        <v>0</v>
      </c>
      <c r="H18" s="4">
        <f t="shared" si="0"/>
        <v>0</v>
      </c>
      <c r="I18" s="4">
        <f t="shared" si="0"/>
        <v>0</v>
      </c>
      <c r="J18" s="4">
        <f t="shared" si="0"/>
        <v>0</v>
      </c>
      <c r="K18" s="4">
        <f t="shared" si="0"/>
        <v>0</v>
      </c>
      <c r="L18" s="4">
        <f t="shared" si="0"/>
        <v>0</v>
      </c>
      <c r="M18" s="4">
        <f t="shared" si="0"/>
        <v>0</v>
      </c>
      <c r="N18" s="4">
        <f t="shared" si="0"/>
        <v>0</v>
      </c>
      <c r="O18" s="4">
        <f t="shared" si="0"/>
        <v>0</v>
      </c>
      <c r="P18" s="4">
        <f t="shared" si="0"/>
        <v>0</v>
      </c>
      <c r="Q18" s="4">
        <f t="shared" si="0"/>
        <v>0</v>
      </c>
      <c r="R18" s="4">
        <f t="shared" si="0"/>
        <v>1</v>
      </c>
      <c r="S18" s="4">
        <f t="shared" si="0"/>
        <v>1</v>
      </c>
      <c r="T18" s="4">
        <f t="shared" si="0"/>
        <v>1</v>
      </c>
      <c r="U18" s="4">
        <f t="shared" si="0"/>
        <v>1</v>
      </c>
      <c r="V18" s="4">
        <f t="shared" si="0"/>
        <v>0</v>
      </c>
      <c r="W18" s="4">
        <f t="shared" si="0"/>
        <v>0</v>
      </c>
      <c r="X18" s="4">
        <f t="shared" si="0"/>
        <v>0</v>
      </c>
      <c r="Y18" s="4">
        <f t="shared" si="0"/>
        <v>0</v>
      </c>
      <c r="Z18" s="4">
        <f t="shared" si="0"/>
        <v>0</v>
      </c>
      <c r="AA18" s="4">
        <f t="shared" si="0"/>
        <v>0</v>
      </c>
      <c r="AB18" s="4">
        <f t="shared" si="0"/>
        <v>0</v>
      </c>
      <c r="AC18" s="4">
        <f t="shared" si="0"/>
        <v>0</v>
      </c>
      <c r="AD18" s="4">
        <f t="shared" si="0"/>
        <v>0</v>
      </c>
      <c r="AE18" s="4">
        <f t="shared" si="0"/>
        <v>0</v>
      </c>
      <c r="AF18" s="4">
        <f t="shared" si="0"/>
        <v>0</v>
      </c>
      <c r="AG18" s="4"/>
    </row>
  </sheetData>
  <mergeCells count="5">
    <mergeCell ref="B1:AG1"/>
    <mergeCell ref="D3:E3"/>
    <mergeCell ref="H3:K3"/>
    <mergeCell ref="N3:O3"/>
    <mergeCell ref="C5:AF5"/>
  </mergeCells>
  <phoneticPr fontId="26" type="noConversion"/>
  <conditionalFormatting sqref="C8:AF10 C11:E11 G11:AF11 C12:AF16 C17:T17 V17:AF17">
    <cfRule type="cellIs" dxfId="181" priority="41" operator="equal">
      <formula>"L"</formula>
    </cfRule>
    <cfRule type="cellIs" dxfId="180" priority="42" operator="equal">
      <formula>"A"</formula>
    </cfRule>
    <cfRule type="expression" priority="43" stopIfTrue="1">
      <formula>C8=""</formula>
    </cfRule>
    <cfRule type="expression" dxfId="179" priority="44" stopIfTrue="1">
      <formula>C8=ChavePersonalizada2</formula>
    </cfRule>
    <cfRule type="expression" dxfId="178" priority="45" stopIfTrue="1">
      <formula>C8=ChavePersonalizada1</formula>
    </cfRule>
    <cfRule type="expression" dxfId="177" priority="46" stopIfTrue="1">
      <formula>C8=ChaveLicençaMédica</formula>
    </cfRule>
    <cfRule type="expression" dxfId="176" priority="47" stopIfTrue="1">
      <formula>C8=ChavePessoal</formula>
    </cfRule>
    <cfRule type="expression" dxfId="175" priority="48" stopIfTrue="1">
      <formula>C8=ChaveFérias</formula>
    </cfRule>
  </conditionalFormatting>
  <conditionalFormatting sqref="F11">
    <cfRule type="cellIs" dxfId="174" priority="11" operator="equal">
      <formula>"L"</formula>
    </cfRule>
    <cfRule type="cellIs" dxfId="173" priority="12" operator="equal">
      <formula>"A"</formula>
    </cfRule>
    <cfRule type="cellIs" dxfId="172" priority="13" operator="equal">
      <formula>"A"</formula>
    </cfRule>
    <cfRule type="cellIs" dxfId="171" priority="14" operator="equal">
      <formula>"A"</formula>
    </cfRule>
    <cfRule type="expression" priority="15" stopIfTrue="1">
      <formula>F11=""</formula>
    </cfRule>
    <cfRule type="expression" dxfId="170" priority="16" stopIfTrue="1">
      <formula>F11=ChavePersonalizada2</formula>
    </cfRule>
    <cfRule type="expression" dxfId="169" priority="17" stopIfTrue="1">
      <formula>F11=ChavePersonalizada1</formula>
    </cfRule>
    <cfRule type="expression" dxfId="168" priority="18" stopIfTrue="1">
      <formula>F11=ChaveLicençaMédica</formula>
    </cfRule>
    <cfRule type="expression" dxfId="167" priority="19" stopIfTrue="1">
      <formula>F11=ChavePessoal</formula>
    </cfRule>
    <cfRule type="expression" dxfId="166" priority="20" stopIfTrue="1">
      <formula>F11=ChaveFérias</formula>
    </cfRule>
  </conditionalFormatting>
  <conditionalFormatting sqref="U17">
    <cfRule type="cellIs" dxfId="165" priority="1" operator="equal">
      <formula>"L"</formula>
    </cfRule>
    <cfRule type="cellIs" dxfId="164" priority="2" operator="equal">
      <formula>"A"</formula>
    </cfRule>
    <cfRule type="cellIs" dxfId="163" priority="3" operator="equal">
      <formula>"A"</formula>
    </cfRule>
    <cfRule type="cellIs" dxfId="162" priority="4" operator="equal">
      <formula>"A"</formula>
    </cfRule>
    <cfRule type="expression" priority="5" stopIfTrue="1">
      <formula>U17=""</formula>
    </cfRule>
    <cfRule type="expression" dxfId="161" priority="6" stopIfTrue="1">
      <formula>U17=ChavePersonalizada2</formula>
    </cfRule>
    <cfRule type="expression" dxfId="160" priority="7" stopIfTrue="1">
      <formula>U17=ChavePersonalizada1</formula>
    </cfRule>
    <cfRule type="expression" dxfId="159" priority="8" stopIfTrue="1">
      <formula>U17=ChaveLicençaMédica</formula>
    </cfRule>
    <cfRule type="expression" dxfId="158" priority="9" stopIfTrue="1">
      <formula>U17=ChavePessoal</formula>
    </cfRule>
    <cfRule type="expression" dxfId="157" priority="10" stopIfTrue="1">
      <formula>U17=ChaveFérias</formula>
    </cfRule>
  </conditionalFormatting>
  <conditionalFormatting sqref="AG8:AG17">
    <cfRule type="dataBar" priority="210">
      <dataBar>
        <cfvo type="min"/>
        <cfvo type="formula" val="DATEDIF(DATE(AnoCalendário,2,1),DATE(AnoCalendário,3,1),&quot;d&quot;)"/>
        <color theme="2" tint="-0.249977111117893"/>
      </dataBar>
      <extLst>
        <ext xmlns:x14="http://schemas.microsoft.com/office/spreadsheetml/2009/9/main" uri="{B025F937-C7B1-47D3-B67F-A62EFF666E3E}">
          <x14:id>{27D92E49-5CF1-46DF-AD7A-3A5E92F274F3}</x14:id>
        </ext>
      </extLst>
    </cfRule>
  </conditionalFormatting>
  <dataValidations count="13">
    <dataValidation allowBlank="1" showInputMessage="1" showErrorMessage="1" prompt="Os dias do mês nesta linha são gerados automaticamente. Insira a falta e o tipo de falta de um funcionário em cada coluna de cada dia do mês. Espaço vazio significa sem faltas." sqref="C7" xr:uid="{97706874-D6EF-7649-8BB0-992E1F25B736}"/>
    <dataValidation allowBlank="1" showInputMessage="1" showErrorMessage="1" prompt="O nome do mês para essa agenda de faltas está nesta célula. Os totais de faltas deste mês estão na última célula da tabela. Selecione os nomes dos funcionários na tabela B." sqref="B1" xr:uid="{7B6A0CF8-54E4-46F9-85DF-1BAD04E30F76}"/>
    <dataValidation allowBlank="1" showInputMessage="1" showErrorMessage="1" prompt="Esta linha define as chaves utilizadas na tabela: a célula C4 é Férias, G4 é Pessoal e K4 é Licença médica. As células N4 e R4 são personalizáveis " sqref="B3" xr:uid="{07F7DDBF-C72C-4BA7-BE0F-880A5F8DCA40}"/>
    <dataValidation allowBlank="1" showInputMessage="1" showErrorMessage="1" prompt="Insira um rótulo para descrever a chave personalizada à esquerda." sqref="V3 Q3" xr:uid="{110F6F1F-B978-4DA6-80DC-CD59AD379054}"/>
    <dataValidation allowBlank="1" showInputMessage="1" showErrorMessage="1" prompt="Insira uma letra e personalize o rótulo à direita para adicionar outro item de chave." sqref="U3" xr:uid="{49C74D21-C1B6-4947-8B03-6B5B3259C8AB}"/>
    <dataValidation allowBlank="1" showInputMessage="1" showErrorMessage="1" prompt="A letra &quot;L&quot; indica falta devido à licença médica." sqref="M3" xr:uid="{E4AB7764-1DE5-4E72-9E37-015E988C21B6}"/>
    <dataValidation allowBlank="1" showInputMessage="1" showErrorMessage="1" prompt="A letra &quot;P&quot; indica falta devido a motivos pessoais." sqref="G3" xr:uid="{49412E03-C495-4161-AC97-673E3CD72F6B}"/>
    <dataValidation allowBlank="1" showInputMessage="1" showErrorMessage="1" prompt="A letra &quot;F&quot; indica falta devido a férias." sqref="C3" xr:uid="{0E4B26D3-3CAC-4B3D-8A2D-09BA73F3434C}"/>
    <dataValidation allowBlank="1" showInputMessage="1" showErrorMessage="1" prompt="O título atualizado automaticamente está nesta célula. Para modificar o título, atualize B1 na planilha Janeiro." sqref="B1" xr:uid="{1C99D6FD-3F96-469C-8B1C-7D5A101E99A2}"/>
    <dataValidation errorStyle="warning" allowBlank="1" showInputMessage="1" showErrorMessage="1" error="Selecione o nome da lista. Selecione Cancelar e pressione Alt+Seta para baixo e Enter para selecionar um nome." prompt="Insira os nomes dos funcionários na planilha Nomes dos funcionários e selecione um dos nomes da lista nesta coluna. Pressione Alt+Seta para baixo e, em seguida, ENTER para selecionar um nome." sqref="B7" xr:uid="{BF307CEB-72D7-459D-A06F-C842CE0C5F4A}"/>
    <dataValidation allowBlank="1" showInputMessage="1" showErrorMessage="1" prompt="Calcula automaticamente o número total de dias em que um funcionário esteve ausente deste mês nesta coluna." sqref="AG7" xr:uid="{689D502A-5D97-B44F-AA8E-4AB5A8802DDE}"/>
    <dataValidation allowBlank="1" showInputMessage="1" showErrorMessage="1" prompt="Ano atualizado automaticamente com base no ano inserido na planilha de janeiro." sqref="AG5" xr:uid="{CA024147-D189-C949-8452-0A51ECF8D4AA}"/>
    <dataValidation allowBlank="1" showInputMessage="1" showErrorMessage="1" prompt="Os dias da semana nesta linha são atualizados automaticamente para o mês de acordo com o ano na célula AH4. Cada dia do mês é uma coluna para indicar a falta e o tipo de falta de um funcionário." sqref="C6" xr:uid="{DEEC83F4-4C72-7D4D-B442-B00CC4990A25}"/>
  </dataValidations>
  <pageMargins left="0.7" right="0.7" top="0.75" bottom="0.75" header="0.3" footer="0.3"/>
  <pageSetup paperSize="9" fitToHeight="0" orientation="portrait" verticalDpi="4294967293" r:id="rId1"/>
  <ignoredErrors>
    <ignoredError sqref="AG8 AG10 AG12 AG14 AG16" calculatedColumn="1"/>
  </ignoredErrors>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27D92E49-5CF1-46DF-AD7A-3A5E92F274F3}">
            <x14:dataBar minLength="0" maxLength="100">
              <x14:cfvo type="autoMin"/>
              <x14:cfvo type="formula">
                <xm:f>DATEDIF(DATE(AnoCalendário,2,1),DATE(AnoCalendário,3,1),"d")</xm:f>
              </x14:cfvo>
              <x14:negativeFillColor rgb="FFFF0000"/>
              <x14:axisColor rgb="FF000000"/>
            </x14:dataBar>
          </x14:cfRule>
          <xm:sqref>AG8:AG17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E000000}">
          <x14:formula1>
            <xm:f>Diretores!$B$3:$B$7</xm:f>
          </x14:formula1>
          <xm:sqref>B8:B17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B1:AH18"/>
  <sheetViews>
    <sheetView showGridLines="0" zoomScale="110" zoomScaleNormal="110" workbookViewId="0">
      <selection activeCell="J10" sqref="J10"/>
    </sheetView>
  </sheetViews>
  <sheetFormatPr defaultColWidth="8.7109375" defaultRowHeight="30" customHeight="1"/>
  <cols>
    <col min="1" max="1" width="2.7109375" customWidth="1"/>
    <col min="2" max="2" width="33.42578125" bestFit="1" customWidth="1"/>
    <col min="3" max="3" width="5.42578125" customWidth="1"/>
    <col min="4" max="33" width="4.7109375" customWidth="1"/>
    <col min="34" max="34" width="14.85546875" customWidth="1"/>
    <col min="35" max="35" width="2.7109375" customWidth="1"/>
  </cols>
  <sheetData>
    <row r="1" spans="2:34" ht="61.5">
      <c r="B1" s="82" t="s">
        <v>61</v>
      </c>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row>
    <row r="2" spans="2:34" ht="15" customHeight="1">
      <c r="B2" s="7"/>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2:34" ht="30" customHeight="1">
      <c r="B3" s="24" t="s">
        <v>1</v>
      </c>
      <c r="C3" s="18" t="s">
        <v>2</v>
      </c>
      <c r="D3" s="79" t="s">
        <v>3</v>
      </c>
      <c r="E3" s="79"/>
      <c r="G3" s="73" t="s">
        <v>4</v>
      </c>
      <c r="H3" s="79" t="s">
        <v>5</v>
      </c>
      <c r="I3" s="79"/>
      <c r="J3" s="79"/>
      <c r="K3" s="79"/>
      <c r="M3" s="17" t="s">
        <v>6</v>
      </c>
      <c r="N3" s="79" t="s">
        <v>7</v>
      </c>
      <c r="O3" s="79"/>
      <c r="P3" s="34"/>
      <c r="Q3" s="38"/>
      <c r="R3" s="38"/>
      <c r="S3" s="38"/>
      <c r="T3" s="38"/>
      <c r="U3" s="32"/>
      <c r="V3" s="38"/>
      <c r="W3" s="34"/>
      <c r="X3" s="34"/>
      <c r="Y3" s="34"/>
    </row>
    <row r="4" spans="2:34" ht="15" customHeight="1">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2:34" ht="22.5" customHeight="1">
      <c r="B5" s="5"/>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5">
        <f>AnoCalendário</f>
        <v>2027</v>
      </c>
    </row>
    <row r="6" spans="2:34" ht="18" customHeight="1">
      <c r="B6" s="5"/>
      <c r="C6" s="15" t="str">
        <f>TEXT(WEEKDAY(DATE(AnoCalendário,12,1),1),"ddd")</f>
        <v>qua</v>
      </c>
      <c r="D6" s="15" t="str">
        <f>TEXT(WEEKDAY(DATE(AnoCalendário,12,2),1),"ddd")</f>
        <v>qui</v>
      </c>
      <c r="E6" s="15" t="str">
        <f>TEXT(WEEKDAY(DATE(AnoCalendário,12,3),1),"ddd")</f>
        <v>sex</v>
      </c>
      <c r="F6" s="15" t="str">
        <f>TEXT(WEEKDAY(DATE(AnoCalendário,12,4),1),"ddd")</f>
        <v>sáb</v>
      </c>
      <c r="G6" s="15" t="str">
        <f>TEXT(WEEKDAY(DATE(AnoCalendário,12,5),1),"ddd")</f>
        <v>dom</v>
      </c>
      <c r="H6" s="15" t="str">
        <f>TEXT(WEEKDAY(DATE(AnoCalendário,12,6),1),"ddd")</f>
        <v>seg</v>
      </c>
      <c r="I6" s="15" t="str">
        <f>TEXT(WEEKDAY(DATE(AnoCalendário,12,7),1),"ddd")</f>
        <v>ter</v>
      </c>
      <c r="J6" s="15" t="str">
        <f>TEXT(WEEKDAY(DATE(AnoCalendário,12,8),1),"ddd")</f>
        <v>qua</v>
      </c>
      <c r="K6" s="15" t="str">
        <f>TEXT(WEEKDAY(DATE(AnoCalendário,12,9),1),"ddd")</f>
        <v>qui</v>
      </c>
      <c r="L6" s="15" t="str">
        <f>TEXT(WEEKDAY(DATE(AnoCalendário,12,10),1),"ddd")</f>
        <v>sex</v>
      </c>
      <c r="M6" s="15" t="str">
        <f>TEXT(WEEKDAY(DATE(AnoCalendário,12,11),1),"ddd")</f>
        <v>sáb</v>
      </c>
      <c r="N6" s="15" t="str">
        <f>TEXT(WEEKDAY(DATE(AnoCalendário,12,12),1),"ddd")</f>
        <v>dom</v>
      </c>
      <c r="O6" s="15" t="str">
        <f>TEXT(WEEKDAY(DATE(AnoCalendário,12,13),1),"ddd")</f>
        <v>seg</v>
      </c>
      <c r="P6" s="15" t="str">
        <f>TEXT(WEEKDAY(DATE(AnoCalendário,12,14),1),"ddd")</f>
        <v>ter</v>
      </c>
      <c r="Q6" s="15" t="str">
        <f>TEXT(WEEKDAY(DATE(AnoCalendário,12,15),1),"ddd")</f>
        <v>qua</v>
      </c>
      <c r="R6" s="15" t="str">
        <f>TEXT(WEEKDAY(DATE(AnoCalendário,12,16),1),"ddd")</f>
        <v>qui</v>
      </c>
      <c r="S6" s="15" t="str">
        <f>TEXT(WEEKDAY(DATE(AnoCalendário,12,17),1),"ddd")</f>
        <v>sex</v>
      </c>
      <c r="T6" s="15" t="str">
        <f>TEXT(WEEKDAY(DATE(AnoCalendário,12,18),1),"ddd")</f>
        <v>sáb</v>
      </c>
      <c r="U6" s="15" t="str">
        <f>TEXT(WEEKDAY(DATE(AnoCalendário,12,19),1),"ddd")</f>
        <v>dom</v>
      </c>
      <c r="V6" s="15" t="str">
        <f>TEXT(WEEKDAY(DATE(AnoCalendário,12,20),1),"ddd")</f>
        <v>seg</v>
      </c>
      <c r="W6" s="15" t="str">
        <f>TEXT(WEEKDAY(DATE(AnoCalendário,12,21),1),"ddd")</f>
        <v>ter</v>
      </c>
      <c r="X6" s="15" t="str">
        <f>TEXT(WEEKDAY(DATE(AnoCalendário,12,22),1),"ddd")</f>
        <v>qua</v>
      </c>
      <c r="Y6" s="15" t="str">
        <f>TEXT(WEEKDAY(DATE(AnoCalendário,12,23),1),"ddd")</f>
        <v>qui</v>
      </c>
      <c r="Z6" s="15" t="str">
        <f>TEXT(WEEKDAY(DATE(AnoCalendário,12,24),1),"ddd")</f>
        <v>sex</v>
      </c>
      <c r="AA6" s="15" t="str">
        <f>TEXT(WEEKDAY(DATE(AnoCalendário,12,25),1),"ddd")</f>
        <v>sáb</v>
      </c>
      <c r="AB6" s="15" t="str">
        <f>TEXT(WEEKDAY(DATE(AnoCalendário,12,26),1),"ddd")</f>
        <v>dom</v>
      </c>
      <c r="AC6" s="15" t="str">
        <f>TEXT(WEEKDAY(DATE(AnoCalendário,12,27),1),"ddd")</f>
        <v>seg</v>
      </c>
      <c r="AD6" s="15" t="str">
        <f>TEXT(WEEKDAY(DATE(AnoCalendário,12,28),1),"ddd")</f>
        <v>ter</v>
      </c>
      <c r="AE6" s="15" t="str">
        <f>TEXT(WEEKDAY(DATE(AnoCalendário,12,29),1),"ddd")</f>
        <v>qua</v>
      </c>
      <c r="AF6" s="15" t="str">
        <f>TEXT(WEEKDAY(DATE(AnoCalendário,12,30),1),"ddd")</f>
        <v>qui</v>
      </c>
      <c r="AG6" s="15" t="str">
        <f>TEXT(WEEKDAY(DATE(AnoCalendário,12,31),1),"ddd")</f>
        <v>sex</v>
      </c>
      <c r="AH6" s="5"/>
    </row>
    <row r="7" spans="2:34" ht="30" customHeight="1">
      <c r="B7" s="20" t="s">
        <v>8</v>
      </c>
      <c r="C7" s="1" t="s">
        <v>9</v>
      </c>
      <c r="D7" s="1" t="s">
        <v>10</v>
      </c>
      <c r="E7" s="1" t="s">
        <v>11</v>
      </c>
      <c r="F7" s="1" t="s">
        <v>12</v>
      </c>
      <c r="G7" s="1" t="s">
        <v>13</v>
      </c>
      <c r="H7" s="1" t="s">
        <v>14</v>
      </c>
      <c r="I7" s="1" t="s">
        <v>15</v>
      </c>
      <c r="J7" s="1" t="s">
        <v>16</v>
      </c>
      <c r="K7" s="1" t="s">
        <v>17</v>
      </c>
      <c r="L7" s="1" t="s">
        <v>18</v>
      </c>
      <c r="M7" s="1" t="s">
        <v>19</v>
      </c>
      <c r="N7" s="1" t="s">
        <v>20</v>
      </c>
      <c r="O7" s="1" t="s">
        <v>21</v>
      </c>
      <c r="P7" s="1" t="s">
        <v>22</v>
      </c>
      <c r="Q7" s="1" t="s">
        <v>23</v>
      </c>
      <c r="R7" s="1" t="s">
        <v>24</v>
      </c>
      <c r="S7" s="1" t="s">
        <v>25</v>
      </c>
      <c r="T7" s="1" t="s">
        <v>26</v>
      </c>
      <c r="U7" s="1" t="s">
        <v>27</v>
      </c>
      <c r="V7" s="1" t="s">
        <v>28</v>
      </c>
      <c r="W7" s="1" t="s">
        <v>29</v>
      </c>
      <c r="X7" s="1" t="s">
        <v>30</v>
      </c>
      <c r="Y7" s="1" t="s">
        <v>31</v>
      </c>
      <c r="Z7" s="1" t="s">
        <v>32</v>
      </c>
      <c r="AA7" s="1" t="s">
        <v>33</v>
      </c>
      <c r="AB7" s="1" t="s">
        <v>34</v>
      </c>
      <c r="AC7" s="1" t="s">
        <v>35</v>
      </c>
      <c r="AD7" s="1" t="s">
        <v>36</v>
      </c>
      <c r="AE7" s="1" t="s">
        <v>37</v>
      </c>
      <c r="AF7" s="1" t="s">
        <v>38</v>
      </c>
      <c r="AG7" s="1" t="s">
        <v>39</v>
      </c>
      <c r="AH7" s="16" t="s">
        <v>40</v>
      </c>
    </row>
    <row r="8" spans="2:34" ht="30" customHeight="1">
      <c r="B8" s="2" t="s">
        <v>41</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3">
        <f>COUNTA(Dezembro[[#This Row],[1]:[31]])</f>
        <v>0</v>
      </c>
    </row>
    <row r="9" spans="2:34" ht="27.75" customHeight="1">
      <c r="B9" s="36"/>
      <c r="E9" s="1"/>
      <c r="G9" s="1"/>
      <c r="H9" s="1"/>
      <c r="I9" s="1"/>
      <c r="J9" s="1"/>
      <c r="K9" s="1"/>
      <c r="L9" s="1"/>
      <c r="M9" s="1"/>
      <c r="P9" s="1"/>
      <c r="S9" s="1"/>
      <c r="T9" s="1"/>
      <c r="U9" s="1"/>
      <c r="V9" s="1"/>
      <c r="X9" s="1"/>
      <c r="Y9" s="1"/>
      <c r="Z9" s="1"/>
      <c r="AA9" s="1"/>
      <c r="AB9" s="1"/>
      <c r="AC9" s="1"/>
      <c r="AD9" s="1"/>
      <c r="AE9" s="1"/>
      <c r="AF9" s="1"/>
      <c r="AG9" s="37"/>
      <c r="AH9" s="3"/>
    </row>
    <row r="10" spans="2:34" ht="30" customHeight="1">
      <c r="B10" s="2" t="s">
        <v>43</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3">
        <f>COUNTA(Dezembro[[#This Row],[1]:[31]])</f>
        <v>0</v>
      </c>
    </row>
    <row r="11" spans="2:34" ht="25.5" customHeight="1">
      <c r="B11" s="36"/>
      <c r="C11" s="1"/>
      <c r="D11" s="1"/>
      <c r="E11" s="1"/>
      <c r="F11" s="1"/>
      <c r="G11" s="1"/>
      <c r="H11" s="1"/>
      <c r="J11" s="1"/>
      <c r="L11" s="1"/>
      <c r="M11" s="1"/>
      <c r="N11" s="1"/>
      <c r="P11" s="1"/>
      <c r="T11" s="1"/>
      <c r="U11" s="1"/>
      <c r="V11" s="1"/>
      <c r="W11" s="1"/>
      <c r="X11" s="1"/>
      <c r="Y11" s="1"/>
      <c r="Z11" s="1"/>
      <c r="AB11" s="1"/>
      <c r="AC11" s="1"/>
      <c r="AD11" s="1"/>
      <c r="AE11" s="1"/>
      <c r="AG11" s="37"/>
      <c r="AH11" s="3"/>
    </row>
    <row r="12" spans="2:34" ht="30" customHeight="1">
      <c r="B12" s="2" t="s">
        <v>44</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3">
        <f>COUNTA(Dezembro[[#This Row],[1]:[31]])</f>
        <v>0</v>
      </c>
    </row>
    <row r="13" spans="2:34" ht="27" customHeight="1">
      <c r="B13" s="36"/>
      <c r="D13" s="1"/>
      <c r="E13" s="1"/>
      <c r="F13" s="1"/>
      <c r="G13" s="1"/>
      <c r="H13" s="1"/>
      <c r="I13" s="1"/>
      <c r="K13" s="1"/>
      <c r="L13" s="1"/>
      <c r="M13" s="1"/>
      <c r="N13" s="1"/>
      <c r="O13" s="1"/>
      <c r="P13" s="1"/>
      <c r="Q13" s="1"/>
      <c r="R13" s="1"/>
      <c r="S13" s="1"/>
      <c r="T13" s="1"/>
      <c r="U13" s="1"/>
      <c r="V13" s="1"/>
      <c r="W13" s="1"/>
      <c r="X13" s="1"/>
      <c r="Y13" s="1"/>
      <c r="Z13" s="1"/>
      <c r="AA13" s="1"/>
      <c r="AB13" s="1"/>
      <c r="AC13" s="1"/>
      <c r="AD13" s="1"/>
      <c r="AE13" s="1"/>
      <c r="AF13" s="1"/>
      <c r="AG13" s="37"/>
      <c r="AH13" s="3"/>
    </row>
    <row r="14" spans="2:34" ht="30" customHeight="1">
      <c r="B14" s="2" t="s">
        <v>46</v>
      </c>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3">
        <f>COUNTA(Dezembro[[#This Row],[1]:[31]])</f>
        <v>0</v>
      </c>
    </row>
    <row r="15" spans="2:34" ht="24.75" customHeight="1">
      <c r="B15" s="36"/>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37"/>
      <c r="AH15" s="3"/>
    </row>
    <row r="16" spans="2:34" ht="29.25" customHeight="1">
      <c r="B16" s="2" t="s">
        <v>47</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3">
        <f>COUNTA(Dezembro[[#This Row],[1]:[31]])</f>
        <v>0</v>
      </c>
    </row>
    <row r="17" spans="2:34" ht="25.5" customHeight="1">
      <c r="B17" s="36"/>
      <c r="C17" s="1"/>
      <c r="D17" s="1"/>
      <c r="E17" s="1"/>
      <c r="F17" s="1"/>
      <c r="G17" s="1"/>
      <c r="H17" s="1"/>
      <c r="I17" s="1"/>
      <c r="J17" s="1"/>
      <c r="K17" s="1"/>
      <c r="L17" s="1"/>
      <c r="M17" s="1"/>
      <c r="N17" s="1"/>
      <c r="O17" s="1"/>
      <c r="P17" s="1"/>
      <c r="Q17" s="1"/>
      <c r="R17" s="1"/>
      <c r="S17" s="1"/>
      <c r="T17" s="1"/>
      <c r="U17" s="1"/>
      <c r="V17" s="1"/>
      <c r="W17" s="1"/>
      <c r="X17" s="1"/>
      <c r="Y17" s="1"/>
      <c r="Z17" s="1"/>
      <c r="AA17" s="1"/>
      <c r="AB17" s="23"/>
      <c r="AC17" s="1"/>
      <c r="AD17" s="1"/>
      <c r="AE17" s="1"/>
      <c r="AF17" s="1"/>
      <c r="AG17" s="37"/>
      <c r="AH17" s="3"/>
    </row>
    <row r="18" spans="2:34" ht="30" customHeight="1">
      <c r="B18" s="1" t="s">
        <v>48</v>
      </c>
      <c r="C18" s="4">
        <f t="shared" ref="C18:AG18" si="0">COUNTA(C8,C10,C12,C14,C16)</f>
        <v>0</v>
      </c>
      <c r="D18" s="4">
        <f t="shared" si="0"/>
        <v>0</v>
      </c>
      <c r="E18" s="4">
        <f t="shared" si="0"/>
        <v>0</v>
      </c>
      <c r="F18" s="4">
        <f t="shared" si="0"/>
        <v>0</v>
      </c>
      <c r="G18" s="4">
        <f t="shared" si="0"/>
        <v>0</v>
      </c>
      <c r="H18" s="4">
        <f t="shared" si="0"/>
        <v>0</v>
      </c>
      <c r="I18" s="4">
        <f t="shared" si="0"/>
        <v>0</v>
      </c>
      <c r="J18" s="4">
        <f t="shared" si="0"/>
        <v>0</v>
      </c>
      <c r="K18" s="4">
        <f t="shared" si="0"/>
        <v>0</v>
      </c>
      <c r="L18" s="4">
        <f t="shared" si="0"/>
        <v>0</v>
      </c>
      <c r="M18" s="4">
        <f t="shared" si="0"/>
        <v>0</v>
      </c>
      <c r="N18" s="4">
        <f t="shared" si="0"/>
        <v>0</v>
      </c>
      <c r="O18" s="4">
        <f t="shared" si="0"/>
        <v>0</v>
      </c>
      <c r="P18" s="4">
        <f t="shared" si="0"/>
        <v>0</v>
      </c>
      <c r="Q18" s="4">
        <f t="shared" si="0"/>
        <v>0</v>
      </c>
      <c r="R18" s="4">
        <f t="shared" si="0"/>
        <v>0</v>
      </c>
      <c r="S18" s="4">
        <f t="shared" si="0"/>
        <v>0</v>
      </c>
      <c r="T18" s="4">
        <f t="shared" si="0"/>
        <v>0</v>
      </c>
      <c r="U18" s="4">
        <f t="shared" si="0"/>
        <v>0</v>
      </c>
      <c r="V18" s="4">
        <f t="shared" si="0"/>
        <v>0</v>
      </c>
      <c r="W18" s="4">
        <f t="shared" si="0"/>
        <v>0</v>
      </c>
      <c r="X18" s="4">
        <f t="shared" si="0"/>
        <v>0</v>
      </c>
      <c r="Y18" s="4">
        <f t="shared" si="0"/>
        <v>0</v>
      </c>
      <c r="Z18" s="4">
        <f t="shared" si="0"/>
        <v>0</v>
      </c>
      <c r="AA18" s="4">
        <f t="shared" si="0"/>
        <v>0</v>
      </c>
      <c r="AB18" s="4">
        <f t="shared" si="0"/>
        <v>0</v>
      </c>
      <c r="AC18" s="4">
        <f t="shared" si="0"/>
        <v>0</v>
      </c>
      <c r="AD18" s="4">
        <f t="shared" si="0"/>
        <v>0</v>
      </c>
      <c r="AE18" s="4">
        <f t="shared" si="0"/>
        <v>0</v>
      </c>
      <c r="AF18" s="4">
        <f t="shared" si="0"/>
        <v>0</v>
      </c>
      <c r="AG18" s="4">
        <f t="shared" si="0"/>
        <v>0</v>
      </c>
      <c r="AH18" s="4"/>
    </row>
  </sheetData>
  <mergeCells count="5">
    <mergeCell ref="B1:AH1"/>
    <mergeCell ref="D3:E3"/>
    <mergeCell ref="H3:K3"/>
    <mergeCell ref="N3:O3"/>
    <mergeCell ref="C5:AG5"/>
  </mergeCells>
  <phoneticPr fontId="26" type="noConversion"/>
  <conditionalFormatting sqref="C8:AG16 C17:AA17 AC17:AG17">
    <cfRule type="cellIs" dxfId="89" priority="11" operator="equal">
      <formula>"L"</formula>
    </cfRule>
    <cfRule type="cellIs" dxfId="88" priority="12" operator="equal">
      <formula>"A"</formula>
    </cfRule>
    <cfRule type="expression" priority="13" stopIfTrue="1">
      <formula>C8=""</formula>
    </cfRule>
    <cfRule type="expression" dxfId="87" priority="14" stopIfTrue="1">
      <formula>C8=ChavePersonalizada2</formula>
    </cfRule>
    <cfRule type="expression" dxfId="86" priority="15" stopIfTrue="1">
      <formula>C8=ChavePersonalizada1</formula>
    </cfRule>
    <cfRule type="expression" dxfId="85" priority="16" stopIfTrue="1">
      <formula>C8=ChaveLicençaMédica</formula>
    </cfRule>
    <cfRule type="expression" dxfId="84" priority="17" stopIfTrue="1">
      <formula>C8=ChavePessoal</formula>
    </cfRule>
    <cfRule type="expression" dxfId="83" priority="18" stopIfTrue="1">
      <formula>C8=ChaveFérias</formula>
    </cfRule>
  </conditionalFormatting>
  <conditionalFormatting sqref="AB17">
    <cfRule type="cellIs" dxfId="82" priority="1" operator="equal">
      <formula>"L"</formula>
    </cfRule>
    <cfRule type="cellIs" dxfId="81" priority="2" operator="equal">
      <formula>"A"</formula>
    </cfRule>
    <cfRule type="cellIs" dxfId="80" priority="3" operator="equal">
      <formula>"A"</formula>
    </cfRule>
    <cfRule type="cellIs" dxfId="79" priority="4" operator="equal">
      <formula>"A"</formula>
    </cfRule>
    <cfRule type="expression" priority="5" stopIfTrue="1">
      <formula>AB17=""</formula>
    </cfRule>
    <cfRule type="expression" dxfId="78" priority="6" stopIfTrue="1">
      <formula>AB17=ChavePersonalizada2</formula>
    </cfRule>
    <cfRule type="expression" dxfId="77" priority="7" stopIfTrue="1">
      <formula>AB17=ChavePersonalizada1</formula>
    </cfRule>
    <cfRule type="expression" dxfId="76" priority="8" stopIfTrue="1">
      <formula>AB17=ChaveLicençaMédica</formula>
    </cfRule>
    <cfRule type="expression" dxfId="75" priority="9" stopIfTrue="1">
      <formula>AB17=ChavePessoal</formula>
    </cfRule>
    <cfRule type="expression" dxfId="74" priority="10" stopIfTrue="1">
      <formula>AB17=ChaveFérias</formula>
    </cfRule>
  </conditionalFormatting>
  <conditionalFormatting sqref="AH8:AH17">
    <cfRule type="dataBar" priority="209">
      <dataBar>
        <cfvo type="min"/>
        <cfvo type="formula" val="DATEDIF(DATE(AnoCalendário,2,1),DATE(AnoCalendário,3,1),&quot;d&quot;)"/>
        <color theme="2" tint="-0.249977111117893"/>
      </dataBar>
      <extLst>
        <ext xmlns:x14="http://schemas.microsoft.com/office/spreadsheetml/2009/9/main" uri="{B025F937-C7B1-47D3-B67F-A62EFF666E3E}">
          <x14:id>{17586780-365B-4F4C-BBB4-F5991705D361}</x14:id>
        </ext>
      </extLst>
    </cfRule>
  </conditionalFormatting>
  <dataValidations count="13">
    <dataValidation allowBlank="1" showInputMessage="1" showErrorMessage="1" prompt="Ano atualizado automaticamente com base no ano inserido na planilha de janeiro." sqref="AH5" xr:uid="{F939E1BE-E9C7-DD4A-972C-CB40EF785EA4}"/>
    <dataValidation allowBlank="1" showInputMessage="1" showErrorMessage="1" prompt="Calcula automaticamente o número total de dias em que um funcionário esteve ausente deste mês nesta coluna." sqref="AH7" xr:uid="{E810E773-697E-9042-BA14-6FFBF70DB80B}"/>
    <dataValidation errorStyle="warning" allowBlank="1" showInputMessage="1" showErrorMessage="1" error="Selecione o nome da lista. Selecione Cancelar e pressione Alt+Seta para baixo e Enter para selecionar um nome." prompt="Insira os nomes dos funcionários na planilha Nomes dos funcionários e selecione um dos nomes da lista nesta coluna. Pressione Alt+Seta para baixo e, em seguida, ENTER para selecionar um nome." sqref="B7" xr:uid="{6F39E281-C811-4064-A913-268FF831B613}"/>
    <dataValidation allowBlank="1" showInputMessage="1" showErrorMessage="1" prompt="A letra &quot;F&quot; indica falta devido a férias." sqref="C3" xr:uid="{E5A3B99A-78EC-45EA-9D65-8D718F227BEC}"/>
    <dataValidation allowBlank="1" showInputMessage="1" showErrorMessage="1" prompt="A letra &quot;P&quot; indica falta devido a motivos pessoais." sqref="G3" xr:uid="{D98AA4D0-999B-4736-899F-937FCC8B9A7F}"/>
    <dataValidation allowBlank="1" showInputMessage="1" showErrorMessage="1" prompt="A letra &quot;L&quot; indica falta devido à licença médica." sqref="M3" xr:uid="{2DC48FB3-F9E5-4690-81FD-704929972EE7}"/>
    <dataValidation allowBlank="1" showInputMessage="1" showErrorMessage="1" prompt="Insira uma letra e personalize o rótulo à direita para adicionar outro item de chave." sqref="U3" xr:uid="{A4B2832F-3398-4A46-A6A7-231AE750AE02}"/>
    <dataValidation allowBlank="1" showInputMessage="1" showErrorMessage="1" prompt="Insira um rótulo para descrever a chave personalizada à esquerda." sqref="V3 Q3" xr:uid="{473235B9-9FC0-4410-B460-D8BA0DB46004}"/>
    <dataValidation allowBlank="1" showInputMessage="1" showErrorMessage="1" prompt="O nome do mês para essa agenda de faltas está nesta célula. Os totais de faltas deste mês estão na última célula da tabela. Selecione os nomes dos funcionários na tabela B." sqref="B1" xr:uid="{1F94A4DB-AA5A-4B06-B0EB-BA18E084CE07}"/>
    <dataValidation allowBlank="1" showInputMessage="1" showErrorMessage="1" prompt="Os dias do mês nesta linha são gerados automaticamente. Insira a falta e o tipo de falta de um funcionário em cada coluna de cada dia do mês. Espaço vazio significa sem faltas." sqref="C7" xr:uid="{0482EFB3-0A55-4547-B0F2-69F4B25A0231}"/>
    <dataValidation allowBlank="1" showInputMessage="1" showErrorMessage="1" prompt="Os dias da semana nesta linha são atualizados automaticamente para o mês de acordo com o ano na célula AH4. Cada dia do mês é uma coluna para indicar a falta e o tipo de falta de um funcionário." sqref="C6" xr:uid="{CB1E42E3-65E1-5041-91B2-633C92F4BB63}"/>
    <dataValidation allowBlank="1" showInputMessage="1" showErrorMessage="1" prompt="Esta linha define as chaves utilizadas na tabela: a célula C4 é Férias, G4 é Pessoal e K4 é Licença médica. As células N4 e R4 são personalizáveis " sqref="B3" xr:uid="{060EF080-5495-4927-979D-CA4728392AC3}"/>
    <dataValidation allowBlank="1" showInputMessage="1" showErrorMessage="1" prompt="O título atualizado automaticamente está nesta célula. Para modificar o título, atualize B1 na planilha Janeiro." sqref="B1" xr:uid="{F30DC8E7-583C-4EC7-812E-2371610EB47F}"/>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17586780-365B-4F4C-BBB4-F5991705D361}">
            <x14:dataBar minLength="0" maxLength="100">
              <x14:cfvo type="autoMin"/>
              <x14:cfvo type="formula">
                <xm:f>DATEDIF(DATE(AnoCalendário,2,1),DATE(AnoCalendário,3,1),"d")</xm:f>
              </x14:cfvo>
              <x14:negativeFillColor rgb="FFFF0000"/>
              <x14:axisColor rgb="FF000000"/>
            </x14:dataBar>
          </x14:cfRule>
          <xm:sqref>AH8:AH17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E000000}">
          <x14:formula1>
            <xm:f>Diretores!$B$3:$B$7</xm:f>
          </x14:formula1>
          <xm:sqref>B8:B17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B1:B7"/>
  <sheetViews>
    <sheetView showGridLines="0" workbookViewId="0">
      <selection activeCell="B6" sqref="B6"/>
    </sheetView>
  </sheetViews>
  <sheetFormatPr defaultColWidth="8.7109375" defaultRowHeight="30" customHeight="1"/>
  <cols>
    <col min="1" max="1" width="3.28515625" customWidth="1"/>
    <col min="2" max="2" width="42.140625" customWidth="1"/>
    <col min="3" max="3" width="14.85546875" customWidth="1"/>
  </cols>
  <sheetData>
    <row r="1" spans="2:2" ht="15" customHeight="1"/>
    <row r="2" spans="2:2" ht="30" customHeight="1">
      <c r="B2" s="42" t="s">
        <v>8</v>
      </c>
    </row>
    <row r="3" spans="2:2" ht="30" customHeight="1">
      <c r="B3" s="43" t="s">
        <v>41</v>
      </c>
    </row>
    <row r="4" spans="2:2" ht="30" customHeight="1">
      <c r="B4" s="43" t="s">
        <v>44</v>
      </c>
    </row>
    <row r="5" spans="2:2" ht="30" customHeight="1">
      <c r="B5" s="43" t="s">
        <v>43</v>
      </c>
    </row>
    <row r="6" spans="2:2" ht="30" customHeight="1">
      <c r="B6" s="43" t="s">
        <v>46</v>
      </c>
    </row>
    <row r="7" spans="2:2" ht="30" customHeight="1">
      <c r="B7" s="44" t="s">
        <v>47</v>
      </c>
    </row>
  </sheetData>
  <phoneticPr fontId="26" type="noConversion"/>
  <dataValidations count="1">
    <dataValidation allowBlank="1" showInputMessage="1" showErrorMessage="1" prompt="Insira os nomes dos funcionários nesta coluna." sqref="B2" xr:uid="{00000000-0002-0000-0C00-000002000000}"/>
  </dataValidations>
  <pageMargins left="0.7" right="0.7" top="0.75" bottom="0.75" header="0.3" footer="0.3"/>
  <pageSetup paperSize="9" orientation="portrait" horizontalDpi="200" verticalDpi="20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35E0B-5E9D-45C2-BAC1-3150B3BBD753}">
  <sheetPr>
    <tabColor theme="6" tint="0.39997558519241921"/>
  </sheetPr>
  <dimension ref="B2:S8"/>
  <sheetViews>
    <sheetView showGridLines="0" workbookViewId="0">
      <selection activeCell="B16" sqref="B16"/>
    </sheetView>
  </sheetViews>
  <sheetFormatPr defaultColWidth="9.140625" defaultRowHeight="15"/>
  <cols>
    <col min="1" max="1" width="9.140625" style="25"/>
    <col min="2" max="2" width="30.85546875" style="25" bestFit="1" customWidth="1"/>
    <col min="3" max="3" width="7.42578125" style="25" bestFit="1" customWidth="1"/>
    <col min="4" max="4" width="9.5703125" style="25" bestFit="1" customWidth="1"/>
    <col min="5" max="5" width="6.5703125" style="25" bestFit="1" customWidth="1"/>
    <col min="6" max="6" width="5.28515625" style="25" bestFit="1" customWidth="1"/>
    <col min="7" max="7" width="5.5703125" style="25" bestFit="1" customWidth="1"/>
    <col min="8" max="8" width="6.28515625" style="25" bestFit="1" customWidth="1"/>
    <col min="9" max="9" width="5.7109375" style="25" bestFit="1" customWidth="1"/>
    <col min="10" max="10" width="7.140625" style="25" bestFit="1" customWidth="1"/>
    <col min="11" max="11" width="9.7109375" style="25" bestFit="1" customWidth="1"/>
    <col min="12" max="12" width="8.42578125" style="25" bestFit="1" customWidth="1"/>
    <col min="13" max="13" width="10.42578125" style="25" bestFit="1" customWidth="1"/>
    <col min="14" max="14" width="10.140625" style="25" bestFit="1" customWidth="1"/>
    <col min="15" max="15" width="5.42578125" style="25" bestFit="1" customWidth="1"/>
    <col min="16" max="16" width="30.7109375" style="25" customWidth="1"/>
    <col min="17" max="17" width="9.140625" style="25"/>
    <col min="18" max="18" width="20" style="25" hidden="1" customWidth="1"/>
    <col min="19" max="19" width="0" style="25" hidden="1" customWidth="1"/>
    <col min="20" max="16384" width="9.140625" style="25"/>
  </cols>
  <sheetData>
    <row r="2" spans="2:19">
      <c r="B2" s="85" t="s">
        <v>62</v>
      </c>
      <c r="C2" s="86"/>
      <c r="D2" s="86"/>
      <c r="E2" s="86"/>
      <c r="F2" s="86"/>
      <c r="G2" s="86"/>
      <c r="H2" s="86"/>
      <c r="I2" s="86"/>
      <c r="J2" s="86"/>
      <c r="K2" s="86"/>
      <c r="L2" s="86"/>
      <c r="M2" s="86"/>
      <c r="N2" s="86"/>
      <c r="O2" s="86"/>
      <c r="P2" s="87"/>
      <c r="R2" s="26" t="s">
        <v>63</v>
      </c>
      <c r="S2" s="26">
        <v>253</v>
      </c>
    </row>
    <row r="3" spans="2:19">
      <c r="B3" s="45" t="s">
        <v>64</v>
      </c>
      <c r="C3" s="45" t="s">
        <v>65</v>
      </c>
      <c r="D3" s="45" t="s">
        <v>66</v>
      </c>
      <c r="E3" s="45" t="s">
        <v>67</v>
      </c>
      <c r="F3" s="45" t="s">
        <v>68</v>
      </c>
      <c r="G3" s="45" t="s">
        <v>69</v>
      </c>
      <c r="H3" s="45" t="s">
        <v>70</v>
      </c>
      <c r="I3" s="45" t="s">
        <v>71</v>
      </c>
      <c r="J3" s="45" t="s">
        <v>72</v>
      </c>
      <c r="K3" s="45" t="s">
        <v>73</v>
      </c>
      <c r="L3" s="45" t="s">
        <v>74</v>
      </c>
      <c r="M3" s="45" t="s">
        <v>75</v>
      </c>
      <c r="N3" s="45" t="s">
        <v>76</v>
      </c>
      <c r="O3" s="46" t="s">
        <v>77</v>
      </c>
      <c r="P3" s="46" t="s">
        <v>78</v>
      </c>
    </row>
    <row r="4" spans="2:19">
      <c r="B4" s="28" t="s">
        <v>41</v>
      </c>
      <c r="C4" s="29">
        <v>0</v>
      </c>
      <c r="D4" s="29">
        <f>COUNTIF(Fevereiro!C8:AE8,"A")</f>
        <v>0</v>
      </c>
      <c r="E4" s="29">
        <f>COUNTIF(Março!C8:AG8,"A")</f>
        <v>0</v>
      </c>
      <c r="F4" s="29">
        <f>COUNTIF(Abril!C8:AF8,"A")</f>
        <v>0</v>
      </c>
      <c r="G4" s="29">
        <f>COUNTIF(Maio!C8:AG8,"A")</f>
        <v>0</v>
      </c>
      <c r="H4" s="29">
        <f>COUNTIF(Junho!C8:AF8,"A")</f>
        <v>0</v>
      </c>
      <c r="I4" s="29">
        <f>COUNTIF(Julho!C8:AG8,"A")</f>
        <v>0</v>
      </c>
      <c r="J4" s="29">
        <f>COUNTIF(Agosto!C8:AG8,"A")</f>
        <v>0</v>
      </c>
      <c r="K4" s="29">
        <f>COUNTIF(Setembro!C8:AF8,"A")</f>
        <v>0</v>
      </c>
      <c r="L4" s="29">
        <f>COUNTIF(Outubro!C8:AG8,"A")</f>
        <v>0</v>
      </c>
      <c r="M4" s="29">
        <f>COUNTIF(Novembro!C8:AF8,"A")</f>
        <v>0</v>
      </c>
      <c r="N4" s="29">
        <f>COUNTIF(Dezembro!C8:AG8,"A")</f>
        <v>0</v>
      </c>
      <c r="O4" s="27">
        <f>SUM(C4:N4)</f>
        <v>0</v>
      </c>
      <c r="P4" s="30">
        <f>O4/S2</f>
        <v>0</v>
      </c>
    </row>
    <row r="5" spans="2:19">
      <c r="B5" s="47" t="s">
        <v>43</v>
      </c>
      <c r="C5" s="48">
        <f>COUNTIF(Janeiro!C10:AG10,"A")</f>
        <v>0</v>
      </c>
      <c r="D5" s="48">
        <f>COUNTIF(Fevereiro!C10:AE10,"A")</f>
        <v>0</v>
      </c>
      <c r="E5" s="48">
        <f>COUNTIF(Março!C10:AG10,"A")</f>
        <v>0</v>
      </c>
      <c r="F5" s="48">
        <f>COUNTIF(Abril!C10:AF10,"A")</f>
        <v>0</v>
      </c>
      <c r="G5" s="48">
        <f>COUNTIF(Maio!C10:AG10,"A")</f>
        <v>0</v>
      </c>
      <c r="H5" s="48">
        <f>COUNTIF(Junho!C10:AF10,"A")</f>
        <v>0</v>
      </c>
      <c r="I5" s="48">
        <f>COUNTIF(Julho!C10:AG10,"A")</f>
        <v>0</v>
      </c>
      <c r="J5" s="48">
        <f>COUNTIF(Agosto!C10:AG10,"A")</f>
        <v>0</v>
      </c>
      <c r="K5" s="48">
        <f>COUNTIF(Setembro!C10:AF10,"A")</f>
        <v>0</v>
      </c>
      <c r="L5" s="48">
        <f>COUNTIF(Outubro!C10:AG10,"A")</f>
        <v>0</v>
      </c>
      <c r="M5" s="48">
        <f>COUNTIF(Novembro!C10:AF10,"A")</f>
        <v>0</v>
      </c>
      <c r="N5" s="48">
        <f>COUNTIF(Dezembro!C10:AG10,"A")</f>
        <v>0</v>
      </c>
      <c r="O5" s="49">
        <f>SUM(C5:N5)</f>
        <v>0</v>
      </c>
      <c r="P5" s="50">
        <f>O5/S2</f>
        <v>0</v>
      </c>
    </row>
    <row r="6" spans="2:19">
      <c r="B6" s="28" t="s">
        <v>44</v>
      </c>
      <c r="C6" s="29">
        <f>COUNTIF(Janeiro!C12:AG12,"A")</f>
        <v>0</v>
      </c>
      <c r="D6" s="29">
        <f>COUNTIF(Fevereiro!C12:AE12,"A")</f>
        <v>0</v>
      </c>
      <c r="E6" s="29">
        <f>COUNTIF(Março!C12:AG12,"A")</f>
        <v>0</v>
      </c>
      <c r="F6" s="29">
        <f>COUNTIF(Abril!C12:AF12,"A")</f>
        <v>0</v>
      </c>
      <c r="G6" s="29">
        <f>COUNTIF(Maio!C12:AG12,"A")</f>
        <v>0</v>
      </c>
      <c r="H6" s="29">
        <f>COUNTIF(Junho!C12:AF12,"A")</f>
        <v>0</v>
      </c>
      <c r="I6" s="29">
        <f>COUNTIF(Julho!C12:AG12,"A")</f>
        <v>0</v>
      </c>
      <c r="J6" s="29">
        <f>COUNTIF(Agosto!C12:AG12,"A")</f>
        <v>0</v>
      </c>
      <c r="K6" s="29">
        <f>COUNTIF(Setembro!C12:AF12,"A")</f>
        <v>0</v>
      </c>
      <c r="L6" s="29">
        <f>COUNTIF(Outubro!C12:AG12,"A")</f>
        <v>0</v>
      </c>
      <c r="M6" s="29">
        <f>COUNTIF(Novembro!C12:AF12,"A")</f>
        <v>0</v>
      </c>
      <c r="N6" s="29">
        <f>COUNTIF(Dezembro!C12:AG12,"A")</f>
        <v>0</v>
      </c>
      <c r="O6" s="27">
        <f>SUM(C6:N6)</f>
        <v>0</v>
      </c>
      <c r="P6" s="30">
        <f>O6/S2</f>
        <v>0</v>
      </c>
    </row>
    <row r="7" spans="2:19">
      <c r="B7" s="47" t="s">
        <v>79</v>
      </c>
      <c r="C7" s="48">
        <f>COUNTIF(Janeiro!C14:AG14,"A")</f>
        <v>0</v>
      </c>
      <c r="D7" s="48">
        <f>COUNTIF(Fevereiro!C14:AE14,"A")</f>
        <v>0</v>
      </c>
      <c r="E7" s="48">
        <f>COUNTIF(Março!C14:AG14,"A")</f>
        <v>0</v>
      </c>
      <c r="F7" s="48">
        <f>COUNTIF(Abril!C14:AF14,"A")</f>
        <v>0</v>
      </c>
      <c r="G7" s="48">
        <f>COUNTIF(Maio!C14:AG14,"A")</f>
        <v>0</v>
      </c>
      <c r="H7" s="48">
        <f>COUNTIF(Junho!C14:AF14,"A")</f>
        <v>0</v>
      </c>
      <c r="I7" s="48">
        <f>COUNTIF(Julho!C14:AG14,"A")</f>
        <v>0</v>
      </c>
      <c r="J7" s="48">
        <f>COUNTIF(Agosto!C14:AG14,"A")</f>
        <v>0</v>
      </c>
      <c r="K7" s="48">
        <f>COUNTIF(Setembro!C14:AF14,"A")</f>
        <v>0</v>
      </c>
      <c r="L7" s="48">
        <f>COUNTIF(Outubro!C14:AG14,"A")</f>
        <v>0</v>
      </c>
      <c r="M7" s="48">
        <f>COUNTIF(Novembro!C14:AF14,"A")</f>
        <v>0</v>
      </c>
      <c r="N7" s="48">
        <f>COUNTIF(Dezembro!C14:AG14,"A")</f>
        <v>0</v>
      </c>
      <c r="O7" s="49">
        <f>SUM(C7:N7)</f>
        <v>0</v>
      </c>
      <c r="P7" s="50">
        <f>O7/S2</f>
        <v>0</v>
      </c>
    </row>
    <row r="8" spans="2:19">
      <c r="B8" s="28" t="s">
        <v>47</v>
      </c>
      <c r="C8" s="29">
        <f>COUNTIF(Janeiro!C16:AG16,"A")</f>
        <v>0</v>
      </c>
      <c r="D8" s="29">
        <f>COUNTIF(Fevereiro!C16:AE16,"A")</f>
        <v>0</v>
      </c>
      <c r="E8" s="29">
        <f>COUNTIF(Março!C16:AG16,"A")</f>
        <v>0</v>
      </c>
      <c r="F8" s="29">
        <f>COUNTIF(Abril!C16:AF16,"A")</f>
        <v>0</v>
      </c>
      <c r="G8" s="29">
        <f>COUNTIF(Maio!C16:AG16,"A")</f>
        <v>0</v>
      </c>
      <c r="H8" s="29">
        <f>COUNTIF(Junho!C16:AF16,"A")</f>
        <v>0</v>
      </c>
      <c r="I8" s="29">
        <f>COUNTIF(Julho!C16:AG16,"A")</f>
        <v>0</v>
      </c>
      <c r="J8" s="29">
        <f>COUNTIF(Agosto!C16:AG16,"A")</f>
        <v>0</v>
      </c>
      <c r="K8" s="29">
        <f>COUNTIF(Setembro!C16:AF16,"A")</f>
        <v>0</v>
      </c>
      <c r="L8" s="29">
        <f>COUNTIF(Outubro!C16:AG16,"A")</f>
        <v>0</v>
      </c>
      <c r="M8" s="29">
        <f>COUNTIF(Novembro!C16:AF16,"A")</f>
        <v>0</v>
      </c>
      <c r="N8" s="29">
        <f>COUNTIF(Dezembro!C16:AG16,"A")</f>
        <v>0</v>
      </c>
      <c r="O8" s="27">
        <f>SUM(C8:N8)</f>
        <v>0</v>
      </c>
      <c r="P8" s="30">
        <f>O8/S2</f>
        <v>0</v>
      </c>
    </row>
  </sheetData>
  <mergeCells count="1">
    <mergeCell ref="B2:P2"/>
  </mergeCells>
  <phoneticPr fontId="29" type="noConversion"/>
  <pageMargins left="0.511811024" right="0.511811024" top="0.78740157499999996" bottom="0.78740157499999996" header="0.31496062000000002" footer="0.31496062000000002"/>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B6CDA-D50C-4A6B-824B-2E0BE5ACE2A3}">
  <sheetPr>
    <tabColor rgb="FFFF0000"/>
  </sheetPr>
  <dimension ref="A1:A15"/>
  <sheetViews>
    <sheetView workbookViewId="0"/>
  </sheetViews>
  <sheetFormatPr defaultColWidth="9.140625" defaultRowHeight="12.75"/>
  <cols>
    <col min="1" max="1" width="154.28515625" style="51" customWidth="1"/>
    <col min="2" max="16384" width="9.140625" style="51"/>
  </cols>
  <sheetData>
    <row r="1" spans="1:1">
      <c r="A1" s="53" t="s">
        <v>80</v>
      </c>
    </row>
    <row r="3" spans="1:1">
      <c r="A3" s="53" t="s">
        <v>81</v>
      </c>
    </row>
    <row r="4" spans="1:1" ht="26.25" customHeight="1">
      <c r="A4" s="52" t="s">
        <v>82</v>
      </c>
    </row>
    <row r="5" spans="1:1" ht="30.75" customHeight="1">
      <c r="A5" s="52" t="s">
        <v>83</v>
      </c>
    </row>
    <row r="6" spans="1:1" ht="27.75" customHeight="1">
      <c r="A6" s="52" t="s">
        <v>84</v>
      </c>
    </row>
    <row r="7" spans="1:1" ht="30" customHeight="1">
      <c r="A7" s="52" t="s">
        <v>85</v>
      </c>
    </row>
    <row r="8" spans="1:1" ht="24.75" customHeight="1">
      <c r="A8" s="52" t="s">
        <v>86</v>
      </c>
    </row>
    <row r="9" spans="1:1" ht="39" customHeight="1">
      <c r="A9" s="52" t="s">
        <v>87</v>
      </c>
    </row>
    <row r="10" spans="1:1" ht="28.5" customHeight="1">
      <c r="A10" s="52" t="s">
        <v>88</v>
      </c>
    </row>
    <row r="11" spans="1:1" ht="23.25" customHeight="1">
      <c r="A11" s="52" t="s">
        <v>89</v>
      </c>
    </row>
    <row r="12" spans="1:1" ht="23.25" customHeight="1">
      <c r="A12" s="52" t="s">
        <v>90</v>
      </c>
    </row>
    <row r="14" spans="1:1">
      <c r="A14" s="52" t="s">
        <v>91</v>
      </c>
    </row>
    <row r="15" spans="1:1">
      <c r="A15" s="52" t="s">
        <v>92</v>
      </c>
    </row>
  </sheetData>
  <pageMargins left="0.511811024" right="0.511811024" top="0.78740157499999996" bottom="0.78740157499999996" header="0.31496062000000002" footer="0.31496062000000002"/>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E855D61ED3FF1489E4F02F8D3906EF1" ma:contentTypeVersion="2" ma:contentTypeDescription="Crie um novo documento." ma:contentTypeScope="" ma:versionID="571b4b9879b110e19edd9a902db68046">
  <xsd:schema xmlns:xsd="http://www.w3.org/2001/XMLSchema" xmlns:xs="http://www.w3.org/2001/XMLSchema" xmlns:p="http://schemas.microsoft.com/office/2006/metadata/properties" xmlns:ns1="http://schemas.microsoft.com/sharepoint/v3" xmlns:ns2="17e47aec-4fd1-44ac-8b41-cb90461b566e" targetNamespace="http://schemas.microsoft.com/office/2006/metadata/properties" ma:root="true" ma:fieldsID="ad89866ca665d838beb61211c8cad87d" ns1:_="" ns2:_="">
    <xsd:import namespace="http://schemas.microsoft.com/sharepoint/v3"/>
    <xsd:import namespace="17e47aec-4fd1-44ac-8b41-cb90461b566e"/>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Agendamento de Data de Início" ma:description="Data de Início de Agendamento é uma coluna de site criada pelo recurso de Publicação. Ela é usada para especificar a data e hora em que essa página aparecerá pela primeira vez aos visitantes do site." ma:hidden="true" ma:internalName="PublishingStartDate">
      <xsd:simpleType>
        <xsd:restriction base="dms:Unknown"/>
      </xsd:simpleType>
    </xsd:element>
    <xsd:element name="PublishingExpirationDate" ma:index="9" nillable="true" ma:displayName="Agendamento de Data de Término" ma:description="Data Final de Agendamento é uma coluna de site criada pelo recurso de Publicação. Ela é usada para especificar a data e a hora em que essa página não será mais exibida aos visitantes do site."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7e47aec-4fd1-44ac-8b41-cb90461b566e"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416EBA-1ECE-4253-8F5F-379C4C21BCA1}"/>
</file>

<file path=customXml/itemProps2.xml><?xml version="1.0" encoding="utf-8"?>
<ds:datastoreItem xmlns:ds="http://schemas.openxmlformats.org/officeDocument/2006/customXml" ds:itemID="{5C1DB48D-B39A-4027-AC09-EC0D149B5064}"/>
</file>

<file path=customXml/itemProps3.xml><?xml version="1.0" encoding="utf-8"?>
<ds:datastoreItem xmlns:ds="http://schemas.openxmlformats.org/officeDocument/2006/customXml" ds:itemID="{9E856BE1-4925-4B41-885C-15EC9BC038C8}"/>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Template>TM03987167</Template>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2023-01-31T06:59:27Z</dcterms:created>
  <dcterms:modified xsi:type="dcterms:W3CDTF">2026-10-15T17:22:49Z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0x010100FE855D61ED3FF1489E4F02F8D3906EF1</vt:lpwstr>
  </property>
  <property fmtid="{D5CDD505-2E9C-101B-9397-08002B2CF9AE}" pid="3" name="MediaServiceImageTags">
    <vt:lpwstr/>
  </property>
</Properties>
</file>