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Clientes\Atuais\EPE\2023\Contabil\Demonstrações Financeiras\2 - Trimestral\3º Trimestre 2023\Material de apoio\Natan\"/>
    </mc:Choice>
  </mc:AlternateContent>
  <bookViews>
    <workbookView xWindow="0" yWindow="0" windowWidth="21600" windowHeight="8100"/>
  </bookViews>
  <sheets>
    <sheet name="BP" sheetId="1" r:id="rId1"/>
    <sheet name="Planilha2" sheetId="31" state="hidden" r:id="rId2"/>
    <sheet name="DRE" sheetId="37" r:id="rId3"/>
    <sheet name="DRA " sheetId="38" r:id="rId4"/>
    <sheet name="DMPL" sheetId="20" r:id="rId5"/>
    <sheet name="DFC " sheetId="40" r:id="rId6"/>
    <sheet name="DVA " sheetId="32" r:id="rId7"/>
    <sheet name="Balancete 3ºtrim" sheetId="54" state="hidden" r:id="rId8"/>
    <sheet name="Balancete 09.2023" sheetId="21" state="hidden" r:id="rId9"/>
    <sheet name="DF's" sheetId="22" state="hidden" r:id="rId10"/>
    <sheet name="impostos a recupera" sheetId="51" state="hidden" r:id="rId11"/>
    <sheet name="Depósito judiciais" sheetId="52" state="hidden" r:id="rId12"/>
    <sheet name="Depósitos judiciais" sheetId="34" state="hidden" r:id="rId13"/>
    <sheet name="Provisão para contigencia" sheetId="53" state="hidden" r:id="rId14"/>
    <sheet name="Planilha5" sheetId="56" state="hidden" r:id="rId15"/>
    <sheet name="IRPJ_CSLL_2023" sheetId="48" state="hidden" r:id="rId16"/>
    <sheet name="IRPJ_CSLL_2022" sheetId="50" state="hidden" r:id="rId17"/>
    <sheet name="Reconciliação IRPJ e CSLL" sheetId="49" state="hidden" r:id="rId18"/>
    <sheet name="Mov imob" sheetId="19" state="hidden" r:id="rId19"/>
    <sheet name="Razão Provisões p. Contigências" sheetId="24" state="hidden" r:id="rId20"/>
    <sheet name="Impostos a recuperar" sheetId="35" state="hidden" r:id="rId21"/>
    <sheet name="Planilha3" sheetId="41" state="hidden" r:id="rId22"/>
    <sheet name="DFC - Impostos a recuperar" sheetId="25" state="hidden" r:id="rId23"/>
    <sheet name="DFC - Depositos judiciais" sheetId="26" state="hidden" r:id="rId24"/>
    <sheet name="RAZÃO IMOBILIZADO" sheetId="33" state="hidden" r:id="rId25"/>
    <sheet name="Planilha1" sheetId="30" state="hidden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8" hidden="1">'Balancete 09.2023'!$A$287:$K$457</definedName>
    <definedName name="_xlnm._FilterDatabase" localSheetId="11" hidden="1">'Depósito judiciais'!$A$1:$J$51</definedName>
    <definedName name="_xlnm._FilterDatabase" localSheetId="23" hidden="1">'DFC - Depositos judiciais'!$A$5:$H$84</definedName>
    <definedName name="_xlnm._FilterDatabase" localSheetId="22" hidden="1">'DFC - Impostos a recuperar'!$A$5:$I$79</definedName>
    <definedName name="_xlnm._FilterDatabase" localSheetId="10" hidden="1">'impostos a recupera'!$A$1:$J$175</definedName>
    <definedName name="_xlnm._FilterDatabase" localSheetId="16" hidden="1">IRPJ_CSLL_2022!$A$6:$I$7</definedName>
    <definedName name="_xlnm._FilterDatabase" localSheetId="15" hidden="1">IRPJ_CSLL_2023!$A$6:$I$7</definedName>
    <definedName name="_xlnm._FilterDatabase" localSheetId="14" hidden="1">Planilha5!$A$3:$H$24</definedName>
    <definedName name="_xlnm._FilterDatabase" localSheetId="13" hidden="1">'Provisão para contigencia'!$A$1:$I$56</definedName>
    <definedName name="_xlnm._FilterDatabase" localSheetId="19" hidden="1">'Razão Provisões p. Contigências'!$A$6:$I$45</definedName>
    <definedName name="_xlnm.Print_Area" localSheetId="0">BP!$A$1:$G$54</definedName>
    <definedName name="_xlnm.Print_Area" localSheetId="5">'DFC '!$A$1:$F$48</definedName>
    <definedName name="_xlnm.Print_Area" localSheetId="4">DMPL!$A$1:$O$40</definedName>
    <definedName name="_xlnm.Print_Area" localSheetId="3">'DRA '!$B$2:$L$15</definedName>
    <definedName name="_xlnm.Print_Area" localSheetId="2">DRE!$B$2:$K$56</definedName>
    <definedName name="_xlnm.Print_Area" localSheetId="6">'DVA '!$A$1:$H$59</definedName>
    <definedName name="_xlnm.Print_Area" localSheetId="16">IRPJ_CSLL_2022!$A$1:$O$115</definedName>
    <definedName name="_xlnm.Print_Area" localSheetId="15">IRPJ_CSLL_2023!$A$1:$O$115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48" l="1"/>
  <c r="P71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L13" i="48"/>
  <c r="L8" i="48"/>
  <c r="L7" i="48"/>
  <c r="K62" i="53" l="1"/>
  <c r="J62" i="53"/>
  <c r="H61" i="53" l="1"/>
  <c r="H60" i="53"/>
  <c r="I60" i="53" s="1"/>
  <c r="J60" i="53" s="1"/>
  <c r="I24" i="53"/>
  <c r="G57" i="37"/>
  <c r="N19" i="20" l="1"/>
  <c r="L27" i="20"/>
  <c r="I245" i="54" l="1"/>
  <c r="G62" i="52" l="1"/>
  <c r="G63" i="52"/>
  <c r="G61" i="52"/>
  <c r="J182" i="51"/>
  <c r="J184" i="51"/>
  <c r="G184" i="51"/>
  <c r="G181" i="51"/>
  <c r="I184" i="51"/>
  <c r="J443" i="21" l="1"/>
  <c r="K443" i="21" s="1"/>
  <c r="E47" i="32" s="1"/>
  <c r="C12" i="40" l="1"/>
  <c r="L23" i="49"/>
  <c r="J76" i="49"/>
  <c r="J77" i="49"/>
  <c r="J46" i="49"/>
  <c r="J47" i="49"/>
  <c r="J23" i="49"/>
  <c r="L47" i="49"/>
  <c r="L77" i="49" s="1"/>
  <c r="L91" i="50"/>
  <c r="L90" i="50"/>
  <c r="L89" i="50"/>
  <c r="L88" i="50"/>
  <c r="L31" i="50"/>
  <c r="L30" i="50"/>
  <c r="L21" i="49" s="1"/>
  <c r="L29" i="50"/>
  <c r="L26" i="50"/>
  <c r="P26" i="50" s="1"/>
  <c r="L25" i="50"/>
  <c r="P25" i="50" s="1"/>
  <c r="L24" i="50"/>
  <c r="P24" i="50" s="1"/>
  <c r="L23" i="50"/>
  <c r="P23" i="50" s="1"/>
  <c r="L22" i="50"/>
  <c r="P22" i="50" s="1"/>
  <c r="L21" i="50"/>
  <c r="P21" i="50" s="1"/>
  <c r="L20" i="50"/>
  <c r="P20" i="50" s="1"/>
  <c r="L19" i="50"/>
  <c r="P19" i="50" s="1"/>
  <c r="L18" i="50"/>
  <c r="P18" i="50" s="1"/>
  <c r="L17" i="50"/>
  <c r="P17" i="50" s="1"/>
  <c r="L16" i="50"/>
  <c r="P16" i="50" s="1"/>
  <c r="L15" i="50"/>
  <c r="P15" i="50" s="1"/>
  <c r="L14" i="50"/>
  <c r="P14" i="50" s="1"/>
  <c r="L13" i="50"/>
  <c r="P13" i="50" s="1"/>
  <c r="L8" i="50"/>
  <c r="K90" i="50"/>
  <c r="K89" i="50"/>
  <c r="K88" i="50"/>
  <c r="K31" i="50"/>
  <c r="K30" i="50"/>
  <c r="K29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0" i="50"/>
  <c r="K8" i="50"/>
  <c r="K7" i="50"/>
  <c r="J91" i="50"/>
  <c r="J90" i="50"/>
  <c r="J89" i="50"/>
  <c r="J88" i="50"/>
  <c r="J39" i="50"/>
  <c r="J31" i="50"/>
  <c r="J30" i="50"/>
  <c r="J29" i="50"/>
  <c r="J26" i="50"/>
  <c r="J25" i="50"/>
  <c r="J24" i="50"/>
  <c r="J23" i="50"/>
  <c r="J22" i="50"/>
  <c r="J21" i="50"/>
  <c r="J20" i="50"/>
  <c r="J19" i="50"/>
  <c r="J18" i="50"/>
  <c r="J17" i="50"/>
  <c r="J16" i="50"/>
  <c r="J15" i="50"/>
  <c r="J14" i="50"/>
  <c r="J13" i="50"/>
  <c r="J10" i="50"/>
  <c r="J8" i="50"/>
  <c r="J7" i="50"/>
  <c r="Q13" i="48"/>
  <c r="Q26" i="48"/>
  <c r="Q25" i="48"/>
  <c r="Q23" i="48"/>
  <c r="Q22" i="48"/>
  <c r="Q21" i="48"/>
  <c r="Q20" i="48"/>
  <c r="Q19" i="48"/>
  <c r="Q18" i="48"/>
  <c r="Q17" i="48"/>
  <c r="Q16" i="48"/>
  <c r="Q15" i="48"/>
  <c r="Q14" i="48"/>
  <c r="L103" i="48"/>
  <c r="M92" i="48"/>
  <c r="N92" i="48"/>
  <c r="O92" i="48"/>
  <c r="L91" i="48"/>
  <c r="L90" i="48"/>
  <c r="L89" i="48"/>
  <c r="L88" i="48"/>
  <c r="L31" i="48"/>
  <c r="L75" i="48" s="1"/>
  <c r="L30" i="48"/>
  <c r="L74" i="48" s="1"/>
  <c r="L29" i="48"/>
  <c r="L73" i="48" s="1"/>
  <c r="L27" i="48"/>
  <c r="Q71" i="49" s="1"/>
  <c r="L110" i="48"/>
  <c r="L109" i="48"/>
  <c r="K110" i="48"/>
  <c r="K109" i="48"/>
  <c r="K103" i="48"/>
  <c r="K91" i="48"/>
  <c r="K90" i="48"/>
  <c r="K89" i="48"/>
  <c r="K88" i="48"/>
  <c r="K87" i="48"/>
  <c r="K74" i="48"/>
  <c r="K73" i="48"/>
  <c r="K31" i="48"/>
  <c r="K30" i="48"/>
  <c r="K29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L10" i="48"/>
  <c r="K10" i="48"/>
  <c r="K8" i="48"/>
  <c r="K7" i="48"/>
  <c r="J111" i="48"/>
  <c r="J112" i="48" s="1"/>
  <c r="J110" i="48"/>
  <c r="J109" i="48"/>
  <c r="J103" i="48"/>
  <c r="J91" i="48"/>
  <c r="J90" i="48"/>
  <c r="J89" i="48"/>
  <c r="J88" i="48"/>
  <c r="J87" i="48"/>
  <c r="J92" i="48" s="1"/>
  <c r="M36" i="48"/>
  <c r="N36" i="48"/>
  <c r="J10" i="48"/>
  <c r="J31" i="48"/>
  <c r="J30" i="48"/>
  <c r="J29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14" i="48"/>
  <c r="J13" i="48"/>
  <c r="J8" i="48"/>
  <c r="J7" i="48"/>
  <c r="K92" i="48" l="1"/>
  <c r="L16" i="49"/>
  <c r="L46" i="49" s="1"/>
  <c r="L76" i="49" s="1"/>
  <c r="P30" i="50"/>
  <c r="Q27" i="48"/>
  <c r="K111" i="48"/>
  <c r="L87" i="48" l="1"/>
  <c r="L92" i="48" s="1"/>
  <c r="J24" i="49" l="1"/>
  <c r="Q80" i="49"/>
  <c r="L7" i="50" l="1"/>
  <c r="J71" i="22" l="1"/>
  <c r="K71" i="22"/>
  <c r="J82" i="22"/>
  <c r="K82" i="22"/>
  <c r="J64" i="22"/>
  <c r="K64" i="22"/>
  <c r="J77" i="22"/>
  <c r="K77" i="22"/>
  <c r="L81" i="22"/>
  <c r="L82" i="22" s="1"/>
  <c r="L75" i="22"/>
  <c r="L76" i="22"/>
  <c r="L74" i="22"/>
  <c r="L68" i="22"/>
  <c r="L69" i="22"/>
  <c r="L70" i="22"/>
  <c r="L67" i="22"/>
  <c r="L62" i="22"/>
  <c r="L63" i="22"/>
  <c r="L61" i="22"/>
  <c r="C63" i="22"/>
  <c r="C67" i="22"/>
  <c r="D67" i="22"/>
  <c r="D63" i="22"/>
  <c r="E65" i="22"/>
  <c r="E66" i="22"/>
  <c r="E64" i="22"/>
  <c r="E67" i="22" s="1"/>
  <c r="E62" i="22"/>
  <c r="E61" i="22"/>
  <c r="E63" i="22" s="1"/>
  <c r="E49" i="22"/>
  <c r="E55" i="22" s="1"/>
  <c r="D49" i="22"/>
  <c r="D55" i="22" s="1"/>
  <c r="C49" i="22"/>
  <c r="C55" i="22" s="1"/>
  <c r="E48" i="22"/>
  <c r="E54" i="22" s="1"/>
  <c r="D48" i="22"/>
  <c r="D54" i="22" s="1"/>
  <c r="C48" i="22"/>
  <c r="C54" i="22" s="1"/>
  <c r="E47" i="22"/>
  <c r="E53" i="22" s="1"/>
  <c r="D47" i="22"/>
  <c r="D53" i="22" s="1"/>
  <c r="C47" i="22"/>
  <c r="C53" i="22" s="1"/>
  <c r="L77" i="22" l="1"/>
  <c r="L71" i="22"/>
  <c r="L64" i="22"/>
  <c r="N21" i="20" l="1"/>
  <c r="G182" i="51"/>
  <c r="E33" i="19" l="1"/>
  <c r="D33" i="19"/>
  <c r="D15" i="19"/>
  <c r="C33" i="19"/>
  <c r="C18" i="19"/>
  <c r="C17" i="19"/>
  <c r="F18" i="19"/>
  <c r="F17" i="19"/>
  <c r="F16" i="19"/>
  <c r="F15" i="19"/>
  <c r="D16" i="19"/>
  <c r="C15" i="19"/>
  <c r="C16" i="19"/>
  <c r="F6" i="19"/>
  <c r="I274" i="54"/>
  <c r="J274" i="54" s="1"/>
  <c r="J429" i="21"/>
  <c r="J417" i="21"/>
  <c r="J389" i="21"/>
  <c r="G33" i="19" l="1"/>
  <c r="J74" i="21" l="1"/>
  <c r="K74" i="21" s="1"/>
  <c r="D23" i="1" s="1"/>
  <c r="J16" i="21"/>
  <c r="K389" i="21"/>
  <c r="E28" i="37" s="1"/>
  <c r="K417" i="21"/>
  <c r="E30" i="37" s="1"/>
  <c r="K429" i="21"/>
  <c r="E31" i="37" s="1"/>
  <c r="J9" i="21"/>
  <c r="K9" i="21" s="1"/>
  <c r="J10" i="21"/>
  <c r="K10" i="21" s="1"/>
  <c r="J11" i="21"/>
  <c r="K11" i="21" s="1"/>
  <c r="D10" i="1" s="1"/>
  <c r="J12" i="21"/>
  <c r="K12" i="21" s="1"/>
  <c r="J13" i="21"/>
  <c r="K13" i="21" s="1"/>
  <c r="J14" i="21"/>
  <c r="K14" i="21" s="1"/>
  <c r="J15" i="21"/>
  <c r="K15" i="21" s="1"/>
  <c r="J17" i="21"/>
  <c r="K17" i="21" s="1"/>
  <c r="J18" i="21"/>
  <c r="K18" i="21" s="1"/>
  <c r="J19" i="21"/>
  <c r="K19" i="21" s="1"/>
  <c r="J20" i="21"/>
  <c r="K20" i="21" s="1"/>
  <c r="J21" i="21"/>
  <c r="K21" i="21" s="1"/>
  <c r="J22" i="21"/>
  <c r="K22" i="21" s="1"/>
  <c r="J23" i="21"/>
  <c r="K23" i="21" s="1"/>
  <c r="J24" i="21"/>
  <c r="K24" i="21" s="1"/>
  <c r="J25" i="21"/>
  <c r="K25" i="21" s="1"/>
  <c r="J26" i="21"/>
  <c r="K26" i="21" s="1"/>
  <c r="J27" i="21"/>
  <c r="K27" i="21" s="1"/>
  <c r="J28" i="21"/>
  <c r="K28" i="21" s="1"/>
  <c r="J29" i="21"/>
  <c r="K29" i="21" s="1"/>
  <c r="J30" i="21"/>
  <c r="K30" i="21" s="1"/>
  <c r="J31" i="21"/>
  <c r="K31" i="21" s="1"/>
  <c r="J32" i="21"/>
  <c r="K32" i="21" s="1"/>
  <c r="J33" i="21"/>
  <c r="K33" i="21" s="1"/>
  <c r="J34" i="21"/>
  <c r="K34" i="21" s="1"/>
  <c r="J35" i="21"/>
  <c r="K35" i="21" s="1"/>
  <c r="J36" i="21"/>
  <c r="K36" i="21" s="1"/>
  <c r="J37" i="21"/>
  <c r="K37" i="21" s="1"/>
  <c r="J38" i="21"/>
  <c r="K38" i="21" s="1"/>
  <c r="J39" i="21"/>
  <c r="K39" i="21" s="1"/>
  <c r="D14" i="1" s="1"/>
  <c r="J40" i="21"/>
  <c r="K40" i="21" s="1"/>
  <c r="J41" i="21"/>
  <c r="K41" i="21" s="1"/>
  <c r="J42" i="21"/>
  <c r="K42" i="21" s="1"/>
  <c r="D13" i="1" s="1"/>
  <c r="J43" i="21"/>
  <c r="K43" i="21" s="1"/>
  <c r="J44" i="21"/>
  <c r="K44" i="21" s="1"/>
  <c r="J45" i="21"/>
  <c r="K45" i="21" s="1"/>
  <c r="J46" i="21"/>
  <c r="K46" i="21" s="1"/>
  <c r="J47" i="21"/>
  <c r="K47" i="21" s="1"/>
  <c r="J48" i="21"/>
  <c r="K48" i="21" s="1"/>
  <c r="J49" i="21"/>
  <c r="K49" i="21" s="1"/>
  <c r="J50" i="21"/>
  <c r="K50" i="21" s="1"/>
  <c r="J51" i="21"/>
  <c r="K51" i="21" s="1"/>
  <c r="D19" i="1" s="1"/>
  <c r="J52" i="21"/>
  <c r="K52" i="21" s="1"/>
  <c r="J53" i="21"/>
  <c r="K53" i="21" s="1"/>
  <c r="J54" i="21"/>
  <c r="K54" i="21" s="1"/>
  <c r="J55" i="21"/>
  <c r="K55" i="21" s="1"/>
  <c r="J56" i="21"/>
  <c r="K56" i="21" s="1"/>
  <c r="J57" i="21"/>
  <c r="K57" i="21" s="1"/>
  <c r="J58" i="21"/>
  <c r="K58" i="21" s="1"/>
  <c r="J59" i="21"/>
  <c r="K59" i="21" s="1"/>
  <c r="D20" i="1" s="1"/>
  <c r="J60" i="21"/>
  <c r="K60" i="21" s="1"/>
  <c r="J61" i="21"/>
  <c r="K61" i="21" s="1"/>
  <c r="J62" i="21"/>
  <c r="K62" i="21" s="1"/>
  <c r="J63" i="21"/>
  <c r="K63" i="21" s="1"/>
  <c r="D22" i="1" s="1"/>
  <c r="J64" i="21"/>
  <c r="K64" i="21" s="1"/>
  <c r="J65" i="21"/>
  <c r="K65" i="21" s="1"/>
  <c r="C3" i="19" s="1"/>
  <c r="J66" i="21"/>
  <c r="K66" i="21" s="1"/>
  <c r="C4" i="19" s="1"/>
  <c r="J67" i="21"/>
  <c r="K67" i="21" s="1"/>
  <c r="C5" i="19" s="1"/>
  <c r="J68" i="21"/>
  <c r="K68" i="21" s="1"/>
  <c r="C6" i="19" s="1"/>
  <c r="J69" i="21"/>
  <c r="K69" i="21" s="1"/>
  <c r="J70" i="21"/>
  <c r="K70" i="21" s="1"/>
  <c r="D3" i="19" s="1"/>
  <c r="J71" i="21"/>
  <c r="K71" i="21" s="1"/>
  <c r="D4" i="19" s="1"/>
  <c r="J72" i="21"/>
  <c r="K72" i="21" s="1"/>
  <c r="D5" i="19" s="1"/>
  <c r="J73" i="21"/>
  <c r="K73" i="21" s="1"/>
  <c r="D6" i="19" s="1"/>
  <c r="J75" i="21"/>
  <c r="K75" i="21" s="1"/>
  <c r="J76" i="21"/>
  <c r="K76" i="21" s="1"/>
  <c r="C27" i="19" s="1"/>
  <c r="J77" i="21"/>
  <c r="K77" i="21" s="1"/>
  <c r="J78" i="21"/>
  <c r="K78" i="21" s="1"/>
  <c r="D27" i="19" s="1"/>
  <c r="J79" i="21"/>
  <c r="K79" i="21" s="1"/>
  <c r="J80" i="21"/>
  <c r="K80" i="21" s="1"/>
  <c r="J81" i="21"/>
  <c r="K81" i="21" s="1"/>
  <c r="J82" i="21"/>
  <c r="K82" i="21" s="1"/>
  <c r="D31" i="1" s="1"/>
  <c r="J83" i="21"/>
  <c r="K83" i="21" s="1"/>
  <c r="J84" i="21"/>
  <c r="K84" i="21" s="1"/>
  <c r="J85" i="21"/>
  <c r="K85" i="21" s="1"/>
  <c r="J86" i="21"/>
  <c r="K86" i="21" s="1"/>
  <c r="J87" i="21"/>
  <c r="K87" i="21" s="1"/>
  <c r="J88" i="21"/>
  <c r="K88" i="21" s="1"/>
  <c r="J89" i="21"/>
  <c r="K89" i="21" s="1"/>
  <c r="J90" i="21"/>
  <c r="K90" i="21" s="1"/>
  <c r="J91" i="21"/>
  <c r="K91" i="21" s="1"/>
  <c r="J92" i="21"/>
  <c r="K92" i="21" s="1"/>
  <c r="J93" i="21"/>
  <c r="K93" i="21" s="1"/>
  <c r="J94" i="21"/>
  <c r="K94" i="21" s="1"/>
  <c r="J95" i="21"/>
  <c r="K95" i="21" s="1"/>
  <c r="J96" i="21"/>
  <c r="K96" i="21" s="1"/>
  <c r="J97" i="21"/>
  <c r="K97" i="21" s="1"/>
  <c r="J98" i="21"/>
  <c r="K98" i="21" s="1"/>
  <c r="J99" i="21"/>
  <c r="K99" i="21" s="1"/>
  <c r="J100" i="21"/>
  <c r="K100" i="21" s="1"/>
  <c r="J101" i="21"/>
  <c r="K101" i="21" s="1"/>
  <c r="J102" i="21"/>
  <c r="K102" i="21" s="1"/>
  <c r="J103" i="21"/>
  <c r="K103" i="21" s="1"/>
  <c r="J104" i="21"/>
  <c r="K104" i="21" s="1"/>
  <c r="J105" i="21"/>
  <c r="K105" i="21" s="1"/>
  <c r="J106" i="21"/>
  <c r="K106" i="21" s="1"/>
  <c r="J107" i="21"/>
  <c r="K107" i="21" s="1"/>
  <c r="J108" i="21"/>
  <c r="K108" i="21" s="1"/>
  <c r="J109" i="21"/>
  <c r="K109" i="21" s="1"/>
  <c r="J110" i="21"/>
  <c r="K110" i="21" s="1"/>
  <c r="J111" i="21"/>
  <c r="K111" i="21" s="1"/>
  <c r="J112" i="21"/>
  <c r="K112" i="21" s="1"/>
  <c r="J113" i="21"/>
  <c r="K113" i="21" s="1"/>
  <c r="J114" i="21"/>
  <c r="K114" i="21" s="1"/>
  <c r="J115" i="21"/>
  <c r="K115" i="21" s="1"/>
  <c r="J116" i="21"/>
  <c r="K116" i="21" s="1"/>
  <c r="J117" i="21"/>
  <c r="K117" i="21" s="1"/>
  <c r="J118" i="21"/>
  <c r="K118" i="21" s="1"/>
  <c r="J119" i="21"/>
  <c r="K119" i="21" s="1"/>
  <c r="J120" i="21"/>
  <c r="K120" i="21" s="1"/>
  <c r="J121" i="21"/>
  <c r="K121" i="21" s="1"/>
  <c r="J122" i="21"/>
  <c r="K122" i="21" s="1"/>
  <c r="J123" i="21"/>
  <c r="K123" i="21" s="1"/>
  <c r="J124" i="21"/>
  <c r="K124" i="21" s="1"/>
  <c r="J125" i="21"/>
  <c r="K125" i="21" s="1"/>
  <c r="J126" i="21"/>
  <c r="K126" i="21" s="1"/>
  <c r="J127" i="21"/>
  <c r="K127" i="21" s="1"/>
  <c r="J128" i="21"/>
  <c r="K128" i="21" s="1"/>
  <c r="J129" i="21"/>
  <c r="K129" i="21" s="1"/>
  <c r="J130" i="21"/>
  <c r="K130" i="21" s="1"/>
  <c r="J131" i="21"/>
  <c r="K131" i="21" s="1"/>
  <c r="J132" i="21"/>
  <c r="K132" i="21" s="1"/>
  <c r="J133" i="21"/>
  <c r="K133" i="21" s="1"/>
  <c r="J134" i="21"/>
  <c r="K134" i="21" s="1"/>
  <c r="J135" i="21"/>
  <c r="K135" i="21" s="1"/>
  <c r="J136" i="21"/>
  <c r="K136" i="21" s="1"/>
  <c r="J137" i="21"/>
  <c r="K137" i="21" s="1"/>
  <c r="J138" i="21"/>
  <c r="K138" i="21" s="1"/>
  <c r="J139" i="21"/>
  <c r="K139" i="21" s="1"/>
  <c r="J140" i="21"/>
  <c r="K140" i="21" s="1"/>
  <c r="J141" i="21"/>
  <c r="K141" i="21" s="1"/>
  <c r="J142" i="21"/>
  <c r="K142" i="21" s="1"/>
  <c r="J143" i="21"/>
  <c r="K143" i="21" s="1"/>
  <c r="J144" i="21"/>
  <c r="K144" i="21" s="1"/>
  <c r="J145" i="21"/>
  <c r="K145" i="21" s="1"/>
  <c r="J146" i="21"/>
  <c r="K146" i="21" s="1"/>
  <c r="J147" i="21"/>
  <c r="K147" i="21" s="1"/>
  <c r="J148" i="21"/>
  <c r="K148" i="21" s="1"/>
  <c r="J149" i="21"/>
  <c r="K149" i="21" s="1"/>
  <c r="J150" i="21"/>
  <c r="K150" i="21" s="1"/>
  <c r="J151" i="21"/>
  <c r="K151" i="21" s="1"/>
  <c r="J152" i="21"/>
  <c r="K152" i="21" s="1"/>
  <c r="J153" i="21"/>
  <c r="K153" i="21" s="1"/>
  <c r="J154" i="21"/>
  <c r="K154" i="21" s="1"/>
  <c r="J155" i="21"/>
  <c r="K155" i="21" s="1"/>
  <c r="J156" i="21"/>
  <c r="K156" i="21" s="1"/>
  <c r="J157" i="21"/>
  <c r="K157" i="21" s="1"/>
  <c r="J158" i="21"/>
  <c r="K158" i="21" s="1"/>
  <c r="J159" i="21"/>
  <c r="K159" i="21" s="1"/>
  <c r="J160" i="21"/>
  <c r="K160" i="21" s="1"/>
  <c r="J161" i="21"/>
  <c r="K161" i="21" s="1"/>
  <c r="J162" i="21"/>
  <c r="K162" i="21" s="1"/>
  <c r="J163" i="21"/>
  <c r="K163" i="21" s="1"/>
  <c r="J164" i="21"/>
  <c r="K164" i="21" s="1"/>
  <c r="J165" i="21"/>
  <c r="K165" i="21" s="1"/>
  <c r="J166" i="21"/>
  <c r="K166" i="21" s="1"/>
  <c r="J167" i="21"/>
  <c r="K167" i="21" s="1"/>
  <c r="J168" i="21"/>
  <c r="K168" i="21" s="1"/>
  <c r="J169" i="21"/>
  <c r="K169" i="21" s="1"/>
  <c r="J170" i="21"/>
  <c r="K170" i="21" s="1"/>
  <c r="J171" i="21"/>
  <c r="K171" i="21" s="1"/>
  <c r="J172" i="21"/>
  <c r="K172" i="21" s="1"/>
  <c r="J173" i="21"/>
  <c r="K173" i="21" s="1"/>
  <c r="J174" i="21"/>
  <c r="K174" i="21" s="1"/>
  <c r="J175" i="21"/>
  <c r="K175" i="21" s="1"/>
  <c r="J176" i="21"/>
  <c r="K176" i="21" s="1"/>
  <c r="J177" i="21"/>
  <c r="K177" i="21" s="1"/>
  <c r="J178" i="21"/>
  <c r="K178" i="21" s="1"/>
  <c r="J179" i="21"/>
  <c r="K179" i="21" s="1"/>
  <c r="J180" i="21"/>
  <c r="K180" i="21" s="1"/>
  <c r="J181" i="21"/>
  <c r="K181" i="21" s="1"/>
  <c r="J182" i="21"/>
  <c r="K182" i="21" s="1"/>
  <c r="J183" i="21"/>
  <c r="K183" i="21" s="1"/>
  <c r="J184" i="21"/>
  <c r="K184" i="21" s="1"/>
  <c r="J185" i="21"/>
  <c r="K185" i="21" s="1"/>
  <c r="J186" i="21"/>
  <c r="K186" i="21" s="1"/>
  <c r="J187" i="21"/>
  <c r="K187" i="21" s="1"/>
  <c r="J188" i="21"/>
  <c r="K188" i="21" s="1"/>
  <c r="J189" i="21"/>
  <c r="K189" i="21" s="1"/>
  <c r="J190" i="21"/>
  <c r="K190" i="21" s="1"/>
  <c r="J191" i="21"/>
  <c r="K191" i="21" s="1"/>
  <c r="J192" i="21"/>
  <c r="K192" i="21" s="1"/>
  <c r="J193" i="21"/>
  <c r="K193" i="21" s="1"/>
  <c r="J194" i="21"/>
  <c r="K194" i="21" s="1"/>
  <c r="J195" i="21"/>
  <c r="K195" i="21" s="1"/>
  <c r="J196" i="21"/>
  <c r="K196" i="21" s="1"/>
  <c r="J197" i="21"/>
  <c r="K197" i="21" s="1"/>
  <c r="J198" i="21"/>
  <c r="K198" i="21" s="1"/>
  <c r="J199" i="21"/>
  <c r="K199" i="21" s="1"/>
  <c r="J200" i="21"/>
  <c r="K200" i="21" s="1"/>
  <c r="J201" i="21"/>
  <c r="K201" i="21" s="1"/>
  <c r="J202" i="21"/>
  <c r="K202" i="21" s="1"/>
  <c r="J203" i="21"/>
  <c r="K203" i="21" s="1"/>
  <c r="J204" i="21"/>
  <c r="K204" i="21" s="1"/>
  <c r="J205" i="21"/>
  <c r="K205" i="21" s="1"/>
  <c r="J206" i="21"/>
  <c r="K206" i="21" s="1"/>
  <c r="J207" i="21"/>
  <c r="K207" i="21" s="1"/>
  <c r="J208" i="21"/>
  <c r="K208" i="21" s="1"/>
  <c r="J209" i="21"/>
  <c r="K209" i="21" s="1"/>
  <c r="J210" i="21"/>
  <c r="K210" i="21" s="1"/>
  <c r="J211" i="21"/>
  <c r="K211" i="21" s="1"/>
  <c r="J212" i="21"/>
  <c r="K212" i="21" s="1"/>
  <c r="J213" i="21"/>
  <c r="K213" i="21" s="1"/>
  <c r="J214" i="21"/>
  <c r="K214" i="21" s="1"/>
  <c r="J215" i="21"/>
  <c r="K215" i="21" s="1"/>
  <c r="J216" i="21"/>
  <c r="K216" i="21" s="1"/>
  <c r="J217" i="21"/>
  <c r="K217" i="21" s="1"/>
  <c r="J218" i="21"/>
  <c r="K218" i="21" s="1"/>
  <c r="J219" i="21"/>
  <c r="K219" i="21" s="1"/>
  <c r="J220" i="21"/>
  <c r="K220" i="21" s="1"/>
  <c r="J221" i="21"/>
  <c r="K221" i="21" s="1"/>
  <c r="J222" i="21"/>
  <c r="K222" i="21" s="1"/>
  <c r="J223" i="21"/>
  <c r="K223" i="21" s="1"/>
  <c r="J224" i="21"/>
  <c r="K224" i="21" s="1"/>
  <c r="J225" i="21"/>
  <c r="K225" i="21" s="1"/>
  <c r="J226" i="21"/>
  <c r="K226" i="21" s="1"/>
  <c r="J227" i="21"/>
  <c r="K227" i="21" s="1"/>
  <c r="J228" i="21"/>
  <c r="K228" i="21" s="1"/>
  <c r="J229" i="21"/>
  <c r="K229" i="21" s="1"/>
  <c r="J230" i="21"/>
  <c r="K230" i="21" s="1"/>
  <c r="J231" i="21"/>
  <c r="K231" i="21" s="1"/>
  <c r="J232" i="21"/>
  <c r="K232" i="21" s="1"/>
  <c r="J233" i="21"/>
  <c r="K233" i="21" s="1"/>
  <c r="J234" i="21"/>
  <c r="K234" i="21" s="1"/>
  <c r="J235" i="21"/>
  <c r="K235" i="21" s="1"/>
  <c r="J236" i="21"/>
  <c r="K236" i="21" s="1"/>
  <c r="J237" i="21"/>
  <c r="K237" i="21" s="1"/>
  <c r="J238" i="21"/>
  <c r="K238" i="21" s="1"/>
  <c r="J239" i="21"/>
  <c r="K239" i="21" s="1"/>
  <c r="J240" i="21"/>
  <c r="K240" i="21" s="1"/>
  <c r="J241" i="21"/>
  <c r="K241" i="21" s="1"/>
  <c r="J242" i="21"/>
  <c r="K242" i="21" s="1"/>
  <c r="J243" i="21"/>
  <c r="K243" i="21" s="1"/>
  <c r="J244" i="21"/>
  <c r="K244" i="21" s="1"/>
  <c r="J245" i="21"/>
  <c r="K245" i="21" s="1"/>
  <c r="J246" i="21"/>
  <c r="K246" i="21" s="1"/>
  <c r="J247" i="21"/>
  <c r="K247" i="21" s="1"/>
  <c r="J248" i="21"/>
  <c r="K248" i="21" s="1"/>
  <c r="J249" i="21"/>
  <c r="K249" i="21" s="1"/>
  <c r="J250" i="21"/>
  <c r="K250" i="21" s="1"/>
  <c r="J251" i="21"/>
  <c r="K251" i="21" s="1"/>
  <c r="J252" i="21"/>
  <c r="K252" i="21" s="1"/>
  <c r="J253" i="21"/>
  <c r="K253" i="21" s="1"/>
  <c r="J254" i="21"/>
  <c r="K254" i="21" s="1"/>
  <c r="J255" i="21"/>
  <c r="K255" i="21" s="1"/>
  <c r="J256" i="21"/>
  <c r="K256" i="21" s="1"/>
  <c r="J257" i="21"/>
  <c r="K257" i="21" s="1"/>
  <c r="J258" i="21"/>
  <c r="K258" i="21" s="1"/>
  <c r="D34" i="1" s="1"/>
  <c r="J259" i="21"/>
  <c r="K259" i="21" s="1"/>
  <c r="J260" i="21"/>
  <c r="K260" i="21" s="1"/>
  <c r="D35" i="1" s="1"/>
  <c r="J261" i="21"/>
  <c r="K261" i="21" s="1"/>
  <c r="J262" i="21"/>
  <c r="K262" i="21" s="1"/>
  <c r="J263" i="21"/>
  <c r="K263" i="21" s="1"/>
  <c r="J264" i="21"/>
  <c r="K264" i="21" s="1"/>
  <c r="J265" i="21"/>
  <c r="K265" i="21" s="1"/>
  <c r="J266" i="21"/>
  <c r="K266" i="21" s="1"/>
  <c r="J267" i="21"/>
  <c r="K267" i="21" s="1"/>
  <c r="D40" i="1" s="1"/>
  <c r="J268" i="21"/>
  <c r="K268" i="21" s="1"/>
  <c r="J269" i="21"/>
  <c r="K269" i="21" s="1"/>
  <c r="J270" i="21"/>
  <c r="K270" i="21" s="1"/>
  <c r="J271" i="21"/>
  <c r="K271" i="21" s="1"/>
  <c r="J272" i="21"/>
  <c r="K272" i="21" s="1"/>
  <c r="J273" i="21"/>
  <c r="K273" i="21" s="1"/>
  <c r="D44" i="1" s="1"/>
  <c r="J274" i="21"/>
  <c r="K274" i="21" s="1"/>
  <c r="J275" i="21"/>
  <c r="K275" i="21" s="1"/>
  <c r="J276" i="21"/>
  <c r="K276" i="21" s="1"/>
  <c r="J277" i="21"/>
  <c r="K277" i="21" s="1"/>
  <c r="J278" i="21"/>
  <c r="K278" i="21" s="1"/>
  <c r="J279" i="21"/>
  <c r="K279" i="21" s="1"/>
  <c r="J280" i="21"/>
  <c r="K280" i="21" s="1"/>
  <c r="J281" i="21"/>
  <c r="K281" i="21" s="1"/>
  <c r="J282" i="21"/>
  <c r="K282" i="21" s="1"/>
  <c r="J283" i="21"/>
  <c r="K283" i="21" s="1"/>
  <c r="J284" i="21"/>
  <c r="K284" i="21" s="1"/>
  <c r="J285" i="21"/>
  <c r="K285" i="21" s="1"/>
  <c r="J286" i="21"/>
  <c r="K286" i="21" s="1"/>
  <c r="J287" i="21"/>
  <c r="K287" i="21" s="1"/>
  <c r="J288" i="21"/>
  <c r="K288" i="21" s="1"/>
  <c r="C8" i="40" s="1"/>
  <c r="J289" i="21"/>
  <c r="K289" i="21" s="1"/>
  <c r="E36" i="37" s="1"/>
  <c r="J290" i="21"/>
  <c r="K290" i="21" s="1"/>
  <c r="J291" i="21"/>
  <c r="K291" i="21" s="1"/>
  <c r="J292" i="21"/>
  <c r="K292" i="21" s="1"/>
  <c r="J293" i="21"/>
  <c r="K293" i="21" s="1"/>
  <c r="E25" i="32" s="1"/>
  <c r="J294" i="21"/>
  <c r="K294" i="21" s="1"/>
  <c r="J295" i="21"/>
  <c r="K295" i="21" s="1"/>
  <c r="J296" i="21"/>
  <c r="K296" i="21" s="1"/>
  <c r="J297" i="21"/>
  <c r="K297" i="21" s="1"/>
  <c r="J298" i="21"/>
  <c r="K298" i="21" s="1"/>
  <c r="J299" i="21"/>
  <c r="K299" i="21" s="1"/>
  <c r="J300" i="21"/>
  <c r="K300" i="21" s="1"/>
  <c r="E39" i="37" s="1"/>
  <c r="J301" i="21"/>
  <c r="K301" i="21" s="1"/>
  <c r="J302" i="21"/>
  <c r="K302" i="21" s="1"/>
  <c r="E38" i="37" s="1"/>
  <c r="J303" i="21"/>
  <c r="K303" i="21" s="1"/>
  <c r="J304" i="21"/>
  <c r="K304" i="21" s="1"/>
  <c r="J305" i="21"/>
  <c r="K305" i="21" s="1"/>
  <c r="J306" i="21"/>
  <c r="K306" i="21" s="1"/>
  <c r="J307" i="21"/>
  <c r="K307" i="21" s="1"/>
  <c r="J308" i="21"/>
  <c r="K308" i="21" s="1"/>
  <c r="J309" i="21"/>
  <c r="K309" i="21" s="1"/>
  <c r="J310" i="21"/>
  <c r="K310" i="21" s="1"/>
  <c r="J311" i="21"/>
  <c r="K311" i="21" s="1"/>
  <c r="J312" i="21"/>
  <c r="K312" i="21" s="1"/>
  <c r="J313" i="21"/>
  <c r="K313" i="21" s="1"/>
  <c r="J314" i="21"/>
  <c r="K314" i="21" s="1"/>
  <c r="J315" i="21"/>
  <c r="K315" i="21" s="1"/>
  <c r="E12" i="37" s="1"/>
  <c r="J316" i="21"/>
  <c r="K316" i="21" s="1"/>
  <c r="J317" i="21"/>
  <c r="K317" i="21" s="1"/>
  <c r="J318" i="21"/>
  <c r="K318" i="21" s="1"/>
  <c r="J319" i="21"/>
  <c r="K319" i="21" s="1"/>
  <c r="J320" i="21"/>
  <c r="K320" i="21" s="1"/>
  <c r="J321" i="21"/>
  <c r="K321" i="21" s="1"/>
  <c r="J322" i="21"/>
  <c r="K322" i="21" s="1"/>
  <c r="J323" i="21"/>
  <c r="K323" i="21" s="1"/>
  <c r="J324" i="21"/>
  <c r="K324" i="21" s="1"/>
  <c r="J325" i="21"/>
  <c r="K325" i="21" s="1"/>
  <c r="J326" i="21"/>
  <c r="K326" i="21" s="1"/>
  <c r="J327" i="21"/>
  <c r="K327" i="21" s="1"/>
  <c r="J328" i="21"/>
  <c r="K328" i="21" s="1"/>
  <c r="J329" i="21"/>
  <c r="K329" i="21" s="1"/>
  <c r="J330" i="21"/>
  <c r="K330" i="21" s="1"/>
  <c r="J331" i="21"/>
  <c r="K331" i="21" s="1"/>
  <c r="J332" i="21"/>
  <c r="K332" i="21" s="1"/>
  <c r="E15" i="37" s="1"/>
  <c r="J333" i="21"/>
  <c r="K333" i="21" s="1"/>
  <c r="J334" i="21"/>
  <c r="K334" i="21" s="1"/>
  <c r="J335" i="21"/>
  <c r="K335" i="21" s="1"/>
  <c r="J336" i="21"/>
  <c r="K336" i="21" s="1"/>
  <c r="J337" i="21"/>
  <c r="K337" i="21" s="1"/>
  <c r="J338" i="21"/>
  <c r="K338" i="21" s="1"/>
  <c r="J339" i="21"/>
  <c r="K339" i="21" s="1"/>
  <c r="J340" i="21"/>
  <c r="K340" i="21" s="1"/>
  <c r="J341" i="21"/>
  <c r="K341" i="21" s="1"/>
  <c r="E18" i="37" s="1"/>
  <c r="J342" i="21"/>
  <c r="K342" i="21" s="1"/>
  <c r="E42" i="32" s="1"/>
  <c r="J343" i="21"/>
  <c r="K343" i="21" s="1"/>
  <c r="E41" i="32" s="1"/>
  <c r="J344" i="21"/>
  <c r="K344" i="21" s="1"/>
  <c r="J345" i="21"/>
  <c r="K345" i="21" s="1"/>
  <c r="E16" i="37" s="1"/>
  <c r="J346" i="21"/>
  <c r="K346" i="21" s="1"/>
  <c r="J347" i="21"/>
  <c r="K347" i="21" s="1"/>
  <c r="J348" i="21"/>
  <c r="K348" i="21" s="1"/>
  <c r="J349" i="21"/>
  <c r="K349" i="21" s="1"/>
  <c r="J350" i="21"/>
  <c r="K350" i="21" s="1"/>
  <c r="J351" i="21"/>
  <c r="K351" i="21" s="1"/>
  <c r="J352" i="21"/>
  <c r="K352" i="21" s="1"/>
  <c r="J353" i="21"/>
  <c r="K353" i="21" s="1"/>
  <c r="J354" i="21"/>
  <c r="K354" i="21" s="1"/>
  <c r="E17" i="37" s="1"/>
  <c r="J355" i="21"/>
  <c r="K355" i="21" s="1"/>
  <c r="J356" i="21"/>
  <c r="K356" i="21" s="1"/>
  <c r="J357" i="21"/>
  <c r="K357" i="21" s="1"/>
  <c r="J358" i="21"/>
  <c r="K358" i="21" s="1"/>
  <c r="J359" i="21"/>
  <c r="K359" i="21" s="1"/>
  <c r="J360" i="21"/>
  <c r="K360" i="21" s="1"/>
  <c r="J361" i="21"/>
  <c r="K361" i="21" s="1"/>
  <c r="J362" i="21"/>
  <c r="K362" i="21" s="1"/>
  <c r="J363" i="21"/>
  <c r="K363" i="21" s="1"/>
  <c r="E24" i="37" s="1"/>
  <c r="J364" i="21"/>
  <c r="K364" i="21" s="1"/>
  <c r="J365" i="21"/>
  <c r="K365" i="21" s="1"/>
  <c r="J366" i="21"/>
  <c r="K366" i="21" s="1"/>
  <c r="J367" i="21"/>
  <c r="K367" i="21" s="1"/>
  <c r="J368" i="21"/>
  <c r="K368" i="21" s="1"/>
  <c r="J369" i="21"/>
  <c r="K369" i="21" s="1"/>
  <c r="J370" i="21"/>
  <c r="K370" i="21" s="1"/>
  <c r="E25" i="37" s="1"/>
  <c r="J371" i="21"/>
  <c r="K371" i="21" s="1"/>
  <c r="J372" i="21"/>
  <c r="K372" i="21" s="1"/>
  <c r="J373" i="21"/>
  <c r="K373" i="21" s="1"/>
  <c r="J374" i="21"/>
  <c r="K374" i="21" s="1"/>
  <c r="J375" i="21"/>
  <c r="K375" i="21" s="1"/>
  <c r="J376" i="21"/>
  <c r="K376" i="21" s="1"/>
  <c r="J377" i="21"/>
  <c r="K377" i="21" s="1"/>
  <c r="E26" i="37" s="1"/>
  <c r="J378" i="21"/>
  <c r="K378" i="21" s="1"/>
  <c r="J379" i="21"/>
  <c r="K379" i="21" s="1"/>
  <c r="J380" i="21"/>
  <c r="K380" i="21" s="1"/>
  <c r="J381" i="21"/>
  <c r="K381" i="21" s="1"/>
  <c r="J382" i="21"/>
  <c r="K382" i="21" s="1"/>
  <c r="J383" i="21"/>
  <c r="K383" i="21" s="1"/>
  <c r="J384" i="21"/>
  <c r="K384" i="21" s="1"/>
  <c r="J385" i="21"/>
  <c r="K385" i="21" s="1"/>
  <c r="J386" i="21"/>
  <c r="K386" i="21" s="1"/>
  <c r="E27" i="37" s="1"/>
  <c r="J387" i="21"/>
  <c r="K387" i="21" s="1"/>
  <c r="J388" i="21"/>
  <c r="K388" i="21" s="1"/>
  <c r="J390" i="21"/>
  <c r="K390" i="21" s="1"/>
  <c r="J391" i="21"/>
  <c r="K391" i="21" s="1"/>
  <c r="J392" i="21"/>
  <c r="K392" i="21" s="1"/>
  <c r="J393" i="21"/>
  <c r="K393" i="21" s="1"/>
  <c r="J394" i="21"/>
  <c r="K394" i="21" s="1"/>
  <c r="J395" i="21"/>
  <c r="K395" i="21" s="1"/>
  <c r="J396" i="21"/>
  <c r="K396" i="21" s="1"/>
  <c r="J397" i="21"/>
  <c r="K397" i="21" s="1"/>
  <c r="J398" i="21"/>
  <c r="K398" i="21" s="1"/>
  <c r="J399" i="21"/>
  <c r="K399" i="21" s="1"/>
  <c r="J400" i="21"/>
  <c r="K400" i="21" s="1"/>
  <c r="J401" i="21"/>
  <c r="K401" i="21" s="1"/>
  <c r="J402" i="21"/>
  <c r="K402" i="21" s="1"/>
  <c r="J403" i="21"/>
  <c r="K403" i="21" s="1"/>
  <c r="E29" i="37" s="1"/>
  <c r="J404" i="21"/>
  <c r="K404" i="21" s="1"/>
  <c r="J405" i="21"/>
  <c r="K405" i="21" s="1"/>
  <c r="J406" i="21"/>
  <c r="K406" i="21" s="1"/>
  <c r="J407" i="21"/>
  <c r="K407" i="21" s="1"/>
  <c r="J408" i="21"/>
  <c r="K408" i="21" s="1"/>
  <c r="J409" i="21"/>
  <c r="K409" i="21" s="1"/>
  <c r="J410" i="21"/>
  <c r="K410" i="21" s="1"/>
  <c r="E52" i="37" s="1"/>
  <c r="J411" i="21"/>
  <c r="K411" i="21" s="1"/>
  <c r="J412" i="21"/>
  <c r="K412" i="21" s="1"/>
  <c r="J413" i="21"/>
  <c r="K413" i="21" s="1"/>
  <c r="J414" i="21"/>
  <c r="K414" i="21" s="1"/>
  <c r="J415" i="21"/>
  <c r="K415" i="21" s="1"/>
  <c r="E36" i="32" s="1"/>
  <c r="J416" i="21"/>
  <c r="K416" i="21" s="1"/>
  <c r="J418" i="21"/>
  <c r="K418" i="21" s="1"/>
  <c r="J419" i="21"/>
  <c r="K419" i="21" s="1"/>
  <c r="J420" i="21"/>
  <c r="K420" i="21" s="1"/>
  <c r="J421" i="21"/>
  <c r="K421" i="21" s="1"/>
  <c r="J422" i="21"/>
  <c r="K422" i="21" s="1"/>
  <c r="J423" i="21"/>
  <c r="K423" i="21" s="1"/>
  <c r="J424" i="21"/>
  <c r="K424" i="21" s="1"/>
  <c r="J425" i="21"/>
  <c r="K425" i="21" s="1"/>
  <c r="J426" i="21"/>
  <c r="K426" i="21" s="1"/>
  <c r="J427" i="21"/>
  <c r="K427" i="21" s="1"/>
  <c r="J428" i="21"/>
  <c r="K428" i="21" s="1"/>
  <c r="J430" i="21"/>
  <c r="K430" i="21" s="1"/>
  <c r="J431" i="21"/>
  <c r="K431" i="21" s="1"/>
  <c r="J432" i="21"/>
  <c r="K432" i="21" s="1"/>
  <c r="J433" i="21"/>
  <c r="K433" i="21" s="1"/>
  <c r="J434" i="21"/>
  <c r="K434" i="21" s="1"/>
  <c r="J435" i="21"/>
  <c r="K435" i="21" s="1"/>
  <c r="J436" i="21"/>
  <c r="K436" i="21" s="1"/>
  <c r="J437" i="21"/>
  <c r="K437" i="21" s="1"/>
  <c r="J438" i="21"/>
  <c r="K438" i="21" s="1"/>
  <c r="J439" i="21"/>
  <c r="K439" i="21" s="1"/>
  <c r="J440" i="21"/>
  <c r="K440" i="21" s="1"/>
  <c r="J441" i="21"/>
  <c r="K441" i="21" s="1"/>
  <c r="J442" i="21"/>
  <c r="K442" i="21" s="1"/>
  <c r="J444" i="21"/>
  <c r="K444" i="21" s="1"/>
  <c r="E49" i="32" s="1"/>
  <c r="J445" i="21"/>
  <c r="K445" i="21" s="1"/>
  <c r="J446" i="21"/>
  <c r="K446" i="21" s="1"/>
  <c r="J447" i="21"/>
  <c r="K447" i="21" s="1"/>
  <c r="J448" i="21"/>
  <c r="K448" i="21" s="1"/>
  <c r="J449" i="21"/>
  <c r="K449" i="21" s="1"/>
  <c r="J450" i="21"/>
  <c r="K450" i="21" s="1"/>
  <c r="J451" i="21"/>
  <c r="K451" i="21" s="1"/>
  <c r="J452" i="21"/>
  <c r="K452" i="21" s="1"/>
  <c r="J453" i="21"/>
  <c r="K453" i="21" s="1"/>
  <c r="J454" i="21"/>
  <c r="K454" i="21" s="1"/>
  <c r="J455" i="21"/>
  <c r="K455" i="21" s="1"/>
  <c r="J456" i="21"/>
  <c r="K456" i="21" s="1"/>
  <c r="J457" i="21"/>
  <c r="K457" i="21" s="1"/>
  <c r="J8" i="21"/>
  <c r="K8" i="21" s="1"/>
  <c r="I386" i="54"/>
  <c r="J386" i="54" s="1"/>
  <c r="I387" i="54"/>
  <c r="J387" i="54" s="1"/>
  <c r="I388" i="54"/>
  <c r="J388" i="54" s="1"/>
  <c r="I389" i="54"/>
  <c r="J389" i="54" s="1"/>
  <c r="I390" i="54"/>
  <c r="J390" i="54" s="1"/>
  <c r="I391" i="54"/>
  <c r="J391" i="54" s="1"/>
  <c r="I392" i="54"/>
  <c r="J392" i="54" s="1"/>
  <c r="I393" i="54"/>
  <c r="J393" i="54" s="1"/>
  <c r="I394" i="54"/>
  <c r="J394" i="54" s="1"/>
  <c r="I395" i="54"/>
  <c r="J395" i="54" s="1"/>
  <c r="I396" i="54"/>
  <c r="J396" i="54" s="1"/>
  <c r="I397" i="54"/>
  <c r="J397" i="54" s="1"/>
  <c r="I398" i="54"/>
  <c r="J398" i="54" s="1"/>
  <c r="I399" i="54"/>
  <c r="J399" i="54" s="1"/>
  <c r="I400" i="54"/>
  <c r="J400" i="54" s="1"/>
  <c r="I401" i="54"/>
  <c r="J401" i="54" s="1"/>
  <c r="I8" i="54"/>
  <c r="E45" i="40"/>
  <c r="N23" i="20"/>
  <c r="N22" i="20"/>
  <c r="E37" i="37" l="1"/>
  <c r="E11" i="32"/>
  <c r="E35" i="32"/>
  <c r="E40" i="32"/>
  <c r="E44" i="32" s="1"/>
  <c r="E33" i="32"/>
  <c r="E37" i="32" s="1"/>
  <c r="D47" i="1"/>
  <c r="E48" i="32"/>
  <c r="E15" i="32"/>
  <c r="E34" i="32"/>
  <c r="D32" i="1"/>
  <c r="E9" i="40"/>
  <c r="E28" i="40" s="1"/>
  <c r="N27" i="20"/>
  <c r="D11" i="1"/>
  <c r="K16" i="21"/>
  <c r="E32" i="37"/>
  <c r="E46" i="37"/>
  <c r="J34" i="20"/>
  <c r="D46" i="1"/>
  <c r="D33" i="1"/>
  <c r="E13" i="37"/>
  <c r="E27" i="32"/>
  <c r="E45" i="37"/>
  <c r="E48" i="37" s="1"/>
  <c r="E11" i="37"/>
  <c r="D36" i="1"/>
  <c r="C27" i="40" s="1"/>
  <c r="D12" i="1"/>
  <c r="D15" i="1" s="1"/>
  <c r="E19" i="37" l="1"/>
  <c r="E21" i="37" s="1"/>
  <c r="D33" i="56" l="1"/>
  <c r="D36" i="56" s="1"/>
  <c r="F33" i="56"/>
  <c r="F36" i="56" s="1"/>
  <c r="G34" i="56"/>
  <c r="F25" i="56"/>
  <c r="E35" i="56"/>
  <c r="H35" i="56" s="1"/>
  <c r="E34" i="56"/>
  <c r="E39" i="56" s="1"/>
  <c r="E41" i="56" s="1"/>
  <c r="E33" i="56"/>
  <c r="E36" i="56" s="1"/>
  <c r="E43" i="56" l="1"/>
  <c r="E45" i="56" s="1"/>
  <c r="I24" i="48"/>
  <c r="I75" i="48"/>
  <c r="I31" i="48"/>
  <c r="I32" i="48" s="1"/>
  <c r="H34" i="56"/>
  <c r="G36" i="56"/>
  <c r="F43" i="56" s="1"/>
  <c r="F45" i="56" s="1"/>
  <c r="H33" i="56"/>
  <c r="H36" i="56" s="1"/>
  <c r="L30" i="20" l="1"/>
  <c r="J30" i="20"/>
  <c r="I385" i="54" l="1"/>
  <c r="J385" i="54" s="1"/>
  <c r="G46" i="37" s="1"/>
  <c r="I384" i="54"/>
  <c r="J384" i="54" s="1"/>
  <c r="I383" i="54"/>
  <c r="J383" i="54" s="1"/>
  <c r="I382" i="54"/>
  <c r="J382" i="54" s="1"/>
  <c r="I381" i="54"/>
  <c r="J381" i="54" s="1"/>
  <c r="I380" i="54"/>
  <c r="J380" i="54" s="1"/>
  <c r="I379" i="54"/>
  <c r="J379" i="54" s="1"/>
  <c r="I378" i="54"/>
  <c r="J378" i="54" s="1"/>
  <c r="I377" i="54"/>
  <c r="J377" i="54" s="1"/>
  <c r="I376" i="54"/>
  <c r="J376" i="54" s="1"/>
  <c r="I375" i="54"/>
  <c r="J375" i="54" s="1"/>
  <c r="I374" i="54"/>
  <c r="J374" i="54" s="1"/>
  <c r="G31" i="37" s="1"/>
  <c r="I373" i="54"/>
  <c r="J373" i="54" s="1"/>
  <c r="I372" i="54"/>
  <c r="J372" i="54" s="1"/>
  <c r="I371" i="54"/>
  <c r="J371" i="54" s="1"/>
  <c r="I370" i="54"/>
  <c r="J370" i="54" s="1"/>
  <c r="I369" i="54"/>
  <c r="J369" i="54" s="1"/>
  <c r="I368" i="54"/>
  <c r="J368" i="54" s="1"/>
  <c r="I367" i="54"/>
  <c r="J367" i="54" s="1"/>
  <c r="I366" i="54"/>
  <c r="J366" i="54" s="1"/>
  <c r="I365" i="54"/>
  <c r="J365" i="54" s="1"/>
  <c r="I364" i="54"/>
  <c r="J364" i="54" s="1"/>
  <c r="I363" i="54"/>
  <c r="J363" i="54" s="1"/>
  <c r="I362" i="54"/>
  <c r="J362" i="54" s="1"/>
  <c r="G30" i="37" s="1"/>
  <c r="I361" i="54"/>
  <c r="J361" i="54" s="1"/>
  <c r="I360" i="54"/>
  <c r="J360" i="54" s="1"/>
  <c r="I359" i="54"/>
  <c r="J359" i="54" s="1"/>
  <c r="G32" i="37" s="1"/>
  <c r="I358" i="54"/>
  <c r="J358" i="54" s="1"/>
  <c r="I357" i="54"/>
  <c r="J357" i="54" s="1"/>
  <c r="I356" i="54"/>
  <c r="J356" i="54" s="1"/>
  <c r="I355" i="54"/>
  <c r="J355" i="54" s="1"/>
  <c r="G52" i="37" s="1"/>
  <c r="I354" i="54"/>
  <c r="J354" i="54" s="1"/>
  <c r="I353" i="54"/>
  <c r="J353" i="54" s="1"/>
  <c r="I352" i="54"/>
  <c r="J352" i="54" s="1"/>
  <c r="I351" i="54"/>
  <c r="J351" i="54" s="1"/>
  <c r="I350" i="54"/>
  <c r="J350" i="54" s="1"/>
  <c r="I349" i="54"/>
  <c r="J349" i="54" s="1"/>
  <c r="I348" i="54"/>
  <c r="J348" i="54" s="1"/>
  <c r="G29" i="37" s="1"/>
  <c r="I347" i="54"/>
  <c r="J347" i="54" s="1"/>
  <c r="I346" i="54"/>
  <c r="J346" i="54" s="1"/>
  <c r="I345" i="54"/>
  <c r="J345" i="54" s="1"/>
  <c r="I344" i="54"/>
  <c r="J344" i="54" s="1"/>
  <c r="I343" i="54"/>
  <c r="J343" i="54" s="1"/>
  <c r="I342" i="54"/>
  <c r="J342" i="54" s="1"/>
  <c r="I341" i="54"/>
  <c r="J341" i="54" s="1"/>
  <c r="I340" i="54"/>
  <c r="J340" i="54" s="1"/>
  <c r="I339" i="54"/>
  <c r="J339" i="54" s="1"/>
  <c r="I338" i="54"/>
  <c r="J338" i="54" s="1"/>
  <c r="I337" i="54"/>
  <c r="J337" i="54" s="1"/>
  <c r="I336" i="54"/>
  <c r="J336" i="54" s="1"/>
  <c r="I335" i="54"/>
  <c r="J335" i="54" s="1"/>
  <c r="I334" i="54"/>
  <c r="J334" i="54" s="1"/>
  <c r="G28" i="37" s="1"/>
  <c r="I333" i="54"/>
  <c r="J333" i="54" s="1"/>
  <c r="I332" i="54"/>
  <c r="J332" i="54" s="1"/>
  <c r="I331" i="54"/>
  <c r="J331" i="54" s="1"/>
  <c r="G27" i="37" s="1"/>
  <c r="I330" i="54"/>
  <c r="J330" i="54" s="1"/>
  <c r="I329" i="54"/>
  <c r="J329" i="54" s="1"/>
  <c r="I328" i="54"/>
  <c r="J328" i="54" s="1"/>
  <c r="I327" i="54"/>
  <c r="J327" i="54" s="1"/>
  <c r="I326" i="54"/>
  <c r="J326" i="54" s="1"/>
  <c r="I325" i="54"/>
  <c r="J325" i="54" s="1"/>
  <c r="I324" i="54"/>
  <c r="J324" i="54" s="1"/>
  <c r="I323" i="54"/>
  <c r="J323" i="54" s="1"/>
  <c r="I322" i="54"/>
  <c r="J322" i="54" s="1"/>
  <c r="G26" i="37" s="1"/>
  <c r="I321" i="54"/>
  <c r="J321" i="54" s="1"/>
  <c r="I320" i="54"/>
  <c r="J320" i="54" s="1"/>
  <c r="I319" i="54"/>
  <c r="J319" i="54" s="1"/>
  <c r="I318" i="54"/>
  <c r="J318" i="54" s="1"/>
  <c r="I317" i="54"/>
  <c r="J317" i="54" s="1"/>
  <c r="I316" i="54"/>
  <c r="J316" i="54" s="1"/>
  <c r="I315" i="54"/>
  <c r="J315" i="54" s="1"/>
  <c r="G25" i="37" s="1"/>
  <c r="I314" i="54"/>
  <c r="J314" i="54" s="1"/>
  <c r="I313" i="54"/>
  <c r="J313" i="54" s="1"/>
  <c r="I312" i="54"/>
  <c r="J312" i="54" s="1"/>
  <c r="I311" i="54"/>
  <c r="J311" i="54" s="1"/>
  <c r="I310" i="54"/>
  <c r="J310" i="54" s="1"/>
  <c r="I309" i="54"/>
  <c r="J309" i="54" s="1"/>
  <c r="I308" i="54"/>
  <c r="J308" i="54" s="1"/>
  <c r="G24" i="37" s="1"/>
  <c r="I307" i="54"/>
  <c r="J307" i="54" s="1"/>
  <c r="I306" i="54"/>
  <c r="J306" i="54" s="1"/>
  <c r="I305" i="54"/>
  <c r="J305" i="54" s="1"/>
  <c r="I304" i="54"/>
  <c r="J304" i="54" s="1"/>
  <c r="I303" i="54"/>
  <c r="J303" i="54" s="1"/>
  <c r="I302" i="54"/>
  <c r="J302" i="54" s="1"/>
  <c r="I301" i="54"/>
  <c r="J301" i="54" s="1"/>
  <c r="I300" i="54"/>
  <c r="J300" i="54" s="1"/>
  <c r="I299" i="54"/>
  <c r="J299" i="54" s="1"/>
  <c r="G17" i="37" s="1"/>
  <c r="I298" i="54"/>
  <c r="J298" i="54" s="1"/>
  <c r="I297" i="54"/>
  <c r="J297" i="54" s="1"/>
  <c r="I296" i="54"/>
  <c r="J296" i="54" s="1"/>
  <c r="I295" i="54"/>
  <c r="J295" i="54" s="1"/>
  <c r="I294" i="54"/>
  <c r="J294" i="54" s="1"/>
  <c r="I293" i="54"/>
  <c r="J293" i="54" s="1"/>
  <c r="I292" i="54"/>
  <c r="J292" i="54" s="1"/>
  <c r="I291" i="54"/>
  <c r="J291" i="54" s="1"/>
  <c r="I290" i="54"/>
  <c r="J290" i="54" s="1"/>
  <c r="G16" i="37" s="1"/>
  <c r="I289" i="54"/>
  <c r="J289" i="54" s="1"/>
  <c r="I288" i="54"/>
  <c r="J288" i="54" s="1"/>
  <c r="I287" i="54"/>
  <c r="J287" i="54" s="1"/>
  <c r="I286" i="54"/>
  <c r="J286" i="54" s="1"/>
  <c r="G18" i="37" s="1"/>
  <c r="I285" i="54"/>
  <c r="J285" i="54" s="1"/>
  <c r="I284" i="54"/>
  <c r="J284" i="54" s="1"/>
  <c r="I283" i="54"/>
  <c r="J283" i="54" s="1"/>
  <c r="I282" i="54"/>
  <c r="J282" i="54" s="1"/>
  <c r="I281" i="54"/>
  <c r="J281" i="54" s="1"/>
  <c r="I280" i="54"/>
  <c r="J280" i="54" s="1"/>
  <c r="I279" i="54"/>
  <c r="J279" i="54" s="1"/>
  <c r="I278" i="54"/>
  <c r="J278" i="54" s="1"/>
  <c r="I277" i="54"/>
  <c r="J277" i="54" s="1"/>
  <c r="G15" i="37" s="1"/>
  <c r="I276" i="54"/>
  <c r="J276" i="54" s="1"/>
  <c r="I275" i="54"/>
  <c r="J275" i="54" s="1"/>
  <c r="I273" i="54"/>
  <c r="J273" i="54" s="1"/>
  <c r="I272" i="54"/>
  <c r="J272" i="54" s="1"/>
  <c r="I271" i="54"/>
  <c r="J271" i="54" s="1"/>
  <c r="I270" i="54"/>
  <c r="J270" i="54" s="1"/>
  <c r="I269" i="54"/>
  <c r="J269" i="54" s="1"/>
  <c r="I268" i="54"/>
  <c r="J268" i="54" s="1"/>
  <c r="I267" i="54"/>
  <c r="J267" i="54" s="1"/>
  <c r="G13" i="37" s="1"/>
  <c r="I266" i="54"/>
  <c r="J266" i="54" s="1"/>
  <c r="I265" i="54"/>
  <c r="J265" i="54" s="1"/>
  <c r="I264" i="54"/>
  <c r="J264" i="54" s="1"/>
  <c r="I263" i="54"/>
  <c r="J263" i="54" s="1"/>
  <c r="I262" i="54"/>
  <c r="J262" i="54" s="1"/>
  <c r="I261" i="54"/>
  <c r="J261" i="54" s="1"/>
  <c r="I260" i="54"/>
  <c r="J260" i="54" s="1"/>
  <c r="G12" i="37" s="1"/>
  <c r="I259" i="54"/>
  <c r="J259" i="54" s="1"/>
  <c r="I258" i="54"/>
  <c r="J258" i="54" s="1"/>
  <c r="I257" i="54"/>
  <c r="J257" i="54" s="1"/>
  <c r="I256" i="54"/>
  <c r="J256" i="54" s="1"/>
  <c r="I255" i="54"/>
  <c r="J255" i="54" s="1"/>
  <c r="I254" i="54"/>
  <c r="J254" i="54" s="1"/>
  <c r="I253" i="54"/>
  <c r="J253" i="54" s="1"/>
  <c r="I252" i="54"/>
  <c r="J252" i="54" s="1"/>
  <c r="I251" i="54"/>
  <c r="J251" i="54" s="1"/>
  <c r="I250" i="54"/>
  <c r="J250" i="54" s="1"/>
  <c r="I249" i="54"/>
  <c r="J249" i="54" s="1"/>
  <c r="I248" i="54"/>
  <c r="J248" i="54" s="1"/>
  <c r="I247" i="54"/>
  <c r="J247" i="54" s="1"/>
  <c r="G38" i="37" s="1"/>
  <c r="I246" i="54"/>
  <c r="J246" i="54" s="1"/>
  <c r="J245" i="54"/>
  <c r="G39" i="37" s="1"/>
  <c r="I244" i="54"/>
  <c r="J244" i="54" s="1"/>
  <c r="G37" i="37" s="1"/>
  <c r="I243" i="54"/>
  <c r="J243" i="54" s="1"/>
  <c r="I242" i="54"/>
  <c r="J242" i="54" s="1"/>
  <c r="I241" i="54"/>
  <c r="J241" i="54" s="1"/>
  <c r="I240" i="54"/>
  <c r="J240" i="54" s="1"/>
  <c r="I239" i="54"/>
  <c r="J239" i="54" s="1"/>
  <c r="I238" i="54"/>
  <c r="J238" i="54" s="1"/>
  <c r="G45" i="37" s="1"/>
  <c r="G48" i="37" s="1"/>
  <c r="I237" i="54"/>
  <c r="J237" i="54" s="1"/>
  <c r="I236" i="54"/>
  <c r="J236" i="54" s="1"/>
  <c r="I235" i="54"/>
  <c r="J235" i="54" s="1"/>
  <c r="I234" i="54"/>
  <c r="J234" i="54" s="1"/>
  <c r="G36" i="37" s="1"/>
  <c r="I233" i="54"/>
  <c r="J233" i="54" s="1"/>
  <c r="I232" i="54"/>
  <c r="J232" i="54" s="1"/>
  <c r="I231" i="54"/>
  <c r="J231" i="54" s="1"/>
  <c r="I230" i="54"/>
  <c r="J230" i="54" s="1"/>
  <c r="I229" i="54"/>
  <c r="J229" i="54" s="1"/>
  <c r="I228" i="54"/>
  <c r="J228" i="54" s="1"/>
  <c r="I227" i="54"/>
  <c r="J227" i="54" s="1"/>
  <c r="I226" i="54"/>
  <c r="J226" i="54" s="1"/>
  <c r="I225" i="54"/>
  <c r="J225" i="54" s="1"/>
  <c r="I224" i="54"/>
  <c r="J224" i="54" s="1"/>
  <c r="I223" i="54"/>
  <c r="J223" i="54" s="1"/>
  <c r="I222" i="54"/>
  <c r="J222" i="54" s="1"/>
  <c r="I221" i="54"/>
  <c r="J221" i="54" s="1"/>
  <c r="I220" i="54"/>
  <c r="J220" i="54" s="1"/>
  <c r="I219" i="54"/>
  <c r="J219" i="54" s="1"/>
  <c r="I218" i="54"/>
  <c r="J218" i="54" s="1"/>
  <c r="I217" i="54"/>
  <c r="J217" i="54" s="1"/>
  <c r="I216" i="54"/>
  <c r="J216" i="54" s="1"/>
  <c r="I215" i="54"/>
  <c r="J215" i="54" s="1"/>
  <c r="I214" i="54"/>
  <c r="J214" i="54" s="1"/>
  <c r="I213" i="54"/>
  <c r="J213" i="54" s="1"/>
  <c r="I212" i="54"/>
  <c r="J212" i="54" s="1"/>
  <c r="I211" i="54"/>
  <c r="J211" i="54" s="1"/>
  <c r="I210" i="54"/>
  <c r="J210" i="54" s="1"/>
  <c r="I209" i="54"/>
  <c r="J209" i="54" s="1"/>
  <c r="I208" i="54"/>
  <c r="J208" i="54" s="1"/>
  <c r="I207" i="54"/>
  <c r="J207" i="54" s="1"/>
  <c r="I206" i="54"/>
  <c r="J206" i="54" s="1"/>
  <c r="I205" i="54"/>
  <c r="J205" i="54" s="1"/>
  <c r="I204" i="54"/>
  <c r="J204" i="54" s="1"/>
  <c r="I203" i="54"/>
  <c r="J203" i="54" s="1"/>
  <c r="I202" i="54"/>
  <c r="J202" i="54" s="1"/>
  <c r="I201" i="54"/>
  <c r="J201" i="54" s="1"/>
  <c r="I200" i="54"/>
  <c r="J200" i="54" s="1"/>
  <c r="I199" i="54"/>
  <c r="J199" i="54" s="1"/>
  <c r="I198" i="54"/>
  <c r="J198" i="54" s="1"/>
  <c r="I197" i="54"/>
  <c r="J197" i="54" s="1"/>
  <c r="I196" i="54"/>
  <c r="J196" i="54" s="1"/>
  <c r="I195" i="54"/>
  <c r="J195" i="54" s="1"/>
  <c r="I194" i="54"/>
  <c r="J194" i="54" s="1"/>
  <c r="I193" i="54"/>
  <c r="J193" i="54" s="1"/>
  <c r="I192" i="54"/>
  <c r="J192" i="54" s="1"/>
  <c r="I191" i="54"/>
  <c r="J191" i="54" s="1"/>
  <c r="I190" i="54"/>
  <c r="J190" i="54" s="1"/>
  <c r="I189" i="54"/>
  <c r="J189" i="54" s="1"/>
  <c r="I188" i="54"/>
  <c r="J188" i="54" s="1"/>
  <c r="I187" i="54"/>
  <c r="J187" i="54" s="1"/>
  <c r="I186" i="54"/>
  <c r="J186" i="54" s="1"/>
  <c r="I185" i="54"/>
  <c r="J185" i="54" s="1"/>
  <c r="I184" i="54"/>
  <c r="J184" i="54" s="1"/>
  <c r="I183" i="54"/>
  <c r="J183" i="54" s="1"/>
  <c r="I182" i="54"/>
  <c r="J182" i="54" s="1"/>
  <c r="I181" i="54"/>
  <c r="J181" i="54" s="1"/>
  <c r="I180" i="54"/>
  <c r="J180" i="54" s="1"/>
  <c r="I179" i="54"/>
  <c r="J179" i="54" s="1"/>
  <c r="I178" i="54"/>
  <c r="J178" i="54" s="1"/>
  <c r="I177" i="54"/>
  <c r="J177" i="54" s="1"/>
  <c r="I176" i="54"/>
  <c r="J176" i="54" s="1"/>
  <c r="I175" i="54"/>
  <c r="J175" i="54" s="1"/>
  <c r="I174" i="54"/>
  <c r="J174" i="54" s="1"/>
  <c r="I173" i="54"/>
  <c r="J173" i="54" s="1"/>
  <c r="I172" i="54"/>
  <c r="J172" i="54" s="1"/>
  <c r="I171" i="54"/>
  <c r="J171" i="54" s="1"/>
  <c r="I170" i="54"/>
  <c r="J170" i="54" s="1"/>
  <c r="I169" i="54"/>
  <c r="J169" i="54" s="1"/>
  <c r="I168" i="54"/>
  <c r="J168" i="54" s="1"/>
  <c r="I167" i="54"/>
  <c r="J167" i="54" s="1"/>
  <c r="I166" i="54"/>
  <c r="J166" i="54" s="1"/>
  <c r="I165" i="54"/>
  <c r="J165" i="54" s="1"/>
  <c r="I164" i="54"/>
  <c r="J164" i="54" s="1"/>
  <c r="I163" i="54"/>
  <c r="J163" i="54" s="1"/>
  <c r="I162" i="54"/>
  <c r="J162" i="54" s="1"/>
  <c r="I161" i="54"/>
  <c r="J161" i="54" s="1"/>
  <c r="I160" i="54"/>
  <c r="J160" i="54" s="1"/>
  <c r="I159" i="54"/>
  <c r="J159" i="54" s="1"/>
  <c r="I158" i="54"/>
  <c r="J158" i="54" s="1"/>
  <c r="I157" i="54"/>
  <c r="J157" i="54" s="1"/>
  <c r="I156" i="54"/>
  <c r="J156" i="54" s="1"/>
  <c r="I155" i="54"/>
  <c r="J155" i="54" s="1"/>
  <c r="I154" i="54"/>
  <c r="J154" i="54" s="1"/>
  <c r="I153" i="54"/>
  <c r="J153" i="54" s="1"/>
  <c r="I152" i="54"/>
  <c r="J152" i="54" s="1"/>
  <c r="I151" i="54"/>
  <c r="J151" i="54" s="1"/>
  <c r="I150" i="54"/>
  <c r="J150" i="54" s="1"/>
  <c r="I149" i="54"/>
  <c r="J149" i="54" s="1"/>
  <c r="I148" i="54"/>
  <c r="J148" i="54" s="1"/>
  <c r="I147" i="54"/>
  <c r="J147" i="54" s="1"/>
  <c r="I146" i="54"/>
  <c r="J146" i="54" s="1"/>
  <c r="I145" i="54"/>
  <c r="J145" i="54" s="1"/>
  <c r="I144" i="54"/>
  <c r="J144" i="54" s="1"/>
  <c r="I143" i="54"/>
  <c r="J143" i="54" s="1"/>
  <c r="I142" i="54"/>
  <c r="J142" i="54" s="1"/>
  <c r="I141" i="54"/>
  <c r="J141" i="54" s="1"/>
  <c r="I140" i="54"/>
  <c r="J140" i="54" s="1"/>
  <c r="I139" i="54"/>
  <c r="J139" i="54" s="1"/>
  <c r="I138" i="54"/>
  <c r="J138" i="54" s="1"/>
  <c r="I137" i="54"/>
  <c r="J137" i="54" s="1"/>
  <c r="I136" i="54"/>
  <c r="J136" i="54" s="1"/>
  <c r="I135" i="54"/>
  <c r="J135" i="54" s="1"/>
  <c r="I134" i="54"/>
  <c r="J134" i="54" s="1"/>
  <c r="I133" i="54"/>
  <c r="J133" i="54" s="1"/>
  <c r="I132" i="54"/>
  <c r="J132" i="54" s="1"/>
  <c r="I131" i="54"/>
  <c r="J131" i="54" s="1"/>
  <c r="I130" i="54"/>
  <c r="J130" i="54" s="1"/>
  <c r="I129" i="54"/>
  <c r="J129" i="54" s="1"/>
  <c r="I128" i="54"/>
  <c r="J128" i="54" s="1"/>
  <c r="I127" i="54"/>
  <c r="J127" i="54" s="1"/>
  <c r="I126" i="54"/>
  <c r="J126" i="54" s="1"/>
  <c r="I125" i="54"/>
  <c r="J125" i="54" s="1"/>
  <c r="I124" i="54"/>
  <c r="J124" i="54" s="1"/>
  <c r="I123" i="54"/>
  <c r="J123" i="54" s="1"/>
  <c r="I122" i="54"/>
  <c r="J122" i="54" s="1"/>
  <c r="I121" i="54"/>
  <c r="J121" i="54" s="1"/>
  <c r="I120" i="54"/>
  <c r="J120" i="54" s="1"/>
  <c r="I119" i="54"/>
  <c r="J119" i="54" s="1"/>
  <c r="I118" i="54"/>
  <c r="J118" i="54" s="1"/>
  <c r="I117" i="54"/>
  <c r="J117" i="54" s="1"/>
  <c r="I116" i="54"/>
  <c r="J116" i="54" s="1"/>
  <c r="I115" i="54"/>
  <c r="J115" i="54" s="1"/>
  <c r="I114" i="54"/>
  <c r="J114" i="54" s="1"/>
  <c r="I113" i="54"/>
  <c r="J113" i="54" s="1"/>
  <c r="I112" i="54"/>
  <c r="J112" i="54" s="1"/>
  <c r="I111" i="54"/>
  <c r="J111" i="54" s="1"/>
  <c r="I110" i="54"/>
  <c r="J110" i="54" s="1"/>
  <c r="I109" i="54"/>
  <c r="J109" i="54" s="1"/>
  <c r="I108" i="54"/>
  <c r="J108" i="54" s="1"/>
  <c r="I107" i="54"/>
  <c r="J107" i="54" s="1"/>
  <c r="I106" i="54"/>
  <c r="J106" i="54" s="1"/>
  <c r="I105" i="54"/>
  <c r="J105" i="54" s="1"/>
  <c r="I104" i="54"/>
  <c r="J104" i="54" s="1"/>
  <c r="I103" i="54"/>
  <c r="J103" i="54" s="1"/>
  <c r="I102" i="54"/>
  <c r="J102" i="54" s="1"/>
  <c r="I101" i="54"/>
  <c r="J101" i="54" s="1"/>
  <c r="I100" i="54"/>
  <c r="J100" i="54" s="1"/>
  <c r="I99" i="54"/>
  <c r="J99" i="54" s="1"/>
  <c r="I98" i="54"/>
  <c r="J98" i="54" s="1"/>
  <c r="I97" i="54"/>
  <c r="J97" i="54" s="1"/>
  <c r="I96" i="54"/>
  <c r="J96" i="54" s="1"/>
  <c r="I95" i="54"/>
  <c r="J95" i="54" s="1"/>
  <c r="I94" i="54"/>
  <c r="J94" i="54" s="1"/>
  <c r="I93" i="54"/>
  <c r="J93" i="54" s="1"/>
  <c r="I92" i="54"/>
  <c r="J92" i="54" s="1"/>
  <c r="I91" i="54"/>
  <c r="J91" i="54" s="1"/>
  <c r="I90" i="54"/>
  <c r="J90" i="54" s="1"/>
  <c r="I89" i="54"/>
  <c r="J89" i="54" s="1"/>
  <c r="I88" i="54"/>
  <c r="J88" i="54" s="1"/>
  <c r="I87" i="54"/>
  <c r="J87" i="54" s="1"/>
  <c r="I86" i="54"/>
  <c r="J86" i="54" s="1"/>
  <c r="I85" i="54"/>
  <c r="J85" i="54" s="1"/>
  <c r="I84" i="54"/>
  <c r="J84" i="54" s="1"/>
  <c r="I83" i="54"/>
  <c r="J83" i="54" s="1"/>
  <c r="I82" i="54"/>
  <c r="J82" i="54" s="1"/>
  <c r="I81" i="54"/>
  <c r="J81" i="54" s="1"/>
  <c r="I80" i="54"/>
  <c r="J80" i="54" s="1"/>
  <c r="I79" i="54"/>
  <c r="J79" i="54" s="1"/>
  <c r="I78" i="54"/>
  <c r="J78" i="54" s="1"/>
  <c r="I77" i="54"/>
  <c r="J77" i="54" s="1"/>
  <c r="I76" i="54"/>
  <c r="J76" i="54" s="1"/>
  <c r="I75" i="54"/>
  <c r="J75" i="54" s="1"/>
  <c r="I74" i="54"/>
  <c r="J74" i="54" s="1"/>
  <c r="I73" i="54"/>
  <c r="J73" i="54" s="1"/>
  <c r="I72" i="54"/>
  <c r="J72" i="54" s="1"/>
  <c r="I71" i="54"/>
  <c r="J71" i="54" s="1"/>
  <c r="I70" i="54"/>
  <c r="J70" i="54" s="1"/>
  <c r="I69" i="54"/>
  <c r="J69" i="54" s="1"/>
  <c r="I68" i="54"/>
  <c r="J68" i="54" s="1"/>
  <c r="I67" i="54"/>
  <c r="J67" i="54" s="1"/>
  <c r="I66" i="54"/>
  <c r="J66" i="54" s="1"/>
  <c r="I65" i="54"/>
  <c r="J65" i="54" s="1"/>
  <c r="I64" i="54"/>
  <c r="J64" i="54" s="1"/>
  <c r="I63" i="54"/>
  <c r="J63" i="54" s="1"/>
  <c r="I62" i="54"/>
  <c r="J62" i="54" s="1"/>
  <c r="I61" i="54"/>
  <c r="J61" i="54" s="1"/>
  <c r="I60" i="54"/>
  <c r="J60" i="54" s="1"/>
  <c r="I59" i="54"/>
  <c r="J59" i="54" s="1"/>
  <c r="I58" i="54"/>
  <c r="J58" i="54" s="1"/>
  <c r="I57" i="54"/>
  <c r="J57" i="54" s="1"/>
  <c r="I56" i="54"/>
  <c r="J56" i="54" s="1"/>
  <c r="I55" i="54"/>
  <c r="J55" i="54" s="1"/>
  <c r="I54" i="54"/>
  <c r="J54" i="54" s="1"/>
  <c r="I53" i="54"/>
  <c r="J53" i="54" s="1"/>
  <c r="I52" i="54"/>
  <c r="J52" i="54" s="1"/>
  <c r="I51" i="54"/>
  <c r="J51" i="54" s="1"/>
  <c r="I50" i="54"/>
  <c r="J50" i="54" s="1"/>
  <c r="I49" i="54"/>
  <c r="J49" i="54" s="1"/>
  <c r="I48" i="54"/>
  <c r="J48" i="54" s="1"/>
  <c r="I47" i="54"/>
  <c r="J47" i="54" s="1"/>
  <c r="I46" i="54"/>
  <c r="J46" i="54" s="1"/>
  <c r="I45" i="54"/>
  <c r="J45" i="54" s="1"/>
  <c r="I44" i="54"/>
  <c r="J44" i="54" s="1"/>
  <c r="I43" i="54"/>
  <c r="J43" i="54" s="1"/>
  <c r="I42" i="54"/>
  <c r="J42" i="54" s="1"/>
  <c r="I41" i="54"/>
  <c r="J41" i="54" s="1"/>
  <c r="I40" i="54"/>
  <c r="J40" i="54" s="1"/>
  <c r="I39" i="54"/>
  <c r="J39" i="54" s="1"/>
  <c r="I38" i="54"/>
  <c r="J38" i="54" s="1"/>
  <c r="I37" i="54"/>
  <c r="J37" i="54" s="1"/>
  <c r="I36" i="54"/>
  <c r="J36" i="54" s="1"/>
  <c r="I35" i="54"/>
  <c r="J35" i="54" s="1"/>
  <c r="I34" i="54"/>
  <c r="J34" i="54" s="1"/>
  <c r="I33" i="54"/>
  <c r="J33" i="54" s="1"/>
  <c r="I32" i="54"/>
  <c r="J32" i="54" s="1"/>
  <c r="I31" i="54"/>
  <c r="J31" i="54" s="1"/>
  <c r="I30" i="54"/>
  <c r="J30" i="54" s="1"/>
  <c r="I29" i="54"/>
  <c r="J29" i="54" s="1"/>
  <c r="I28" i="54"/>
  <c r="J28" i="54" s="1"/>
  <c r="I27" i="54"/>
  <c r="J27" i="54" s="1"/>
  <c r="I26" i="54"/>
  <c r="J26" i="54" s="1"/>
  <c r="I25" i="54"/>
  <c r="J25" i="54" s="1"/>
  <c r="I24" i="54"/>
  <c r="J24" i="54" s="1"/>
  <c r="I23" i="54"/>
  <c r="J23" i="54" s="1"/>
  <c r="I22" i="54"/>
  <c r="J22" i="54" s="1"/>
  <c r="I21" i="54"/>
  <c r="J21" i="54" s="1"/>
  <c r="I20" i="54"/>
  <c r="J20" i="54" s="1"/>
  <c r="I19" i="54"/>
  <c r="J19" i="54" s="1"/>
  <c r="I18" i="54"/>
  <c r="J18" i="54" s="1"/>
  <c r="I17" i="54"/>
  <c r="J17" i="54" s="1"/>
  <c r="I16" i="54"/>
  <c r="J16" i="54" s="1"/>
  <c r="I15" i="54"/>
  <c r="J15" i="54" s="1"/>
  <c r="I14" i="54"/>
  <c r="J14" i="54" s="1"/>
  <c r="I13" i="54"/>
  <c r="J13" i="54" s="1"/>
  <c r="I12" i="54"/>
  <c r="J12" i="54" s="1"/>
  <c r="I11" i="54"/>
  <c r="J11" i="54" s="1"/>
  <c r="I10" i="54"/>
  <c r="J10" i="54" s="1"/>
  <c r="I9" i="54"/>
  <c r="J9" i="54" s="1"/>
  <c r="J8" i="54"/>
  <c r="G41" i="37" l="1"/>
  <c r="G33" i="37"/>
  <c r="G11" i="37"/>
  <c r="I61" i="53"/>
  <c r="J61" i="53" s="1"/>
  <c r="H58" i="53"/>
  <c r="I58" i="53" s="1"/>
  <c r="J58" i="53" s="1"/>
  <c r="I61" i="52"/>
  <c r="J61" i="52" s="1"/>
  <c r="I63" i="52"/>
  <c r="J63" i="52" s="1"/>
  <c r="G64" i="52"/>
  <c r="G186" i="51"/>
  <c r="I181" i="51"/>
  <c r="G188" i="51" l="1"/>
  <c r="I182" i="51"/>
  <c r="I62" i="52"/>
  <c r="J62" i="52" s="1"/>
  <c r="C13" i="40" s="1"/>
  <c r="G66" i="52"/>
  <c r="C20" i="40" l="1"/>
  <c r="J186" i="51" l="1"/>
  <c r="F23" i="49"/>
  <c r="F15" i="49"/>
  <c r="G22" i="49"/>
  <c r="I22" i="49"/>
  <c r="K22" i="49"/>
  <c r="J18" i="49"/>
  <c r="J15" i="49" l="1"/>
  <c r="I83" i="50"/>
  <c r="F128" i="50" l="1"/>
  <c r="O110" i="50"/>
  <c r="N110" i="50"/>
  <c r="M110" i="50"/>
  <c r="L110" i="50"/>
  <c r="K110" i="50"/>
  <c r="J110" i="50"/>
  <c r="I110" i="50"/>
  <c r="H110" i="50"/>
  <c r="G110" i="50"/>
  <c r="F110" i="50"/>
  <c r="E110" i="50"/>
  <c r="D110" i="50"/>
  <c r="O109" i="50"/>
  <c r="N109" i="50"/>
  <c r="M109" i="50"/>
  <c r="L109" i="50"/>
  <c r="L111" i="50" s="1"/>
  <c r="L112" i="50" s="1"/>
  <c r="K109" i="50"/>
  <c r="J109" i="50"/>
  <c r="J111" i="50" s="1"/>
  <c r="J112" i="50" s="1"/>
  <c r="I109" i="50"/>
  <c r="H109" i="50"/>
  <c r="G109" i="50"/>
  <c r="F109" i="50"/>
  <c r="E109" i="50"/>
  <c r="D109" i="50"/>
  <c r="D111" i="50" s="1"/>
  <c r="D112" i="50" s="1"/>
  <c r="D103" i="50"/>
  <c r="E103" i="50" s="1"/>
  <c r="F103" i="50" s="1"/>
  <c r="G103" i="50" s="1"/>
  <c r="C98" i="50"/>
  <c r="C91" i="50"/>
  <c r="C90" i="50"/>
  <c r="I89" i="50"/>
  <c r="H89" i="50"/>
  <c r="C89" i="50"/>
  <c r="I88" i="50"/>
  <c r="H88" i="50"/>
  <c r="C88" i="50"/>
  <c r="C87" i="50"/>
  <c r="O83" i="50"/>
  <c r="N83" i="50"/>
  <c r="M83" i="50"/>
  <c r="L83" i="50"/>
  <c r="K83" i="50"/>
  <c r="J83" i="50"/>
  <c r="H83" i="50"/>
  <c r="G83" i="50"/>
  <c r="F83" i="50"/>
  <c r="E83" i="50"/>
  <c r="D83" i="50"/>
  <c r="E76" i="50"/>
  <c r="D76" i="50"/>
  <c r="E75" i="50"/>
  <c r="D75" i="50"/>
  <c r="K74" i="50"/>
  <c r="K76" i="50" s="1"/>
  <c r="O69" i="50"/>
  <c r="N69" i="50"/>
  <c r="M69" i="50"/>
  <c r="L69" i="50"/>
  <c r="K69" i="50"/>
  <c r="J69" i="50"/>
  <c r="I69" i="50"/>
  <c r="K65" i="50"/>
  <c r="J65" i="50"/>
  <c r="I65" i="50"/>
  <c r="O64" i="50"/>
  <c r="N64" i="50"/>
  <c r="M64" i="50"/>
  <c r="L64" i="50"/>
  <c r="K64" i="50"/>
  <c r="J64" i="50"/>
  <c r="I64" i="50"/>
  <c r="O61" i="50"/>
  <c r="N61" i="50"/>
  <c r="M61" i="50"/>
  <c r="L61" i="50"/>
  <c r="K61" i="50"/>
  <c r="J61" i="50"/>
  <c r="I61" i="50"/>
  <c r="I91" i="50" s="1"/>
  <c r="O59" i="50"/>
  <c r="N59" i="50"/>
  <c r="M59" i="50"/>
  <c r="L59" i="50"/>
  <c r="K59" i="50"/>
  <c r="J59" i="50"/>
  <c r="I59" i="50"/>
  <c r="O53" i="50"/>
  <c r="E53" i="50"/>
  <c r="E96" i="50" s="1"/>
  <c r="E98" i="50" s="1"/>
  <c r="D53" i="50"/>
  <c r="J51" i="50"/>
  <c r="C42" i="50"/>
  <c r="D39" i="50"/>
  <c r="D42" i="50" s="1"/>
  <c r="C36" i="50"/>
  <c r="O75" i="50"/>
  <c r="H31" i="50"/>
  <c r="G31" i="50"/>
  <c r="G75" i="50" s="1"/>
  <c r="F31" i="50"/>
  <c r="F75" i="50" s="1"/>
  <c r="E31" i="50"/>
  <c r="D31" i="50"/>
  <c r="O74" i="50"/>
  <c r="N74" i="50"/>
  <c r="N76" i="50" s="1"/>
  <c r="K32" i="50"/>
  <c r="J74" i="50"/>
  <c r="J76" i="50" s="1"/>
  <c r="I30" i="50"/>
  <c r="H30" i="50"/>
  <c r="H74" i="50" s="1"/>
  <c r="H76" i="50" s="1"/>
  <c r="G30" i="50"/>
  <c r="G74" i="50" s="1"/>
  <c r="F30" i="50"/>
  <c r="F74" i="50" s="1"/>
  <c r="E30" i="50"/>
  <c r="D30" i="50"/>
  <c r="O73" i="50"/>
  <c r="H29" i="50"/>
  <c r="G29" i="50"/>
  <c r="G73" i="50" s="1"/>
  <c r="F29" i="50"/>
  <c r="E29" i="50"/>
  <c r="E32" i="50" s="1"/>
  <c r="D29" i="50"/>
  <c r="D32" i="50" s="1"/>
  <c r="H26" i="50"/>
  <c r="H69" i="50" s="1"/>
  <c r="G26" i="50"/>
  <c r="G69" i="50" s="1"/>
  <c r="F26" i="50"/>
  <c r="F69" i="50" s="1"/>
  <c r="E26" i="50"/>
  <c r="E69" i="50" s="1"/>
  <c r="D26" i="50"/>
  <c r="D69" i="50" s="1"/>
  <c r="O68" i="50"/>
  <c r="N68" i="50"/>
  <c r="M68" i="50"/>
  <c r="L68" i="50"/>
  <c r="K68" i="50"/>
  <c r="J68" i="50"/>
  <c r="I25" i="50"/>
  <c r="H25" i="50"/>
  <c r="H68" i="50" s="1"/>
  <c r="G25" i="50"/>
  <c r="G68" i="50" s="1"/>
  <c r="F25" i="50"/>
  <c r="F68" i="50" s="1"/>
  <c r="E25" i="50"/>
  <c r="E68" i="50" s="1"/>
  <c r="D25" i="50"/>
  <c r="D68" i="50" s="1"/>
  <c r="O67" i="50"/>
  <c r="N67" i="50"/>
  <c r="M67" i="50"/>
  <c r="L67" i="50"/>
  <c r="K67" i="50"/>
  <c r="J67" i="50"/>
  <c r="I24" i="50"/>
  <c r="H24" i="50"/>
  <c r="H67" i="50" s="1"/>
  <c r="G24" i="50"/>
  <c r="G67" i="50" s="1"/>
  <c r="F24" i="50"/>
  <c r="F67" i="50" s="1"/>
  <c r="E24" i="50"/>
  <c r="E67" i="50" s="1"/>
  <c r="D24" i="50"/>
  <c r="D67" i="50" s="1"/>
  <c r="O66" i="50"/>
  <c r="N66" i="50"/>
  <c r="M66" i="50"/>
  <c r="L66" i="50"/>
  <c r="O65" i="50"/>
  <c r="N65" i="50"/>
  <c r="M65" i="50"/>
  <c r="L65" i="50"/>
  <c r="H22" i="50"/>
  <c r="H65" i="50" s="1"/>
  <c r="G22" i="50"/>
  <c r="G65" i="50" s="1"/>
  <c r="F22" i="50"/>
  <c r="F65" i="50" s="1"/>
  <c r="E22" i="50"/>
  <c r="E65" i="50" s="1"/>
  <c r="D22" i="50"/>
  <c r="D65" i="50" s="1"/>
  <c r="H21" i="50"/>
  <c r="H64" i="50" s="1"/>
  <c r="G21" i="50"/>
  <c r="G64" i="50" s="1"/>
  <c r="F21" i="50"/>
  <c r="F64" i="50" s="1"/>
  <c r="E21" i="50"/>
  <c r="E64" i="50" s="1"/>
  <c r="D21" i="50"/>
  <c r="D64" i="50" s="1"/>
  <c r="O63" i="50"/>
  <c r="N63" i="50"/>
  <c r="M63" i="50"/>
  <c r="L63" i="50"/>
  <c r="K63" i="50"/>
  <c r="J63" i="50"/>
  <c r="I20" i="50"/>
  <c r="H20" i="50"/>
  <c r="H63" i="50" s="1"/>
  <c r="G20" i="50"/>
  <c r="G63" i="50" s="1"/>
  <c r="F20" i="50"/>
  <c r="F63" i="50" s="1"/>
  <c r="E20" i="50"/>
  <c r="E63" i="50" s="1"/>
  <c r="D20" i="50"/>
  <c r="D63" i="50" s="1"/>
  <c r="O62" i="50"/>
  <c r="N62" i="50"/>
  <c r="M62" i="50"/>
  <c r="L62" i="50"/>
  <c r="K62" i="50"/>
  <c r="J62" i="50"/>
  <c r="I19" i="50"/>
  <c r="H19" i="50"/>
  <c r="H62" i="50" s="1"/>
  <c r="G19" i="50"/>
  <c r="G62" i="50" s="1"/>
  <c r="F19" i="50"/>
  <c r="F62" i="50" s="1"/>
  <c r="E19" i="50"/>
  <c r="E62" i="50" s="1"/>
  <c r="D19" i="50"/>
  <c r="D62" i="50" s="1"/>
  <c r="H18" i="50"/>
  <c r="H61" i="50" s="1"/>
  <c r="G18" i="50"/>
  <c r="G61" i="50" s="1"/>
  <c r="G91" i="50" s="1"/>
  <c r="F18" i="50"/>
  <c r="F61" i="50" s="1"/>
  <c r="E18" i="50"/>
  <c r="E61" i="50" s="1"/>
  <c r="E91" i="50" s="1"/>
  <c r="D18" i="50"/>
  <c r="D61" i="50" s="1"/>
  <c r="O60" i="50"/>
  <c r="N60" i="50"/>
  <c r="M60" i="50"/>
  <c r="L60" i="50"/>
  <c r="K60" i="50"/>
  <c r="J60" i="50"/>
  <c r="I17" i="50"/>
  <c r="G17" i="50"/>
  <c r="G60" i="50" s="1"/>
  <c r="G90" i="50" s="1"/>
  <c r="F17" i="50"/>
  <c r="F60" i="50" s="1"/>
  <c r="E17" i="50"/>
  <c r="E60" i="50" s="1"/>
  <c r="D17" i="50"/>
  <c r="D60" i="50" s="1"/>
  <c r="H16" i="50"/>
  <c r="H59" i="50" s="1"/>
  <c r="G16" i="50"/>
  <c r="G59" i="50" s="1"/>
  <c r="F16" i="50"/>
  <c r="F59" i="50" s="1"/>
  <c r="E16" i="50"/>
  <c r="E59" i="50" s="1"/>
  <c r="D16" i="50"/>
  <c r="D59" i="50" s="1"/>
  <c r="O58" i="50"/>
  <c r="N58" i="50"/>
  <c r="M58" i="50"/>
  <c r="L58" i="50"/>
  <c r="K58" i="50"/>
  <c r="J58" i="50"/>
  <c r="I15" i="50"/>
  <c r="H15" i="50"/>
  <c r="H58" i="50" s="1"/>
  <c r="G15" i="50"/>
  <c r="G58" i="50" s="1"/>
  <c r="F15" i="50"/>
  <c r="F58" i="50" s="1"/>
  <c r="E15" i="50"/>
  <c r="E58" i="50" s="1"/>
  <c r="D15" i="50"/>
  <c r="D58" i="50" s="1"/>
  <c r="O57" i="50"/>
  <c r="N57" i="50"/>
  <c r="M57" i="50"/>
  <c r="L57" i="50"/>
  <c r="K57" i="50"/>
  <c r="J57" i="50"/>
  <c r="I14" i="50"/>
  <c r="H14" i="50"/>
  <c r="H57" i="50" s="1"/>
  <c r="G14" i="50"/>
  <c r="G57" i="50" s="1"/>
  <c r="G89" i="50" s="1"/>
  <c r="F14" i="50"/>
  <c r="F57" i="50" s="1"/>
  <c r="F89" i="50" s="1"/>
  <c r="E14" i="50"/>
  <c r="E57" i="50" s="1"/>
  <c r="E89" i="50" s="1"/>
  <c r="D14" i="50"/>
  <c r="D57" i="50" s="1"/>
  <c r="D89" i="50" s="1"/>
  <c r="O56" i="50"/>
  <c r="N56" i="50"/>
  <c r="M56" i="50"/>
  <c r="K56" i="50"/>
  <c r="J56" i="50"/>
  <c r="I13" i="50"/>
  <c r="H13" i="50"/>
  <c r="G13" i="50"/>
  <c r="F13" i="50"/>
  <c r="F56" i="50" s="1"/>
  <c r="F88" i="50" s="1"/>
  <c r="E13" i="50"/>
  <c r="E56" i="50" s="1"/>
  <c r="D13" i="50"/>
  <c r="N53" i="50"/>
  <c r="M53" i="50"/>
  <c r="L53" i="50"/>
  <c r="K53" i="50"/>
  <c r="I10" i="50"/>
  <c r="I53" i="50" s="1"/>
  <c r="H10" i="50"/>
  <c r="H53" i="50" s="1"/>
  <c r="G10" i="50"/>
  <c r="G53" i="50" s="1"/>
  <c r="F10" i="50"/>
  <c r="F53" i="50" s="1"/>
  <c r="E10" i="50"/>
  <c r="N51" i="50"/>
  <c r="M51" i="50"/>
  <c r="L51" i="50"/>
  <c r="I8" i="50"/>
  <c r="I51" i="50" s="1"/>
  <c r="H8" i="50"/>
  <c r="H51" i="50" s="1"/>
  <c r="G8" i="50"/>
  <c r="G51" i="50" s="1"/>
  <c r="F8" i="50"/>
  <c r="F51" i="50" s="1"/>
  <c r="E8" i="50"/>
  <c r="E51" i="50" s="1"/>
  <c r="D8" i="50"/>
  <c r="D51" i="50" s="1"/>
  <c r="O50" i="50"/>
  <c r="N50" i="50"/>
  <c r="M50" i="50"/>
  <c r="K50" i="50"/>
  <c r="J50" i="50"/>
  <c r="I7" i="50"/>
  <c r="I50" i="50" s="1"/>
  <c r="H7" i="50"/>
  <c r="G7" i="50"/>
  <c r="F7" i="50"/>
  <c r="F50" i="50" s="1"/>
  <c r="E7" i="50"/>
  <c r="E50" i="50" s="1"/>
  <c r="D7" i="50"/>
  <c r="G70" i="49"/>
  <c r="I70" i="49"/>
  <c r="K70" i="49"/>
  <c r="K68" i="49"/>
  <c r="G74" i="49"/>
  <c r="I74" i="49"/>
  <c r="K74" i="49"/>
  <c r="G75" i="49"/>
  <c r="I75" i="49"/>
  <c r="K75" i="49"/>
  <c r="G78" i="49"/>
  <c r="I78" i="49"/>
  <c r="K78" i="49"/>
  <c r="G79" i="49"/>
  <c r="I79" i="49"/>
  <c r="K79" i="49"/>
  <c r="G80" i="49"/>
  <c r="I80" i="49"/>
  <c r="K80" i="49"/>
  <c r="G81" i="49"/>
  <c r="I81" i="49"/>
  <c r="K81" i="49"/>
  <c r="G82" i="49"/>
  <c r="I82" i="49"/>
  <c r="K82" i="49"/>
  <c r="G83" i="49"/>
  <c r="I83" i="49"/>
  <c r="K83" i="49"/>
  <c r="G84" i="49"/>
  <c r="I84" i="49"/>
  <c r="K84" i="49"/>
  <c r="G85" i="49"/>
  <c r="I85" i="49"/>
  <c r="K85" i="49"/>
  <c r="L50" i="49"/>
  <c r="L80" i="49" s="1"/>
  <c r="L55" i="49"/>
  <c r="L85" i="49" s="1"/>
  <c r="J50" i="49"/>
  <c r="J80" i="49" s="1"/>
  <c r="J55" i="49"/>
  <c r="J85" i="49" s="1"/>
  <c r="H58" i="49"/>
  <c r="H50" i="49"/>
  <c r="H80" i="49" s="1"/>
  <c r="H53" i="49"/>
  <c r="H83" i="49" s="1"/>
  <c r="H54" i="49"/>
  <c r="H84" i="49" s="1"/>
  <c r="H55" i="49"/>
  <c r="H85" i="49" s="1"/>
  <c r="F50" i="49"/>
  <c r="F80" i="49" s="1"/>
  <c r="F55" i="49"/>
  <c r="F85" i="49" s="1"/>
  <c r="F58" i="49"/>
  <c r="F24" i="49"/>
  <c r="F54" i="49" s="1"/>
  <c r="F84" i="49" s="1"/>
  <c r="J53" i="49"/>
  <c r="J83" i="49" s="1"/>
  <c r="F53" i="49"/>
  <c r="F83" i="49" s="1"/>
  <c r="F51" i="49"/>
  <c r="F81" i="49" s="1"/>
  <c r="J48" i="49"/>
  <c r="J78" i="49" s="1"/>
  <c r="J45" i="49"/>
  <c r="J75" i="49" s="1"/>
  <c r="F45" i="49"/>
  <c r="F75" i="49" s="1"/>
  <c r="D7" i="48"/>
  <c r="E7" i="48"/>
  <c r="F7" i="48"/>
  <c r="G7" i="48"/>
  <c r="H7" i="48"/>
  <c r="H50" i="48" s="1"/>
  <c r="I7" i="48"/>
  <c r="L50" i="48"/>
  <c r="M50" i="48"/>
  <c r="N50" i="48"/>
  <c r="O50" i="48"/>
  <c r="D8" i="48"/>
  <c r="D51" i="48" s="1"/>
  <c r="E8" i="48"/>
  <c r="E51" i="48" s="1"/>
  <c r="F8" i="48"/>
  <c r="F51" i="48" s="1"/>
  <c r="G8" i="48"/>
  <c r="G51" i="48" s="1"/>
  <c r="H8" i="48"/>
  <c r="H51" i="48" s="1"/>
  <c r="I8" i="48"/>
  <c r="I51" i="48" s="1"/>
  <c r="K51" i="48"/>
  <c r="N51" i="48"/>
  <c r="O51" i="48"/>
  <c r="E10" i="48"/>
  <c r="F10" i="48"/>
  <c r="F53" i="48" s="1"/>
  <c r="G10" i="48"/>
  <c r="G53" i="48" s="1"/>
  <c r="H10" i="48"/>
  <c r="H53" i="48" s="1"/>
  <c r="I10" i="48"/>
  <c r="J53" i="48" s="1"/>
  <c r="K53" i="48"/>
  <c r="L53" i="48"/>
  <c r="M53" i="48"/>
  <c r="N53" i="48"/>
  <c r="F13" i="48"/>
  <c r="F56" i="48" s="1"/>
  <c r="F88" i="48" s="1"/>
  <c r="J56" i="48"/>
  <c r="K56" i="48"/>
  <c r="L56" i="48"/>
  <c r="M56" i="48"/>
  <c r="N56" i="48"/>
  <c r="O56" i="48"/>
  <c r="F14" i="48"/>
  <c r="F57" i="48" s="1"/>
  <c r="F89" i="48" s="1"/>
  <c r="G14" i="48"/>
  <c r="G57" i="48" s="1"/>
  <c r="G89" i="48" s="1"/>
  <c r="H14" i="48"/>
  <c r="H57" i="48" s="1"/>
  <c r="I14" i="48"/>
  <c r="J57" i="48"/>
  <c r="K57" i="48"/>
  <c r="L57" i="48"/>
  <c r="M57" i="48"/>
  <c r="O57" i="48"/>
  <c r="D15" i="48"/>
  <c r="D58" i="48" s="1"/>
  <c r="E15" i="48"/>
  <c r="E58" i="48" s="1"/>
  <c r="F15" i="48"/>
  <c r="F58" i="48" s="1"/>
  <c r="G15" i="48"/>
  <c r="H15" i="48"/>
  <c r="H58" i="48" s="1"/>
  <c r="I15" i="48"/>
  <c r="J58" i="48"/>
  <c r="K58" i="48"/>
  <c r="L58" i="48"/>
  <c r="M58" i="48"/>
  <c r="N58" i="48"/>
  <c r="O58" i="48"/>
  <c r="D16" i="48"/>
  <c r="D59" i="48" s="1"/>
  <c r="F16" i="48"/>
  <c r="F59" i="48" s="1"/>
  <c r="G16" i="48"/>
  <c r="G59" i="48" s="1"/>
  <c r="H16" i="48"/>
  <c r="H59" i="48" s="1"/>
  <c r="D17" i="48"/>
  <c r="D60" i="48" s="1"/>
  <c r="D90" i="48" s="1"/>
  <c r="E17" i="48"/>
  <c r="E60" i="48" s="1"/>
  <c r="F17" i="48"/>
  <c r="F60" i="48" s="1"/>
  <c r="F90" i="48" s="1"/>
  <c r="G17" i="48"/>
  <c r="G60" i="48" s="1"/>
  <c r="G90" i="48" s="1"/>
  <c r="H17" i="48"/>
  <c r="H60" i="48" s="1"/>
  <c r="H90" i="48" s="1"/>
  <c r="I17" i="48"/>
  <c r="J60" i="48"/>
  <c r="K60" i="48"/>
  <c r="L60" i="48"/>
  <c r="M60" i="48"/>
  <c r="N60" i="48"/>
  <c r="O60" i="48"/>
  <c r="D18" i="48"/>
  <c r="D61" i="48" s="1"/>
  <c r="D91" i="48" s="1"/>
  <c r="F18" i="48"/>
  <c r="F61" i="48" s="1"/>
  <c r="F91" i="48" s="1"/>
  <c r="G18" i="48"/>
  <c r="G61" i="48" s="1"/>
  <c r="G91" i="48" s="1"/>
  <c r="H18" i="48"/>
  <c r="H61" i="48" s="1"/>
  <c r="H91" i="48" s="1"/>
  <c r="I18" i="48"/>
  <c r="D19" i="48"/>
  <c r="D62" i="48" s="1"/>
  <c r="E19" i="48"/>
  <c r="E62" i="48" s="1"/>
  <c r="F19" i="48"/>
  <c r="F62" i="48" s="1"/>
  <c r="G19" i="48"/>
  <c r="G62" i="48" s="1"/>
  <c r="H19" i="48"/>
  <c r="H62" i="48" s="1"/>
  <c r="I19" i="48"/>
  <c r="J62" i="48"/>
  <c r="K62" i="48"/>
  <c r="L62" i="48"/>
  <c r="M62" i="48"/>
  <c r="N62" i="48"/>
  <c r="O62" i="48"/>
  <c r="D20" i="48"/>
  <c r="D63" i="48" s="1"/>
  <c r="J63" i="48"/>
  <c r="K63" i="48"/>
  <c r="L63" i="48"/>
  <c r="M63" i="48"/>
  <c r="N63" i="48"/>
  <c r="O63" i="48"/>
  <c r="D21" i="48"/>
  <c r="D64" i="48" s="1"/>
  <c r="G21" i="48"/>
  <c r="G64" i="48" s="1"/>
  <c r="H21" i="48"/>
  <c r="H64" i="48" s="1"/>
  <c r="D22" i="48"/>
  <c r="D65" i="48" s="1"/>
  <c r="G22" i="48"/>
  <c r="G65" i="48" s="1"/>
  <c r="H22" i="48"/>
  <c r="H65" i="48" s="1"/>
  <c r="L65" i="48"/>
  <c r="M65" i="48"/>
  <c r="N65" i="48"/>
  <c r="O65" i="48"/>
  <c r="L66" i="48"/>
  <c r="M66" i="48"/>
  <c r="N66" i="48"/>
  <c r="O66" i="48"/>
  <c r="D24" i="48"/>
  <c r="D67" i="48" s="1"/>
  <c r="E24" i="48"/>
  <c r="E67" i="48" s="1"/>
  <c r="F24" i="48"/>
  <c r="R24" i="48" s="1"/>
  <c r="S24" i="48" s="1"/>
  <c r="G24" i="48"/>
  <c r="G67" i="48" s="1"/>
  <c r="H24" i="48"/>
  <c r="H67" i="48" s="1"/>
  <c r="J67" i="48"/>
  <c r="K67" i="48"/>
  <c r="L67" i="48"/>
  <c r="M67" i="48"/>
  <c r="N67" i="48"/>
  <c r="O67" i="48"/>
  <c r="D25" i="48"/>
  <c r="D68" i="48" s="1"/>
  <c r="E25" i="48"/>
  <c r="E68" i="48" s="1"/>
  <c r="F25" i="48"/>
  <c r="F68" i="48" s="1"/>
  <c r="L68" i="48"/>
  <c r="M68" i="48"/>
  <c r="N68" i="48"/>
  <c r="O68" i="48"/>
  <c r="D26" i="48"/>
  <c r="D69" i="48" s="1"/>
  <c r="G26" i="48"/>
  <c r="G69" i="48" s="1"/>
  <c r="H26" i="48"/>
  <c r="H69" i="48" s="1"/>
  <c r="D29" i="48"/>
  <c r="D73" i="48" s="1"/>
  <c r="H29" i="48"/>
  <c r="H32" i="48" s="1"/>
  <c r="O29" i="48"/>
  <c r="D30" i="48"/>
  <c r="J74" i="48"/>
  <c r="J76" i="48" s="1"/>
  <c r="K32" i="48"/>
  <c r="N32" i="48"/>
  <c r="O74" i="48"/>
  <c r="D31" i="48"/>
  <c r="D75" i="48" s="1"/>
  <c r="H31" i="48"/>
  <c r="O75" i="48"/>
  <c r="E32" i="48"/>
  <c r="F32" i="48"/>
  <c r="G32" i="48"/>
  <c r="C36" i="48"/>
  <c r="D39" i="48"/>
  <c r="C42" i="48"/>
  <c r="D42" i="48"/>
  <c r="J51" i="48"/>
  <c r="D53" i="48"/>
  <c r="O53" i="48"/>
  <c r="D56" i="48"/>
  <c r="D88" i="48" s="1"/>
  <c r="E56" i="48"/>
  <c r="G56" i="48"/>
  <c r="H56" i="48"/>
  <c r="I56" i="48"/>
  <c r="D57" i="48"/>
  <c r="E57" i="48"/>
  <c r="G58" i="48"/>
  <c r="E59" i="48"/>
  <c r="I59" i="48"/>
  <c r="J59" i="48"/>
  <c r="K59" i="48"/>
  <c r="L59" i="48"/>
  <c r="M59" i="48"/>
  <c r="N59" i="48"/>
  <c r="O59" i="48"/>
  <c r="E61" i="48"/>
  <c r="J61" i="48"/>
  <c r="K61" i="48"/>
  <c r="L61" i="48"/>
  <c r="M61" i="48"/>
  <c r="N61" i="48"/>
  <c r="O61" i="48"/>
  <c r="E63" i="48"/>
  <c r="F63" i="48"/>
  <c r="G63" i="48"/>
  <c r="H63" i="48"/>
  <c r="I63" i="48"/>
  <c r="E64" i="48"/>
  <c r="F64" i="48"/>
  <c r="I64" i="48"/>
  <c r="J64" i="48"/>
  <c r="K64" i="48"/>
  <c r="L64" i="48"/>
  <c r="M64" i="48"/>
  <c r="N64" i="48"/>
  <c r="O64" i="48"/>
  <c r="E65" i="48"/>
  <c r="F65" i="48"/>
  <c r="I65" i="48"/>
  <c r="J65" i="48"/>
  <c r="K65" i="48"/>
  <c r="D66" i="48"/>
  <c r="F66" i="48"/>
  <c r="I67" i="48"/>
  <c r="G68" i="48"/>
  <c r="H68" i="48"/>
  <c r="I68" i="48"/>
  <c r="E69" i="48"/>
  <c r="F69" i="48"/>
  <c r="I69" i="48"/>
  <c r="J69" i="48"/>
  <c r="K69" i="48"/>
  <c r="L69" i="48"/>
  <c r="M69" i="48"/>
  <c r="N69" i="48"/>
  <c r="O69" i="48"/>
  <c r="G73" i="48"/>
  <c r="F74" i="48"/>
  <c r="G74" i="48"/>
  <c r="H74" i="48"/>
  <c r="I74" i="48"/>
  <c r="I76" i="48" s="1"/>
  <c r="K76" i="48"/>
  <c r="F75" i="48"/>
  <c r="F76" i="48" s="1"/>
  <c r="G75" i="48"/>
  <c r="E76" i="48"/>
  <c r="G76" i="48"/>
  <c r="H76" i="48"/>
  <c r="D83" i="48"/>
  <c r="E83" i="48"/>
  <c r="F83" i="48"/>
  <c r="G83" i="48"/>
  <c r="H83" i="48"/>
  <c r="I83" i="48"/>
  <c r="J83" i="48"/>
  <c r="K83" i="48"/>
  <c r="L83" i="48"/>
  <c r="M83" i="48"/>
  <c r="N83" i="48"/>
  <c r="O83" i="48"/>
  <c r="C87" i="48"/>
  <c r="C88" i="48"/>
  <c r="C92" i="48" s="1"/>
  <c r="G88" i="48"/>
  <c r="I88" i="48"/>
  <c r="C89" i="48"/>
  <c r="D89" i="48"/>
  <c r="H89" i="48"/>
  <c r="C90" i="48"/>
  <c r="E90" i="48"/>
  <c r="C91" i="48"/>
  <c r="C94" i="48"/>
  <c r="C98" i="48"/>
  <c r="D103" i="48"/>
  <c r="D109" i="48"/>
  <c r="E109" i="48"/>
  <c r="F109" i="48"/>
  <c r="G109" i="48"/>
  <c r="H109" i="48"/>
  <c r="I109" i="48"/>
  <c r="M109" i="48"/>
  <c r="N109" i="48"/>
  <c r="O109" i="48"/>
  <c r="D110" i="48"/>
  <c r="E110" i="48"/>
  <c r="F110" i="48"/>
  <c r="G110" i="48"/>
  <c r="H110" i="48"/>
  <c r="I110" i="48"/>
  <c r="M110" i="48"/>
  <c r="M111" i="48" s="1"/>
  <c r="M112" i="48" s="1"/>
  <c r="N110" i="48"/>
  <c r="O110" i="48"/>
  <c r="K112" i="48"/>
  <c r="L111" i="48"/>
  <c r="L112" i="48" s="1"/>
  <c r="F128" i="48"/>
  <c r="I111" i="48" l="1"/>
  <c r="I112" i="48" s="1"/>
  <c r="E111" i="48"/>
  <c r="E112" i="48" s="1"/>
  <c r="J52" i="50"/>
  <c r="H111" i="48"/>
  <c r="H112" i="48" s="1"/>
  <c r="G111" i="48"/>
  <c r="G112" i="48" s="1"/>
  <c r="I52" i="50"/>
  <c r="I54" i="50" s="1"/>
  <c r="D111" i="48"/>
  <c r="D112" i="48" s="1"/>
  <c r="K111" i="50"/>
  <c r="K112" i="50" s="1"/>
  <c r="I111" i="50"/>
  <c r="I112" i="50" s="1"/>
  <c r="E111" i="50"/>
  <c r="E112" i="50" s="1"/>
  <c r="M111" i="50"/>
  <c r="M112" i="50" s="1"/>
  <c r="G111" i="50"/>
  <c r="G112" i="50" s="1"/>
  <c r="O111" i="50"/>
  <c r="O112" i="50" s="1"/>
  <c r="F111" i="50"/>
  <c r="F112" i="50" s="1"/>
  <c r="H111" i="50"/>
  <c r="H112" i="50" s="1"/>
  <c r="F111" i="48"/>
  <c r="F112" i="48" s="1"/>
  <c r="F67" i="48"/>
  <c r="F52" i="50"/>
  <c r="F54" i="50" s="1"/>
  <c r="G9" i="50"/>
  <c r="G11" i="50" s="1"/>
  <c r="N111" i="48"/>
  <c r="N112" i="48" s="1"/>
  <c r="H9" i="50"/>
  <c r="F76" i="50"/>
  <c r="C92" i="50"/>
  <c r="C94" i="50" s="1"/>
  <c r="C100" i="50" s="1"/>
  <c r="D96" i="50" s="1"/>
  <c r="D98" i="50" s="1"/>
  <c r="N74" i="48"/>
  <c r="N76" i="48" s="1"/>
  <c r="J32" i="48"/>
  <c r="H18" i="49"/>
  <c r="H48" i="49" s="1"/>
  <c r="H78" i="49" s="1"/>
  <c r="F27" i="48"/>
  <c r="K27" i="48"/>
  <c r="I61" i="48"/>
  <c r="I91" i="48" s="1"/>
  <c r="N52" i="48"/>
  <c r="N54" i="48" s="1"/>
  <c r="J19" i="49"/>
  <c r="J49" i="49" s="1"/>
  <c r="J79" i="49" s="1"/>
  <c r="F19" i="49"/>
  <c r="F49" i="49" s="1"/>
  <c r="F79" i="49" s="1"/>
  <c r="F14" i="49"/>
  <c r="F44" i="49" s="1"/>
  <c r="F74" i="49" s="1"/>
  <c r="I56" i="50"/>
  <c r="H14" i="49"/>
  <c r="H44" i="49" s="1"/>
  <c r="H74" i="49" s="1"/>
  <c r="H17" i="50"/>
  <c r="H60" i="50" s="1"/>
  <c r="H90" i="50" s="1"/>
  <c r="H19" i="49"/>
  <c r="H49" i="49" s="1"/>
  <c r="H79" i="49" s="1"/>
  <c r="F18" i="49"/>
  <c r="F48" i="49" s="1"/>
  <c r="F78" i="49" s="1"/>
  <c r="I9" i="48"/>
  <c r="I11" i="48" s="1"/>
  <c r="E9" i="48"/>
  <c r="E11" i="48" s="1"/>
  <c r="E9" i="50"/>
  <c r="E11" i="50" s="1"/>
  <c r="I58" i="48"/>
  <c r="I50" i="48"/>
  <c r="I52" i="48" s="1"/>
  <c r="H15" i="49"/>
  <c r="H45" i="49" s="1"/>
  <c r="H75" i="49" s="1"/>
  <c r="N111" i="50"/>
  <c r="N112" i="50" s="1"/>
  <c r="H52" i="48"/>
  <c r="H54" i="48" s="1"/>
  <c r="M9" i="48"/>
  <c r="M11" i="48" s="1"/>
  <c r="H9" i="48"/>
  <c r="H11" i="48" s="1"/>
  <c r="D9" i="48"/>
  <c r="D11" i="48" s="1"/>
  <c r="I57" i="48"/>
  <c r="E50" i="48"/>
  <c r="E52" i="48" s="1"/>
  <c r="J53" i="50"/>
  <c r="J54" i="50" s="1"/>
  <c r="N27" i="48"/>
  <c r="G50" i="50"/>
  <c r="G52" i="50" s="1"/>
  <c r="G54" i="50" s="1"/>
  <c r="O111" i="48"/>
  <c r="O112" i="48" s="1"/>
  <c r="L9" i="50"/>
  <c r="L11" i="50" s="1"/>
  <c r="M52" i="50"/>
  <c r="M54" i="50" s="1"/>
  <c r="I90" i="48"/>
  <c r="K68" i="48"/>
  <c r="K71" i="48" s="1"/>
  <c r="O27" i="48"/>
  <c r="N9" i="48"/>
  <c r="N11" i="48" s="1"/>
  <c r="N33" i="48" s="1"/>
  <c r="K9" i="50"/>
  <c r="K11" i="50" s="1"/>
  <c r="O9" i="50"/>
  <c r="O11" i="50" s="1"/>
  <c r="D27" i="50"/>
  <c r="H71" i="48"/>
  <c r="G76" i="50"/>
  <c r="L51" i="49"/>
  <c r="L81" i="49" s="1"/>
  <c r="O51" i="50"/>
  <c r="O52" i="50" s="1"/>
  <c r="O54" i="50" s="1"/>
  <c r="D50" i="48"/>
  <c r="D52" i="48" s="1"/>
  <c r="D54" i="48" s="1"/>
  <c r="G27" i="50"/>
  <c r="K51" i="50"/>
  <c r="K52" i="50" s="1"/>
  <c r="K54" i="50" s="1"/>
  <c r="I60" i="50"/>
  <c r="I90" i="50" s="1"/>
  <c r="J9" i="50"/>
  <c r="O27" i="50"/>
  <c r="K71" i="50"/>
  <c r="E53" i="48"/>
  <c r="H11" i="50"/>
  <c r="F9" i="50"/>
  <c r="F11" i="50" s="1"/>
  <c r="I89" i="48"/>
  <c r="I60" i="48"/>
  <c r="I53" i="48"/>
  <c r="G27" i="48"/>
  <c r="K27" i="50"/>
  <c r="F71" i="50"/>
  <c r="I62" i="50"/>
  <c r="I63" i="50"/>
  <c r="L15" i="49"/>
  <c r="L45" i="49" s="1"/>
  <c r="L75" i="49" s="1"/>
  <c r="N27" i="50"/>
  <c r="F32" i="50"/>
  <c r="N32" i="50"/>
  <c r="I62" i="48"/>
  <c r="N57" i="48"/>
  <c r="M51" i="48"/>
  <c r="M52" i="48" s="1"/>
  <c r="M54" i="48" s="1"/>
  <c r="J27" i="48"/>
  <c r="J14" i="49"/>
  <c r="O52" i="48"/>
  <c r="O54" i="48" s="1"/>
  <c r="E27" i="50"/>
  <c r="I27" i="50"/>
  <c r="L14" i="49"/>
  <c r="M71" i="50"/>
  <c r="I58" i="50"/>
  <c r="I67" i="50"/>
  <c r="L48" i="49"/>
  <c r="L78" i="49" s="1"/>
  <c r="I68" i="50"/>
  <c r="F27" i="50"/>
  <c r="J32" i="50"/>
  <c r="L50" i="50"/>
  <c r="L52" i="50" s="1"/>
  <c r="L54" i="50" s="1"/>
  <c r="S70" i="49" s="1"/>
  <c r="I57" i="50"/>
  <c r="D9" i="50"/>
  <c r="D11" i="50" s="1"/>
  <c r="D50" i="50"/>
  <c r="D52" i="50" s="1"/>
  <c r="D54" i="50" s="1"/>
  <c r="M9" i="50"/>
  <c r="M11" i="50" s="1"/>
  <c r="I74" i="50"/>
  <c r="I76" i="50" s="1"/>
  <c r="I32" i="50"/>
  <c r="H103" i="50"/>
  <c r="E52" i="50"/>
  <c r="E54" i="50" s="1"/>
  <c r="N9" i="50"/>
  <c r="N11" i="50" s="1"/>
  <c r="G88" i="50"/>
  <c r="G56" i="50"/>
  <c r="G71" i="50" s="1"/>
  <c r="J27" i="50"/>
  <c r="H32" i="50"/>
  <c r="D56" i="50"/>
  <c r="O76" i="50"/>
  <c r="L74" i="50"/>
  <c r="L76" i="50" s="1"/>
  <c r="L32" i="50"/>
  <c r="M32" i="50"/>
  <c r="M74" i="50"/>
  <c r="M76" i="50" s="1"/>
  <c r="M78" i="50" s="1"/>
  <c r="I9" i="50"/>
  <c r="H56" i="50"/>
  <c r="L56" i="50"/>
  <c r="L71" i="50" s="1"/>
  <c r="L27" i="50"/>
  <c r="G32" i="50"/>
  <c r="O32" i="50"/>
  <c r="H50" i="50"/>
  <c r="H52" i="50" s="1"/>
  <c r="H54" i="50" s="1"/>
  <c r="E88" i="50"/>
  <c r="E71" i="50"/>
  <c r="N52" i="50"/>
  <c r="N54" i="50" s="1"/>
  <c r="J71" i="50"/>
  <c r="M27" i="50"/>
  <c r="O32" i="48"/>
  <c r="O73" i="48"/>
  <c r="O76" i="48" s="1"/>
  <c r="M71" i="48"/>
  <c r="E71" i="48"/>
  <c r="J9" i="48"/>
  <c r="J11" i="48" s="1"/>
  <c r="J50" i="48"/>
  <c r="J52" i="48" s="1"/>
  <c r="J54" i="48" s="1"/>
  <c r="F9" i="48"/>
  <c r="F11" i="48" s="1"/>
  <c r="F50" i="48"/>
  <c r="F52" i="48" s="1"/>
  <c r="F54" i="48" s="1"/>
  <c r="L71" i="48"/>
  <c r="L51" i="48"/>
  <c r="L52" i="48" s="1"/>
  <c r="L54" i="48" s="1"/>
  <c r="L9" i="48"/>
  <c r="L11" i="48" s="1"/>
  <c r="G50" i="48"/>
  <c r="G52" i="48" s="1"/>
  <c r="G54" i="48" s="1"/>
  <c r="G9" i="48"/>
  <c r="G11" i="48" s="1"/>
  <c r="L32" i="48"/>
  <c r="L76" i="48"/>
  <c r="K50" i="48"/>
  <c r="K52" i="48" s="1"/>
  <c r="K54" i="48" s="1"/>
  <c r="K9" i="48"/>
  <c r="K11" i="48" s="1"/>
  <c r="C100" i="48"/>
  <c r="D96" i="48" s="1"/>
  <c r="D98" i="48" s="1"/>
  <c r="M32" i="48"/>
  <c r="M74" i="48"/>
  <c r="M76" i="48" s="1"/>
  <c r="D32" i="48"/>
  <c r="D74" i="48"/>
  <c r="D76" i="48" s="1"/>
  <c r="O9" i="48"/>
  <c r="O11" i="48" s="1"/>
  <c r="F71" i="48"/>
  <c r="E27" i="48"/>
  <c r="M27" i="48"/>
  <c r="I27" i="48"/>
  <c r="R71" i="49" s="1"/>
  <c r="D71" i="48"/>
  <c r="J68" i="48"/>
  <c r="J71" i="48" s="1"/>
  <c r="G71" i="48"/>
  <c r="D27" i="48"/>
  <c r="H27" i="48"/>
  <c r="P76" i="48" l="1"/>
  <c r="S71" i="49"/>
  <c r="V71" i="49" s="1"/>
  <c r="P27" i="50"/>
  <c r="Q72" i="49"/>
  <c r="R72" i="49" s="1"/>
  <c r="Q32" i="48"/>
  <c r="J21" i="49" s="1"/>
  <c r="J51" i="49" s="1"/>
  <c r="J81" i="49" s="1"/>
  <c r="P54" i="48"/>
  <c r="P32" i="50"/>
  <c r="S72" i="49"/>
  <c r="V72" i="49" s="1"/>
  <c r="L33" i="50"/>
  <c r="L34" i="50" s="1"/>
  <c r="K33" i="48"/>
  <c r="J8" i="49"/>
  <c r="J10" i="49" s="1"/>
  <c r="J22" i="49" s="1"/>
  <c r="Q70" i="49"/>
  <c r="Q73" i="49" s="1"/>
  <c r="Q75" i="49" s="1"/>
  <c r="H21" i="49"/>
  <c r="H51" i="49" s="1"/>
  <c r="H81" i="49" s="1"/>
  <c r="H27" i="50"/>
  <c r="G33" i="48"/>
  <c r="G34" i="48" s="1"/>
  <c r="G35" i="48" s="1"/>
  <c r="G36" i="48" s="1"/>
  <c r="F78" i="50"/>
  <c r="F79" i="50" s="1"/>
  <c r="F104" i="50" s="1"/>
  <c r="F105" i="50" s="1"/>
  <c r="T70" i="49"/>
  <c r="L78" i="50"/>
  <c r="L8" i="49"/>
  <c r="L10" i="49" s="1"/>
  <c r="P11" i="50"/>
  <c r="L44" i="49"/>
  <c r="L74" i="49" s="1"/>
  <c r="J44" i="49"/>
  <c r="J74" i="49" s="1"/>
  <c r="J33" i="48"/>
  <c r="J34" i="48" s="1"/>
  <c r="J35" i="48" s="1"/>
  <c r="J36" i="48" s="1"/>
  <c r="F33" i="48"/>
  <c r="F34" i="48" s="1"/>
  <c r="F35" i="48" s="1"/>
  <c r="F36" i="48" s="1"/>
  <c r="E33" i="50"/>
  <c r="E34" i="50" s="1"/>
  <c r="E35" i="50" s="1"/>
  <c r="E36" i="50" s="1"/>
  <c r="J78" i="50"/>
  <c r="J79" i="50" s="1"/>
  <c r="J104" i="50" s="1"/>
  <c r="D33" i="50"/>
  <c r="D34" i="50" s="1"/>
  <c r="D35" i="50" s="1"/>
  <c r="D36" i="50" s="1"/>
  <c r="D44" i="50" s="1"/>
  <c r="E39" i="50" s="1"/>
  <c r="E42" i="50" s="1"/>
  <c r="I54" i="48"/>
  <c r="E33" i="48"/>
  <c r="E34" i="48" s="1"/>
  <c r="E35" i="48" s="1"/>
  <c r="E36" i="48" s="1"/>
  <c r="K33" i="50"/>
  <c r="K36" i="50" s="1"/>
  <c r="F33" i="50"/>
  <c r="F34" i="50" s="1"/>
  <c r="F35" i="50" s="1"/>
  <c r="F36" i="50" s="1"/>
  <c r="K78" i="50"/>
  <c r="K79" i="50" s="1"/>
  <c r="K104" i="50" s="1"/>
  <c r="F8" i="49"/>
  <c r="H71" i="50"/>
  <c r="H78" i="50" s="1"/>
  <c r="I71" i="50"/>
  <c r="I78" i="50" s="1"/>
  <c r="T71" i="49"/>
  <c r="N35" i="48"/>
  <c r="N70" i="48"/>
  <c r="N71" i="48" s="1"/>
  <c r="N78" i="48" s="1"/>
  <c r="N80" i="48" s="1"/>
  <c r="D33" i="48"/>
  <c r="D34" i="48" s="1"/>
  <c r="D35" i="48" s="1"/>
  <c r="D36" i="48" s="1"/>
  <c r="D44" i="48" s="1"/>
  <c r="E39" i="48" s="1"/>
  <c r="E42" i="48" s="1"/>
  <c r="O33" i="50"/>
  <c r="O35" i="50" s="1"/>
  <c r="I71" i="48"/>
  <c r="E54" i="48"/>
  <c r="E78" i="48" s="1"/>
  <c r="E79" i="48" s="1"/>
  <c r="E104" i="48" s="1"/>
  <c r="J11" i="50"/>
  <c r="J33" i="50" s="1"/>
  <c r="O33" i="48"/>
  <c r="G33" i="50"/>
  <c r="G34" i="50" s="1"/>
  <c r="G35" i="50" s="1"/>
  <c r="G36" i="50" s="1"/>
  <c r="I33" i="48"/>
  <c r="I34" i="48" s="1"/>
  <c r="I11" i="50"/>
  <c r="H8" i="49" s="1"/>
  <c r="L19" i="49"/>
  <c r="L49" i="49" s="1"/>
  <c r="L79" i="49" s="1"/>
  <c r="L33" i="48"/>
  <c r="L34" i="48" s="1"/>
  <c r="L35" i="48" s="1"/>
  <c r="L36" i="48" s="1"/>
  <c r="R82" i="49" s="1"/>
  <c r="H33" i="50"/>
  <c r="H34" i="50" s="1"/>
  <c r="H35" i="50" s="1"/>
  <c r="H36" i="50" s="1"/>
  <c r="N33" i="50"/>
  <c r="N35" i="50" s="1"/>
  <c r="H78" i="48"/>
  <c r="H79" i="48" s="1"/>
  <c r="H104" i="48" s="1"/>
  <c r="L78" i="48"/>
  <c r="L79" i="48" s="1"/>
  <c r="L104" i="48" s="1"/>
  <c r="M104" i="48" s="1"/>
  <c r="N104" i="48" s="1"/>
  <c r="O104" i="48" s="1"/>
  <c r="M78" i="48"/>
  <c r="M79" i="48" s="1"/>
  <c r="M80" i="48" s="1"/>
  <c r="E78" i="50"/>
  <c r="E79" i="50" s="1"/>
  <c r="E104" i="50" s="1"/>
  <c r="E105" i="50" s="1"/>
  <c r="M79" i="50"/>
  <c r="M80" i="50" s="1"/>
  <c r="D71" i="50"/>
  <c r="D78" i="50" s="1"/>
  <c r="D88" i="50"/>
  <c r="M33" i="50"/>
  <c r="G78" i="50"/>
  <c r="I103" i="50"/>
  <c r="H33" i="48"/>
  <c r="D78" i="48"/>
  <c r="J78" i="48"/>
  <c r="K34" i="48"/>
  <c r="K35" i="48" s="1"/>
  <c r="K36" i="48" s="1"/>
  <c r="M33" i="48"/>
  <c r="K78" i="48"/>
  <c r="G78" i="48"/>
  <c r="F78" i="48"/>
  <c r="T72" i="49" l="1"/>
  <c r="L22" i="49"/>
  <c r="J26" i="49"/>
  <c r="J32" i="49" s="1"/>
  <c r="P78" i="50"/>
  <c r="L79" i="50"/>
  <c r="P79" i="50" s="1"/>
  <c r="I78" i="48"/>
  <c r="I79" i="48" s="1"/>
  <c r="I104" i="48" s="1"/>
  <c r="L35" i="50"/>
  <c r="L104" i="50"/>
  <c r="M104" i="50" s="1"/>
  <c r="N104" i="50" s="1"/>
  <c r="O104" i="50" s="1"/>
  <c r="V70" i="49"/>
  <c r="V73" i="49" s="1"/>
  <c r="S73" i="49"/>
  <c r="J52" i="49"/>
  <c r="L36" i="50"/>
  <c r="T82" i="49" s="1"/>
  <c r="P33" i="50"/>
  <c r="E103" i="48"/>
  <c r="E105" i="48" s="1"/>
  <c r="I33" i="50"/>
  <c r="I34" i="50" s="1"/>
  <c r="I35" i="50" s="1"/>
  <c r="I36" i="50" s="1"/>
  <c r="E80" i="48"/>
  <c r="E82" i="48" s="1"/>
  <c r="T73" i="49"/>
  <c r="T75" i="49" s="1"/>
  <c r="K34" i="50"/>
  <c r="K35" i="50" s="1"/>
  <c r="O36" i="50"/>
  <c r="O70" i="50" s="1"/>
  <c r="O71" i="50" s="1"/>
  <c r="O78" i="50" s="1"/>
  <c r="O80" i="50" s="1"/>
  <c r="R70" i="49"/>
  <c r="R73" i="49" s="1"/>
  <c r="R75" i="49" s="1"/>
  <c r="F38" i="49"/>
  <c r="F10" i="49"/>
  <c r="F22" i="49" s="1"/>
  <c r="H10" i="49"/>
  <c r="H38" i="49"/>
  <c r="J38" i="49"/>
  <c r="S75" i="49"/>
  <c r="H80" i="48"/>
  <c r="H82" i="48" s="1"/>
  <c r="O35" i="48"/>
  <c r="O36" i="48" s="1"/>
  <c r="O70" i="48" s="1"/>
  <c r="O71" i="48" s="1"/>
  <c r="O78" i="48" s="1"/>
  <c r="O80" i="48" s="1"/>
  <c r="J36" i="50"/>
  <c r="J34" i="50"/>
  <c r="J35" i="50" s="1"/>
  <c r="K80" i="50"/>
  <c r="I79" i="50"/>
  <c r="I104" i="50" s="1"/>
  <c r="I105" i="50" s="1"/>
  <c r="E44" i="48"/>
  <c r="F39" i="48" s="1"/>
  <c r="F42" i="48" s="1"/>
  <c r="F44" i="48" s="1"/>
  <c r="J80" i="50"/>
  <c r="J81" i="50" s="1"/>
  <c r="N36" i="50"/>
  <c r="N70" i="50" s="1"/>
  <c r="N71" i="50" s="1"/>
  <c r="N78" i="50" s="1"/>
  <c r="N80" i="50" s="1"/>
  <c r="L38" i="49"/>
  <c r="L68" i="49" s="1"/>
  <c r="I35" i="48"/>
  <c r="I36" i="48" s="1"/>
  <c r="E44" i="50"/>
  <c r="F39" i="50" s="1"/>
  <c r="F42" i="50" s="1"/>
  <c r="F127" i="50"/>
  <c r="F129" i="50" s="1"/>
  <c r="G79" i="50"/>
  <c r="G104" i="50" s="1"/>
  <c r="G105" i="50" s="1"/>
  <c r="M82" i="50"/>
  <c r="M81" i="50"/>
  <c r="D79" i="50"/>
  <c r="D104" i="50" s="1"/>
  <c r="D105" i="50" s="1"/>
  <c r="E80" i="50"/>
  <c r="H79" i="50"/>
  <c r="H104" i="50" s="1"/>
  <c r="H105" i="50" s="1"/>
  <c r="J103" i="50"/>
  <c r="M34" i="50"/>
  <c r="M35" i="50" s="1"/>
  <c r="M36" i="50"/>
  <c r="F80" i="50"/>
  <c r="M82" i="48"/>
  <c r="M81" i="48"/>
  <c r="N81" i="48"/>
  <c r="N82" i="48"/>
  <c r="L80" i="48"/>
  <c r="P80" i="48" s="1"/>
  <c r="F79" i="48"/>
  <c r="F104" i="48" s="1"/>
  <c r="D79" i="48"/>
  <c r="D104" i="48" s="1"/>
  <c r="D105" i="48" s="1"/>
  <c r="G79" i="48"/>
  <c r="K79" i="48"/>
  <c r="K104" i="48" s="1"/>
  <c r="M34" i="48"/>
  <c r="M35" i="48" s="1"/>
  <c r="J79" i="48"/>
  <c r="J104" i="48" s="1"/>
  <c r="H34" i="48"/>
  <c r="H35" i="48" s="1"/>
  <c r="H36" i="48" s="1"/>
  <c r="J28" i="49" l="1"/>
  <c r="F103" i="48"/>
  <c r="G103" i="48" s="1"/>
  <c r="H81" i="48"/>
  <c r="H113" i="48" s="1"/>
  <c r="I80" i="48"/>
  <c r="I82" i="48" s="1"/>
  <c r="I80" i="50"/>
  <c r="I82" i="50" s="1"/>
  <c r="L80" i="50"/>
  <c r="P35" i="50"/>
  <c r="P34" i="50"/>
  <c r="J82" i="50"/>
  <c r="J84" i="50" s="1"/>
  <c r="L52" i="49"/>
  <c r="L82" i="49" s="1"/>
  <c r="E81" i="48"/>
  <c r="E84" i="48" s="1"/>
  <c r="G80" i="50"/>
  <c r="G81" i="50" s="1"/>
  <c r="F40" i="49"/>
  <c r="F70" i="49" s="1"/>
  <c r="F68" i="49"/>
  <c r="J40" i="49"/>
  <c r="J70" i="49" s="1"/>
  <c r="J68" i="49"/>
  <c r="H40" i="49"/>
  <c r="H68" i="49"/>
  <c r="H22" i="49"/>
  <c r="H52" i="49" s="1"/>
  <c r="H82" i="49" s="1"/>
  <c r="K82" i="50"/>
  <c r="K81" i="50"/>
  <c r="D80" i="48"/>
  <c r="D82" i="48" s="1"/>
  <c r="F80" i="48"/>
  <c r="F81" i="48" s="1"/>
  <c r="L40" i="49"/>
  <c r="L70" i="49" s="1"/>
  <c r="F52" i="49"/>
  <c r="F26" i="49"/>
  <c r="F32" i="49" s="1"/>
  <c r="G39" i="50"/>
  <c r="G42" i="50" s="1"/>
  <c r="F44" i="50"/>
  <c r="F81" i="50"/>
  <c r="F82" i="50"/>
  <c r="K103" i="50"/>
  <c r="J105" i="50"/>
  <c r="M113" i="50"/>
  <c r="M84" i="50"/>
  <c r="E82" i="50"/>
  <c r="E81" i="50"/>
  <c r="O82" i="50"/>
  <c r="O81" i="50"/>
  <c r="H80" i="50"/>
  <c r="N81" i="50"/>
  <c r="N82" i="50"/>
  <c r="D80" i="50"/>
  <c r="J113" i="50"/>
  <c r="P79" i="48"/>
  <c r="G104" i="48"/>
  <c r="G105" i="48" s="1"/>
  <c r="G80" i="48"/>
  <c r="G39" i="48"/>
  <c r="G42" i="48" s="1"/>
  <c r="O81" i="48"/>
  <c r="O82" i="48"/>
  <c r="K80" i="48"/>
  <c r="L82" i="48"/>
  <c r="L81" i="48"/>
  <c r="L113" i="48" s="1"/>
  <c r="N84" i="48"/>
  <c r="N113" i="48"/>
  <c r="J80" i="48"/>
  <c r="H103" i="48"/>
  <c r="M113" i="48"/>
  <c r="M84" i="48"/>
  <c r="E113" i="48" l="1"/>
  <c r="L81" i="50"/>
  <c r="L84" i="50" s="1"/>
  <c r="P80" i="50"/>
  <c r="H84" i="48"/>
  <c r="L82" i="50"/>
  <c r="F105" i="48"/>
  <c r="I81" i="50"/>
  <c r="I84" i="50" s="1"/>
  <c r="I81" i="48"/>
  <c r="I113" i="48" s="1"/>
  <c r="G82" i="50"/>
  <c r="G84" i="50" s="1"/>
  <c r="H26" i="49"/>
  <c r="H32" i="49" s="1"/>
  <c r="F82" i="48"/>
  <c r="F84" i="48" s="1"/>
  <c r="H70" i="49"/>
  <c r="H86" i="49" s="1"/>
  <c r="H92" i="49" s="1"/>
  <c r="H56" i="49"/>
  <c r="H62" i="49" s="1"/>
  <c r="D81" i="48"/>
  <c r="D113" i="48" s="1"/>
  <c r="K84" i="50"/>
  <c r="K113" i="50"/>
  <c r="J82" i="49"/>
  <c r="F82" i="49"/>
  <c r="F86" i="49" s="1"/>
  <c r="F92" i="49" s="1"/>
  <c r="F56" i="49"/>
  <c r="L53" i="49"/>
  <c r="N113" i="50"/>
  <c r="N84" i="50"/>
  <c r="F113" i="50"/>
  <c r="F115" i="50" s="1"/>
  <c r="F84" i="50"/>
  <c r="F87" i="50"/>
  <c r="F92" i="50" s="1"/>
  <c r="O113" i="50"/>
  <c r="O84" i="50"/>
  <c r="J115" i="50"/>
  <c r="J87" i="50"/>
  <c r="E113" i="50"/>
  <c r="E115" i="50" s="1"/>
  <c r="E84" i="50"/>
  <c r="E87" i="50"/>
  <c r="E92" i="50" s="1"/>
  <c r="D82" i="50"/>
  <c r="D81" i="50"/>
  <c r="H81" i="50"/>
  <c r="H82" i="50"/>
  <c r="M115" i="50"/>
  <c r="M87" i="50"/>
  <c r="M92" i="50" s="1"/>
  <c r="M94" i="50" s="1"/>
  <c r="G113" i="50"/>
  <c r="L113" i="50"/>
  <c r="L103" i="50"/>
  <c r="K105" i="50"/>
  <c r="G44" i="50"/>
  <c r="H39" i="50" s="1"/>
  <c r="H42" i="50" s="1"/>
  <c r="G44" i="48"/>
  <c r="H39" i="48" s="1"/>
  <c r="H42" i="48" s="1"/>
  <c r="I39" i="48" s="1"/>
  <c r="I103" i="48"/>
  <c r="H105" i="48"/>
  <c r="G81" i="48"/>
  <c r="G82" i="48"/>
  <c r="M94" i="48"/>
  <c r="M115" i="48"/>
  <c r="F113" i="48"/>
  <c r="N94" i="48"/>
  <c r="N115" i="48"/>
  <c r="H87" i="48"/>
  <c r="H92" i="48" s="1"/>
  <c r="H115" i="48"/>
  <c r="E87" i="48"/>
  <c r="E92" i="48" s="1"/>
  <c r="E94" i="48" s="1"/>
  <c r="E115" i="48"/>
  <c r="L84" i="48"/>
  <c r="K81" i="48"/>
  <c r="K82" i="48"/>
  <c r="J81" i="48"/>
  <c r="J113" i="48" s="1"/>
  <c r="J82" i="48"/>
  <c r="O84" i="48"/>
  <c r="O113" i="48"/>
  <c r="H94" i="48" l="1"/>
  <c r="I113" i="50"/>
  <c r="I84" i="48"/>
  <c r="J92" i="50"/>
  <c r="J94" i="50" s="1"/>
  <c r="D84" i="48"/>
  <c r="K115" i="50"/>
  <c r="K87" i="50"/>
  <c r="K92" i="50" s="1"/>
  <c r="K94" i="50" s="1"/>
  <c r="F62" i="49"/>
  <c r="I87" i="48"/>
  <c r="I92" i="48" s="1"/>
  <c r="I115" i="48"/>
  <c r="L83" i="49"/>
  <c r="H44" i="50"/>
  <c r="I39" i="50" s="1"/>
  <c r="I42" i="50" s="1"/>
  <c r="M103" i="50"/>
  <c r="N103" i="50" s="1"/>
  <c r="O103" i="50" s="1"/>
  <c r="L105" i="50"/>
  <c r="M105" i="50" s="1"/>
  <c r="N105" i="50" s="1"/>
  <c r="O105" i="50" s="1"/>
  <c r="H113" i="50"/>
  <c r="H84" i="50"/>
  <c r="D113" i="50"/>
  <c r="D115" i="50" s="1"/>
  <c r="D87" i="50"/>
  <c r="D92" i="50" s="1"/>
  <c r="D84" i="50"/>
  <c r="O115" i="50"/>
  <c r="O87" i="50"/>
  <c r="O92" i="50" s="1"/>
  <c r="O94" i="50" s="1"/>
  <c r="N115" i="50"/>
  <c r="N87" i="50"/>
  <c r="N92" i="50" s="1"/>
  <c r="N94" i="50" s="1"/>
  <c r="G115" i="50"/>
  <c r="G87" i="50"/>
  <c r="G92" i="50" s="1"/>
  <c r="G94" i="50" s="1"/>
  <c r="E94" i="50"/>
  <c r="L115" i="50"/>
  <c r="L87" i="50"/>
  <c r="L92" i="50" s="1"/>
  <c r="I115" i="50"/>
  <c r="I87" i="50"/>
  <c r="I42" i="48"/>
  <c r="H44" i="48"/>
  <c r="K84" i="48"/>
  <c r="K113" i="48"/>
  <c r="I105" i="48"/>
  <c r="J84" i="48"/>
  <c r="L94" i="48"/>
  <c r="L115" i="48"/>
  <c r="F87" i="48"/>
  <c r="F92" i="48" s="1"/>
  <c r="F94" i="48" s="1"/>
  <c r="F115" i="48"/>
  <c r="D87" i="48"/>
  <c r="D92" i="48" s="1"/>
  <c r="D94" i="48" s="1"/>
  <c r="D100" i="48" s="1"/>
  <c r="E96" i="48" s="1"/>
  <c r="E98" i="48" s="1"/>
  <c r="D115" i="48"/>
  <c r="O115" i="48"/>
  <c r="O94" i="48"/>
  <c r="G84" i="48"/>
  <c r="G113" i="48"/>
  <c r="J39" i="48" l="1"/>
  <c r="L94" i="50"/>
  <c r="S82" i="49" s="1"/>
  <c r="S80" i="49"/>
  <c r="Q82" i="49"/>
  <c r="N26" i="49"/>
  <c r="N56" i="49" s="1"/>
  <c r="N86" i="49" s="1"/>
  <c r="L24" i="49"/>
  <c r="L26" i="49" s="1"/>
  <c r="I94" i="48"/>
  <c r="I92" i="50"/>
  <c r="D94" i="50"/>
  <c r="D100" i="50" s="1"/>
  <c r="J42" i="50"/>
  <c r="I44" i="50"/>
  <c r="H115" i="50"/>
  <c r="H87" i="50"/>
  <c r="H92" i="50" s="1"/>
  <c r="H94" i="50" s="1"/>
  <c r="E100" i="50"/>
  <c r="F96" i="50" s="1"/>
  <c r="F98" i="50" s="1"/>
  <c r="E2" i="50"/>
  <c r="E100" i="48"/>
  <c r="F96" i="48" s="1"/>
  <c r="F98" i="48" s="1"/>
  <c r="J94" i="48"/>
  <c r="J115" i="48"/>
  <c r="F127" i="48"/>
  <c r="F129" i="48" s="1"/>
  <c r="J105" i="48"/>
  <c r="G115" i="48"/>
  <c r="G87" i="48"/>
  <c r="G92" i="48" s="1"/>
  <c r="G94" i="48" s="1"/>
  <c r="K94" i="48"/>
  <c r="K115" i="48"/>
  <c r="I44" i="48"/>
  <c r="J42" i="48" s="1"/>
  <c r="K39" i="48" s="1"/>
  <c r="O26" i="49" l="1"/>
  <c r="L54" i="49"/>
  <c r="J54" i="49"/>
  <c r="I94" i="50"/>
  <c r="G96" i="50"/>
  <c r="G98" i="50" s="1"/>
  <c r="F100" i="50"/>
  <c r="K39" i="50"/>
  <c r="K42" i="50" s="1"/>
  <c r="J44" i="50"/>
  <c r="J44" i="48"/>
  <c r="F100" i="48"/>
  <c r="G96" i="48" s="1"/>
  <c r="G98" i="48" s="1"/>
  <c r="G100" i="48" s="1"/>
  <c r="K105" i="48"/>
  <c r="O56" i="49" l="1"/>
  <c r="O86" i="49" s="1"/>
  <c r="P26" i="49"/>
  <c r="K42" i="48"/>
  <c r="J58" i="49"/>
  <c r="J84" i="49"/>
  <c r="J86" i="49" s="1"/>
  <c r="J92" i="49" s="1"/>
  <c r="J56" i="49"/>
  <c r="J62" i="49" s="1"/>
  <c r="L84" i="49"/>
  <c r="L86" i="49" s="1"/>
  <c r="L92" i="49" s="1"/>
  <c r="L56" i="49"/>
  <c r="L39" i="50"/>
  <c r="L42" i="50" s="1"/>
  <c r="T84" i="49" s="1"/>
  <c r="T86" i="49" s="1"/>
  <c r="K44" i="50"/>
  <c r="G100" i="50"/>
  <c r="H96" i="50" s="1"/>
  <c r="H98" i="50" s="1"/>
  <c r="M103" i="48"/>
  <c r="N103" i="48" s="1"/>
  <c r="O103" i="48" s="1"/>
  <c r="L105" i="48"/>
  <c r="M105" i="48" s="1"/>
  <c r="N105" i="48" s="1"/>
  <c r="O105" i="48" s="1"/>
  <c r="H96" i="48"/>
  <c r="H98" i="48" s="1"/>
  <c r="L32" i="49" l="1"/>
  <c r="L28" i="49"/>
  <c r="L58" i="49" s="1"/>
  <c r="K44" i="48"/>
  <c r="L39" i="48"/>
  <c r="L62" i="49"/>
  <c r="I96" i="50"/>
  <c r="I98" i="50" s="1"/>
  <c r="H100" i="50"/>
  <c r="M39" i="50"/>
  <c r="M42" i="50" s="1"/>
  <c r="L44" i="50"/>
  <c r="I96" i="48"/>
  <c r="I98" i="48" s="1"/>
  <c r="H100" i="48"/>
  <c r="L42" i="48" l="1"/>
  <c r="N39" i="50"/>
  <c r="N42" i="50" s="1"/>
  <c r="M44" i="50"/>
  <c r="J96" i="50"/>
  <c r="J98" i="50" s="1"/>
  <c r="I100" i="50"/>
  <c r="J96" i="48"/>
  <c r="J98" i="48" s="1"/>
  <c r="I100" i="48"/>
  <c r="L44" i="48" l="1"/>
  <c r="M39" i="48" s="1"/>
  <c r="M42" i="48" s="1"/>
  <c r="M44" i="48" s="1"/>
  <c r="N39" i="48" s="1"/>
  <c r="N42" i="48" s="1"/>
  <c r="N44" i="48" s="1"/>
  <c r="O39" i="48" s="1"/>
  <c r="O42" i="48" s="1"/>
  <c r="O44" i="48" s="1"/>
  <c r="R84" i="49"/>
  <c r="R86" i="49" s="1"/>
  <c r="K96" i="50"/>
  <c r="K98" i="50" s="1"/>
  <c r="J100" i="50"/>
  <c r="O39" i="50"/>
  <c r="O42" i="50" s="1"/>
  <c r="O44" i="50" s="1"/>
  <c r="N44" i="50"/>
  <c r="K96" i="48"/>
  <c r="K98" i="48" s="1"/>
  <c r="J100" i="48"/>
  <c r="L96" i="50" l="1"/>
  <c r="L98" i="50" s="1"/>
  <c r="S84" i="49" s="1"/>
  <c r="S86" i="49" s="1"/>
  <c r="K100" i="50"/>
  <c r="L96" i="48"/>
  <c r="L98" i="48" s="1"/>
  <c r="Q84" i="49" s="1"/>
  <c r="Q86" i="49" s="1"/>
  <c r="K100" i="48"/>
  <c r="M96" i="50" l="1"/>
  <c r="M98" i="50" s="1"/>
  <c r="L100" i="50"/>
  <c r="M96" i="48"/>
  <c r="M98" i="48" s="1"/>
  <c r="L100" i="48"/>
  <c r="N96" i="50" l="1"/>
  <c r="N98" i="50" s="1"/>
  <c r="M100" i="50"/>
  <c r="N96" i="48"/>
  <c r="N98" i="48" s="1"/>
  <c r="M100" i="48"/>
  <c r="O96" i="50" l="1"/>
  <c r="O98" i="50" s="1"/>
  <c r="O100" i="50" s="1"/>
  <c r="N100" i="50"/>
  <c r="O96" i="48"/>
  <c r="O98" i="48" s="1"/>
  <c r="O100" i="48" s="1"/>
  <c r="N100" i="48"/>
  <c r="F27" i="22" l="1"/>
  <c r="F23" i="22"/>
  <c r="F13" i="22"/>
  <c r="F15" i="22"/>
  <c r="F14" i="22"/>
  <c r="D15" i="22"/>
  <c r="F12" i="22"/>
  <c r="F11" i="22"/>
  <c r="F10" i="22"/>
  <c r="F9" i="22"/>
  <c r="B15" i="19" l="1"/>
  <c r="H15" i="19" s="1"/>
  <c r="F3" i="19"/>
  <c r="F20" i="19" l="1"/>
  <c r="H17" i="19"/>
  <c r="H18" i="19"/>
  <c r="B16" i="19"/>
  <c r="J4" i="34"/>
  <c r="K4" i="34" s="1"/>
  <c r="J5" i="34"/>
  <c r="K5" i="34" s="1"/>
  <c r="J6" i="34"/>
  <c r="K6" i="34" s="1"/>
  <c r="J7" i="34"/>
  <c r="K7" i="34" s="1"/>
  <c r="J8" i="34"/>
  <c r="K8" i="34" s="1"/>
  <c r="J9" i="34"/>
  <c r="K9" i="34" s="1"/>
  <c r="J14" i="34"/>
  <c r="K14" i="34" s="1"/>
  <c r="J15" i="34"/>
  <c r="K15" i="34"/>
  <c r="J16" i="34"/>
  <c r="K16" i="34" s="1"/>
  <c r="J17" i="34"/>
  <c r="K17" i="34" s="1"/>
  <c r="J18" i="34"/>
  <c r="K18" i="34" s="1"/>
  <c r="J19" i="34"/>
  <c r="K19" i="34"/>
  <c r="J20" i="34"/>
  <c r="K20" i="34" s="1"/>
  <c r="J21" i="34"/>
  <c r="K21" i="34" s="1"/>
  <c r="J22" i="34"/>
  <c r="K22" i="34" s="1"/>
  <c r="J23" i="34"/>
  <c r="K23" i="34"/>
  <c r="J24" i="34"/>
  <c r="K24" i="34" s="1"/>
  <c r="J25" i="34"/>
  <c r="K25" i="34" s="1"/>
  <c r="J26" i="34"/>
  <c r="K26" i="34" s="1"/>
  <c r="J27" i="34"/>
  <c r="K27" i="34" s="1"/>
  <c r="J28" i="34"/>
  <c r="K28" i="34" s="1"/>
  <c r="J33" i="34"/>
  <c r="K33" i="34" s="1"/>
  <c r="J34" i="34"/>
  <c r="K34" i="34" s="1"/>
  <c r="J35" i="34"/>
  <c r="K35" i="34" s="1"/>
  <c r="J36" i="34"/>
  <c r="K36" i="34" s="1"/>
  <c r="J37" i="34"/>
  <c r="K37" i="34" s="1"/>
  <c r="J38" i="34"/>
  <c r="K38" i="34" s="1"/>
  <c r="J39" i="34"/>
  <c r="K39" i="34" s="1"/>
  <c r="J40" i="34"/>
  <c r="K40" i="34" s="1"/>
  <c r="J41" i="34"/>
  <c r="K41" i="34" s="1"/>
  <c r="J42" i="34"/>
  <c r="K42" i="34" s="1"/>
  <c r="J43" i="34"/>
  <c r="K43" i="34" s="1"/>
  <c r="J44" i="34"/>
  <c r="K44" i="34" s="1"/>
  <c r="J45" i="34"/>
  <c r="K45" i="34" s="1"/>
  <c r="C42" i="40"/>
  <c r="F4" i="19" l="1"/>
  <c r="E3" i="19"/>
  <c r="N34" i="20" l="1"/>
  <c r="D27" i="22" l="1"/>
  <c r="E10" i="32"/>
  <c r="D10" i="22"/>
  <c r="D14" i="22"/>
  <c r="D11" i="22"/>
  <c r="D4" i="22" l="1"/>
  <c r="D12" i="22"/>
  <c r="D13" i="22"/>
  <c r="D23" i="22"/>
  <c r="D9" i="22"/>
  <c r="E33" i="37"/>
  <c r="D5" i="22" s="1"/>
  <c r="K41" i="37" l="1"/>
  <c r="I41" i="37"/>
  <c r="I33" i="37"/>
  <c r="F5" i="22" s="1"/>
  <c r="K33" i="37"/>
  <c r="K48" i="37"/>
  <c r="I48" i="37"/>
  <c r="K19" i="37"/>
  <c r="K21" i="37" s="1"/>
  <c r="I19" i="37"/>
  <c r="I21" i="37" l="1"/>
  <c r="I43" i="37" s="1"/>
  <c r="I50" i="37" s="1"/>
  <c r="I54" i="37" s="1"/>
  <c r="F4" i="22"/>
  <c r="K43" i="37"/>
  <c r="K50" i="37" s="1"/>
  <c r="K54" i="37" s="1"/>
  <c r="M9" i="38" s="1"/>
  <c r="E7" i="40" l="1"/>
  <c r="K9" i="38"/>
  <c r="C43" i="40" l="1"/>
  <c r="C45" i="40" s="1"/>
  <c r="G9" i="41"/>
  <c r="G10" i="41"/>
  <c r="G8" i="41"/>
  <c r="F11" i="41"/>
  <c r="G6" i="41"/>
  <c r="G5" i="41"/>
  <c r="E11" i="41"/>
  <c r="G11" i="41" s="1"/>
  <c r="F7" i="41"/>
  <c r="G7" i="41" s="1"/>
  <c r="E7" i="41"/>
  <c r="J72" i="35" l="1"/>
  <c r="K72" i="35" s="1"/>
  <c r="J71" i="35"/>
  <c r="K71" i="35" s="1"/>
  <c r="J37" i="35"/>
  <c r="K37" i="35" s="1"/>
  <c r="J22" i="35"/>
  <c r="K22" i="35" s="1"/>
  <c r="J21" i="35"/>
  <c r="J16" i="35"/>
  <c r="K16" i="35" s="1"/>
  <c r="J11" i="35"/>
  <c r="K11" i="35" s="1"/>
  <c r="K21" i="35"/>
  <c r="K28" i="35"/>
  <c r="K43" i="35"/>
  <c r="K5" i="35"/>
  <c r="J6" i="35"/>
  <c r="K6" i="35" s="1"/>
  <c r="J27" i="35"/>
  <c r="K27" i="35" s="1"/>
  <c r="J28" i="35"/>
  <c r="J29" i="35"/>
  <c r="K29" i="35" s="1"/>
  <c r="J34" i="35"/>
  <c r="K34" i="35" s="1"/>
  <c r="J36" i="35"/>
  <c r="K36" i="35" s="1"/>
  <c r="J38" i="35"/>
  <c r="K38" i="35" s="1"/>
  <c r="J43" i="35"/>
  <c r="J44" i="35"/>
  <c r="K44" i="35" s="1"/>
  <c r="J45" i="35"/>
  <c r="K45" i="35" s="1"/>
  <c r="J50" i="35"/>
  <c r="K50" i="35" s="1"/>
  <c r="J51" i="35"/>
  <c r="K51" i="35" s="1"/>
  <c r="J52" i="35"/>
  <c r="K52" i="35" s="1"/>
  <c r="J57" i="35"/>
  <c r="K57" i="35" s="1"/>
  <c r="J58" i="35"/>
  <c r="K58" i="35" s="1"/>
  <c r="J59" i="35"/>
  <c r="K59" i="35" s="1"/>
  <c r="J64" i="35"/>
  <c r="K64" i="35" s="1"/>
  <c r="J65" i="35"/>
  <c r="K65" i="35" s="1"/>
  <c r="J66" i="35"/>
  <c r="K66" i="35" s="1"/>
  <c r="J73" i="35"/>
  <c r="K73" i="35" s="1"/>
  <c r="J74" i="35"/>
  <c r="K74" i="35" s="1"/>
  <c r="J79" i="35"/>
  <c r="K79" i="35" s="1"/>
  <c r="J80" i="35"/>
  <c r="K80" i="35" s="1"/>
  <c r="J81" i="35"/>
  <c r="K81" i="35" s="1"/>
  <c r="J82" i="35"/>
  <c r="K82" i="35" s="1"/>
  <c r="J87" i="35"/>
  <c r="K87" i="35" s="1"/>
  <c r="J88" i="35"/>
  <c r="K88" i="35" s="1"/>
  <c r="J89" i="35"/>
  <c r="K89" i="35" s="1"/>
  <c r="J98" i="35"/>
  <c r="K98" i="35" s="1"/>
  <c r="J99" i="35"/>
  <c r="K99" i="35" s="1"/>
  <c r="J100" i="35"/>
  <c r="K100" i="35" s="1"/>
  <c r="J4" i="35"/>
  <c r="K4" i="35" s="1"/>
  <c r="J35" i="35" l="1"/>
  <c r="K35" i="35" s="1"/>
  <c r="B47" i="40"/>
  <c r="E38" i="40"/>
  <c r="E33" i="40"/>
  <c r="C22" i="40"/>
  <c r="B4" i="40"/>
  <c r="B2" i="40"/>
  <c r="B1" i="40"/>
  <c r="E40" i="40" l="1"/>
  <c r="E50" i="40" s="1"/>
  <c r="G54" i="32" l="1"/>
  <c r="N25" i="20"/>
  <c r="I27" i="20"/>
  <c r="G27" i="20"/>
  <c r="E27" i="20"/>
  <c r="B16" i="38"/>
  <c r="K14" i="38"/>
  <c r="B5" i="38"/>
  <c r="B3" i="38"/>
  <c r="B2" i="38"/>
  <c r="C37" i="40"/>
  <c r="B56" i="37"/>
  <c r="E40" i="37"/>
  <c r="G19" i="37"/>
  <c r="G8" i="37"/>
  <c r="B5" i="37"/>
  <c r="B3" i="37"/>
  <c r="B2" i="37"/>
  <c r="E41" i="37" l="1"/>
  <c r="C36" i="40"/>
  <c r="C38" i="40" s="1"/>
  <c r="K13" i="38"/>
  <c r="G21" i="37"/>
  <c r="G43" i="37" s="1"/>
  <c r="G50" i="37" s="1"/>
  <c r="G54" i="37" s="1"/>
  <c r="M13" i="38"/>
  <c r="E43" i="37" l="1"/>
  <c r="H45" i="1"/>
  <c r="E50" i="37" l="1"/>
  <c r="E54" i="37" s="1"/>
  <c r="E57" i="37" s="1"/>
  <c r="I9" i="38"/>
  <c r="I13" i="38" s="1"/>
  <c r="G44" i="32"/>
  <c r="C7" i="40" l="1"/>
  <c r="G9" i="38"/>
  <c r="L16" i="20"/>
  <c r="L35" i="20" l="1"/>
  <c r="L38" i="20" s="1"/>
  <c r="G14" i="38"/>
  <c r="G13" i="38"/>
  <c r="E54" i="32"/>
  <c r="N36" i="20"/>
  <c r="F35" i="20"/>
  <c r="J31" i="20" l="1"/>
  <c r="J38" i="20" s="1"/>
  <c r="N31" i="20" l="1"/>
  <c r="F7" i="19" l="1"/>
  <c r="F5" i="19"/>
  <c r="B59" i="32" l="1"/>
  <c r="G51" i="32"/>
  <c r="G37" i="32"/>
  <c r="G27" i="32"/>
  <c r="G16" i="32"/>
  <c r="G12" i="32"/>
  <c r="B5" i="32"/>
  <c r="B3" i="32"/>
  <c r="B2" i="32"/>
  <c r="G18" i="32" l="1"/>
  <c r="G22" i="32" s="1"/>
  <c r="G30" i="32" s="1"/>
  <c r="G20" i="19" l="1"/>
  <c r="F28" i="19"/>
  <c r="F34" i="19"/>
  <c r="N15" i="20"/>
  <c r="N13" i="20"/>
  <c r="G34" i="19" l="1"/>
  <c r="C34" i="19"/>
  <c r="C31" i="40" s="1"/>
  <c r="C8" i="30" l="1"/>
  <c r="D10" i="30" l="1"/>
  <c r="F10" i="30"/>
  <c r="E8" i="30"/>
  <c r="E10" i="30" s="1"/>
  <c r="G7" i="30"/>
  <c r="G6" i="30"/>
  <c r="G8" i="30" l="1"/>
  <c r="G10" i="30" s="1"/>
  <c r="C10" i="30"/>
  <c r="H111" i="24" l="1"/>
  <c r="G111" i="24"/>
  <c r="L100" i="24"/>
  <c r="M100" i="24" s="1"/>
  <c r="L101" i="24"/>
  <c r="M101" i="24" s="1"/>
  <c r="L102" i="24"/>
  <c r="M102" i="24" s="1"/>
  <c r="L103" i="24"/>
  <c r="M103" i="24" s="1"/>
  <c r="L104" i="24"/>
  <c r="M104" i="24" s="1"/>
  <c r="L105" i="24"/>
  <c r="M105" i="24" s="1"/>
  <c r="L106" i="24"/>
  <c r="M106" i="24" s="1"/>
  <c r="L107" i="24"/>
  <c r="M107" i="24" s="1"/>
  <c r="L108" i="24"/>
  <c r="M108" i="24" s="1"/>
  <c r="L109" i="24"/>
  <c r="M109" i="24" s="1"/>
  <c r="L110" i="24"/>
  <c r="M110" i="24" s="1"/>
  <c r="L99" i="24"/>
  <c r="M99" i="24" s="1"/>
  <c r="H81" i="24"/>
  <c r="G81" i="24"/>
  <c r="M69" i="24"/>
  <c r="M73" i="24"/>
  <c r="M77" i="24"/>
  <c r="M66" i="24"/>
  <c r="L67" i="24"/>
  <c r="M67" i="24" s="1"/>
  <c r="L68" i="24"/>
  <c r="M68" i="24" s="1"/>
  <c r="L69" i="24"/>
  <c r="L70" i="24"/>
  <c r="M70" i="24" s="1"/>
  <c r="L71" i="24"/>
  <c r="M71" i="24" s="1"/>
  <c r="L72" i="24"/>
  <c r="M72" i="24" s="1"/>
  <c r="L73" i="24"/>
  <c r="L74" i="24"/>
  <c r="M74" i="24" s="1"/>
  <c r="L75" i="24"/>
  <c r="M75" i="24" s="1"/>
  <c r="L76" i="24"/>
  <c r="M76" i="24" s="1"/>
  <c r="L77" i="24"/>
  <c r="L78" i="24"/>
  <c r="M78" i="24" s="1"/>
  <c r="L79" i="24"/>
  <c r="M79" i="24" s="1"/>
  <c r="L80" i="24"/>
  <c r="M80" i="24" s="1"/>
  <c r="L66" i="24"/>
  <c r="H63" i="24"/>
  <c r="L51" i="24"/>
  <c r="M51" i="24" s="1"/>
  <c r="L52" i="24"/>
  <c r="M52" i="24" s="1"/>
  <c r="L53" i="24"/>
  <c r="M53" i="24" s="1"/>
  <c r="L54" i="24"/>
  <c r="M54" i="24" s="1"/>
  <c r="L55" i="24"/>
  <c r="M55" i="24" s="1"/>
  <c r="L56" i="24"/>
  <c r="M56" i="24" s="1"/>
  <c r="L57" i="24"/>
  <c r="M57" i="24" s="1"/>
  <c r="L58" i="24"/>
  <c r="M58" i="24" s="1"/>
  <c r="L59" i="24"/>
  <c r="M59" i="24" s="1"/>
  <c r="L60" i="24"/>
  <c r="M60" i="24" s="1"/>
  <c r="L61" i="24"/>
  <c r="M61" i="24" s="1"/>
  <c r="L62" i="24"/>
  <c r="M62" i="24" s="1"/>
  <c r="L50" i="24"/>
  <c r="M50" i="24" s="1"/>
  <c r="K65" i="24"/>
  <c r="L65" i="24" s="1"/>
  <c r="K49" i="24"/>
  <c r="L49" i="24" s="1"/>
  <c r="K117" i="24"/>
  <c r="L117" i="24" s="1"/>
  <c r="K115" i="24"/>
  <c r="L115" i="24" s="1"/>
  <c r="K116" i="24"/>
  <c r="L116" i="24" s="1"/>
  <c r="K114" i="24"/>
  <c r="L114" i="24" s="1"/>
  <c r="K87" i="24"/>
  <c r="L87" i="24" s="1"/>
  <c r="K88" i="24"/>
  <c r="L88" i="24" s="1"/>
  <c r="K89" i="24"/>
  <c r="L89" i="24" s="1"/>
  <c r="K90" i="24"/>
  <c r="L90" i="24" s="1"/>
  <c r="K91" i="24"/>
  <c r="L91" i="24" s="1"/>
  <c r="K92" i="24"/>
  <c r="L92" i="24" s="1"/>
  <c r="K93" i="24"/>
  <c r="L93" i="24" s="1"/>
  <c r="K94" i="24"/>
  <c r="L94" i="24" s="1"/>
  <c r="K95" i="24"/>
  <c r="L95" i="24" s="1"/>
  <c r="K86" i="24"/>
  <c r="L86" i="24" s="1"/>
  <c r="K85" i="24"/>
  <c r="L85" i="24" s="1"/>
  <c r="K84" i="24"/>
  <c r="L84" i="24" s="1"/>
  <c r="H118" i="24"/>
  <c r="K118" i="24" s="1"/>
  <c r="L118" i="24" s="1"/>
  <c r="G118" i="24"/>
  <c r="G96" i="24"/>
  <c r="H96" i="24" l="1"/>
  <c r="H13" i="1" l="1"/>
  <c r="F37" i="1"/>
  <c r="F41" i="1"/>
  <c r="F24" i="1"/>
  <c r="F15" i="1"/>
  <c r="H19" i="19"/>
  <c r="H16" i="19"/>
  <c r="D20" i="19"/>
  <c r="E20" i="19"/>
  <c r="C20" i="19" l="1"/>
  <c r="C32" i="40" s="1"/>
  <c r="C33" i="40" s="1"/>
  <c r="F27" i="1"/>
  <c r="E7" i="19"/>
  <c r="L17" i="20"/>
  <c r="N17" i="20" s="1"/>
  <c r="D14" i="20"/>
  <c r="J14" i="20" l="1"/>
  <c r="N14" i="20" s="1"/>
  <c r="F48" i="1"/>
  <c r="F51" i="1" s="1"/>
  <c r="F55" i="1" s="1"/>
  <c r="H19" i="1" l="1"/>
  <c r="D21" i="1"/>
  <c r="C18" i="40" s="1"/>
  <c r="C19" i="40"/>
  <c r="H22" i="1"/>
  <c r="E6" i="19"/>
  <c r="H23" i="1"/>
  <c r="H35" i="1"/>
  <c r="H40" i="1"/>
  <c r="J42" i="20"/>
  <c r="H20" i="1" l="1"/>
  <c r="H11" i="1"/>
  <c r="C8" i="19"/>
  <c r="E4" i="19"/>
  <c r="D8" i="19"/>
  <c r="E27" i="19"/>
  <c r="E5" i="19"/>
  <c r="H31" i="1"/>
  <c r="C23" i="40"/>
  <c r="H21" i="1"/>
  <c r="H36" i="1"/>
  <c r="H46" i="1"/>
  <c r="H44" i="1"/>
  <c r="H34" i="1"/>
  <c r="H10" i="1"/>
  <c r="E51" i="32"/>
  <c r="E16" i="32"/>
  <c r="C17" i="40"/>
  <c r="L42" i="20"/>
  <c r="E8" i="19" l="1"/>
  <c r="H12" i="1"/>
  <c r="H33" i="1"/>
  <c r="C25" i="40"/>
  <c r="H32" i="1"/>
  <c r="C24" i="40"/>
  <c r="H47" i="1"/>
  <c r="D48" i="1"/>
  <c r="H99" i="26"/>
  <c r="G99" i="26"/>
  <c r="I99" i="26" s="1"/>
  <c r="K99" i="26" s="1"/>
  <c r="H94" i="26"/>
  <c r="G94" i="26"/>
  <c r="I94" i="26" s="1"/>
  <c r="K94" i="26" s="1"/>
  <c r="I206" i="25"/>
  <c r="H206" i="25"/>
  <c r="J206" i="25" s="1"/>
  <c r="L206" i="25" s="1"/>
  <c r="L208" i="25" s="1"/>
  <c r="I201" i="25"/>
  <c r="H201" i="25"/>
  <c r="J201" i="25" s="1"/>
  <c r="L201" i="25" s="1"/>
  <c r="K132" i="24"/>
  <c r="H129" i="24"/>
  <c r="G129" i="24"/>
  <c r="H124" i="24"/>
  <c r="G124" i="24"/>
  <c r="I124" i="24" l="1"/>
  <c r="K124" i="24" s="1"/>
  <c r="H55" i="1"/>
  <c r="I129" i="24"/>
  <c r="K129" i="24" s="1"/>
  <c r="K131" i="24" s="1"/>
  <c r="K133" i="24" s="1"/>
  <c r="K101" i="26"/>
  <c r="E30" i="20" l="1"/>
  <c r="G30" i="20"/>
  <c r="G38" i="20" s="1"/>
  <c r="I30" i="20"/>
  <c r="I38" i="20" s="1"/>
  <c r="D19" i="20"/>
  <c r="J19" i="20"/>
  <c r="J27" i="20" s="1"/>
  <c r="D27" i="20" l="1"/>
  <c r="D30" i="20" s="1"/>
  <c r="D38" i="20" s="1"/>
  <c r="E38" i="20"/>
  <c r="E12" i="32" l="1"/>
  <c r="E18" i="32" s="1"/>
  <c r="D42" i="20" l="1"/>
  <c r="F28" i="22"/>
  <c r="F16" i="22" l="1"/>
  <c r="F24" i="22" l="1"/>
  <c r="F30" i="22" s="1"/>
  <c r="D24" i="22" l="1"/>
  <c r="D28" i="22" l="1"/>
  <c r="D30" i="22" s="1"/>
  <c r="D16" i="22" l="1"/>
  <c r="D37" i="1" l="1"/>
  <c r="B40" i="20" l="1"/>
  <c r="B34" i="19" l="1"/>
  <c r="C28" i="19"/>
  <c r="F19" i="20" l="1"/>
  <c r="H19" i="20"/>
  <c r="N12" i="20"/>
  <c r="H30" i="20" l="1"/>
  <c r="H27" i="20"/>
  <c r="D24" i="1"/>
  <c r="E28" i="19"/>
  <c r="D28" i="19"/>
  <c r="E34" i="19"/>
  <c r="C10" i="40" s="1"/>
  <c r="E20" i="32" s="1"/>
  <c r="E22" i="32" l="1"/>
  <c r="E30" i="32" s="1"/>
  <c r="C28" i="40"/>
  <c r="C40" i="40" s="1"/>
  <c r="C49" i="40" s="1"/>
  <c r="H38" i="20"/>
  <c r="D27" i="1"/>
  <c r="B8" i="20"/>
  <c r="B6" i="20"/>
  <c r="B5" i="20"/>
  <c r="F24" i="20"/>
  <c r="N24" i="20" l="1"/>
  <c r="F27" i="20"/>
  <c r="F30" i="20"/>
  <c r="N30" i="20" s="1"/>
  <c r="O30" i="20" s="1"/>
  <c r="F38" i="20" l="1"/>
  <c r="D34" i="19"/>
  <c r="N38" i="20" l="1"/>
  <c r="N42" i="20" s="1"/>
  <c r="D41" i="1"/>
  <c r="D51" i="1" s="1"/>
  <c r="D55" i="1" s="1"/>
  <c r="D6" i="22" l="1"/>
  <c r="D18" i="22" s="1"/>
  <c r="E55" i="32" l="1"/>
  <c r="E57" i="32" s="1"/>
  <c r="E62" i="32" s="1"/>
  <c r="N35" i="20"/>
  <c r="F6" i="22"/>
  <c r="F18" i="22" s="1"/>
  <c r="B65" i="32" l="1"/>
  <c r="G55" i="32"/>
  <c r="G57" i="32" l="1"/>
  <c r="G62" i="32" s="1"/>
  <c r="N16" i="20"/>
  <c r="B20" i="19" l="1"/>
  <c r="F8" i="19"/>
  <c r="H20" i="19"/>
</calcChain>
</file>

<file path=xl/sharedStrings.xml><?xml version="1.0" encoding="utf-8"?>
<sst xmlns="http://schemas.openxmlformats.org/spreadsheetml/2006/main" count="5282" uniqueCount="1611">
  <si>
    <t>Empresa de Pesquisa Energética - EPE</t>
  </si>
  <si>
    <t>CNPJ 06.977.747/0001-80</t>
  </si>
  <si>
    <t>Balanço Patrimonial em</t>
  </si>
  <si>
    <t>ATIVO</t>
  </si>
  <si>
    <t>Circulante</t>
  </si>
  <si>
    <t xml:space="preserve">Caixa e Equivalentes </t>
  </si>
  <si>
    <t>Conta a Receber - Leilões ANEEL</t>
  </si>
  <si>
    <t xml:space="preserve">Tributos a Recuperar ou Compensáveis </t>
  </si>
  <si>
    <t xml:space="preserve">Adiantamentos Concedidos </t>
  </si>
  <si>
    <t xml:space="preserve">Outros Créditos </t>
  </si>
  <si>
    <t>Não Circulante</t>
  </si>
  <si>
    <t xml:space="preserve">Depósitos Judiciais </t>
  </si>
  <si>
    <t xml:space="preserve">Imobilizado </t>
  </si>
  <si>
    <t xml:space="preserve">Intangível </t>
  </si>
  <si>
    <t>TOTAL DO ATIVO</t>
  </si>
  <si>
    <t>PASSIVO E PATRIMÔNIO LÍQUIDO</t>
  </si>
  <si>
    <t xml:space="preserve">Fornecedores Nacionais </t>
  </si>
  <si>
    <t>Obrigações Fiscais</t>
  </si>
  <si>
    <t xml:space="preserve">Obrigações Trabalhistas e Sociais </t>
  </si>
  <si>
    <t>Provisões p/ Contingências</t>
  </si>
  <si>
    <t>Obrigações com a Cessão de Pessoal</t>
  </si>
  <si>
    <t xml:space="preserve">Previdência Privada Complementar </t>
  </si>
  <si>
    <t>Provisões para Contingências</t>
  </si>
  <si>
    <t>Patrimônio Liquido</t>
  </si>
  <si>
    <t xml:space="preserve">Reserva Legal </t>
  </si>
  <si>
    <t>Adiant para Futuro Aumento de Capital</t>
  </si>
  <si>
    <t>Resultado do Exercício</t>
  </si>
  <si>
    <t>TOTAL DO PASSIVO E PATRIMÔNIO LÍQUIDO</t>
  </si>
  <si>
    <t>Outras Receitas Operacionais</t>
  </si>
  <si>
    <t>RECEITA LÍQUIDA</t>
  </si>
  <si>
    <t>CUSTOS DOS SERVIÇOS PRESTADOS</t>
  </si>
  <si>
    <t>Remunerações</t>
  </si>
  <si>
    <t>Encargos Sociais</t>
  </si>
  <si>
    <t>Benefícios</t>
  </si>
  <si>
    <t>Materiais</t>
  </si>
  <si>
    <t>Serviços de Terceiros</t>
  </si>
  <si>
    <t>Gerais de Funcionamento das Instalações</t>
  </si>
  <si>
    <t>Gerais da Administração</t>
  </si>
  <si>
    <t>Impostos, Taxas e Contribuições</t>
  </si>
  <si>
    <t>RESULTADO BRUTO</t>
  </si>
  <si>
    <t>DESPESAS OPERACIONAIS</t>
  </si>
  <si>
    <t>OUTRAS RECEITAS OPERACIONAIS</t>
  </si>
  <si>
    <t>Recursos Recebidos do Tesouro Nacional</t>
  </si>
  <si>
    <t>Recuperação de Despesas e Custos</t>
  </si>
  <si>
    <t>Receitas Financeiras</t>
  </si>
  <si>
    <t>Despesas Financeiras</t>
  </si>
  <si>
    <t>Despesa com Provisões de IRPJ e CSLL</t>
  </si>
  <si>
    <t>Demonstração da Mutação do Patrimônio Líquido em</t>
  </si>
  <si>
    <t>Capital Social</t>
  </si>
  <si>
    <t>Reserva  Legal</t>
  </si>
  <si>
    <t>Reserva Especial Proposto</t>
  </si>
  <si>
    <t>Adiantamento para Futuro Aumento de Capital</t>
  </si>
  <si>
    <t>Lucros (prejuízos) acumulados</t>
  </si>
  <si>
    <t>Total</t>
  </si>
  <si>
    <t>RESULTADO ABRANGENTE TOTAL</t>
  </si>
  <si>
    <t xml:space="preserve">Demonstração do Valor Adicionado em </t>
  </si>
  <si>
    <t>Receitas</t>
  </si>
  <si>
    <t>Subsídios Públicos</t>
  </si>
  <si>
    <t>Outras Receitas</t>
  </si>
  <si>
    <t>Insumos</t>
  </si>
  <si>
    <t>Materiais, utilidades, serviços de terceiros e outros</t>
  </si>
  <si>
    <t>Valor Adicionado Bruto</t>
  </si>
  <si>
    <t>Depreciação e Amortização</t>
  </si>
  <si>
    <t>Valor Adicionado Líquido produzido</t>
  </si>
  <si>
    <t>Valor Adicionado recebido em transferência</t>
  </si>
  <si>
    <t>Reversão de Custos e Despesas</t>
  </si>
  <si>
    <t>Valor Adicionado Total a Distribuir</t>
  </si>
  <si>
    <t>Distribuição do valor adicionado</t>
  </si>
  <si>
    <t>Pessoal</t>
  </si>
  <si>
    <t>Remuneração Direta</t>
  </si>
  <si>
    <t>FGTS</t>
  </si>
  <si>
    <t>Governos (Impostos, taxas e contribuições)</t>
  </si>
  <si>
    <t>Federais (inclui a contribuição previdenciária e sindical)</t>
  </si>
  <si>
    <t>Estaduais (inclui IPVA)</t>
  </si>
  <si>
    <t xml:space="preserve">Municipais </t>
  </si>
  <si>
    <t>Remuneração do capital de terceiros</t>
  </si>
  <si>
    <t>Alugueis</t>
  </si>
  <si>
    <t>Valor Adicionado Total Distribuido</t>
  </si>
  <si>
    <t>Demonstração dos Fluxos de Caixa</t>
  </si>
  <si>
    <t>Fluxo de caixa das atividades operacionais</t>
  </si>
  <si>
    <t>Fluxo de caixa das atividades de investimentos</t>
  </si>
  <si>
    <t>Fluxo de caixa das atividades de financiamento</t>
  </si>
  <si>
    <t>Recursos recebidos do Tesouro Nacional</t>
  </si>
  <si>
    <t>Adiant. p/ Futuro Aumento de Capital</t>
  </si>
  <si>
    <t>-</t>
  </si>
  <si>
    <t>Adiant. para Futuro Aumento de Capital</t>
  </si>
  <si>
    <t>Despesas Antecipadas</t>
  </si>
  <si>
    <t>Ajuste de Reclassificação - Recebimento de Subvenções</t>
  </si>
  <si>
    <t>Depreciação / Amortização</t>
  </si>
  <si>
    <t>Variação nos saldos de ativos e passivos</t>
  </si>
  <si>
    <t>Variação caixa e equivalentes de caixa</t>
  </si>
  <si>
    <t>No início do exercício</t>
  </si>
  <si>
    <t>Disponibilidades</t>
  </si>
  <si>
    <t>Bancos</t>
  </si>
  <si>
    <t>BB</t>
  </si>
  <si>
    <t>CO</t>
  </si>
  <si>
    <t>Receita Cota Orçamentária</t>
  </si>
  <si>
    <t>Créditos, Direitos e Bens</t>
  </si>
  <si>
    <t>COFINS a Recuperar</t>
  </si>
  <si>
    <t>Antecipação de IRRF - 0561</t>
  </si>
  <si>
    <t>IRRF a Compensar</t>
  </si>
  <si>
    <t>PIS a Restituir</t>
  </si>
  <si>
    <t>Adiantamentos a Empregados</t>
  </si>
  <si>
    <t>Adiantamento de Férias</t>
  </si>
  <si>
    <t>Adiantamento de 13º Salário</t>
  </si>
  <si>
    <t>Empréstimo a funcionários</t>
  </si>
  <si>
    <t>Mensalidade AEPE</t>
  </si>
  <si>
    <t>Outros Créditos</t>
  </si>
  <si>
    <t>Créditos Diversos</t>
  </si>
  <si>
    <t>Assinaturas e Anuidades</t>
  </si>
  <si>
    <t>Provedores de Informações</t>
  </si>
  <si>
    <t>Manutenção de Software</t>
  </si>
  <si>
    <t>Ativo Não Circulante</t>
  </si>
  <si>
    <t>Realizavel a Longo Prazo</t>
  </si>
  <si>
    <t>IRPJ a Compensar</t>
  </si>
  <si>
    <t>ISS a Restituir</t>
  </si>
  <si>
    <t>CSLL a Compensar</t>
  </si>
  <si>
    <t>Títulos e Valores Mobiliários</t>
  </si>
  <si>
    <t>Ações - Preço de Aquisição</t>
  </si>
  <si>
    <t>Depósitos Judiciais - Cíveis</t>
  </si>
  <si>
    <t>Imobilizado</t>
  </si>
  <si>
    <t>Bens em Operação</t>
  </si>
  <si>
    <t>Instalações</t>
  </si>
  <si>
    <t>Máquinas e Equipamentos</t>
  </si>
  <si>
    <t>Equipamentos de Informática</t>
  </si>
  <si>
    <t>Móveis e Utensílios</t>
  </si>
  <si>
    <t>(-) Instalações</t>
  </si>
  <si>
    <t>(-) Máquinas e Equipamentos</t>
  </si>
  <si>
    <t>(-) Equipamentos de Informática</t>
  </si>
  <si>
    <t>(-) Móveis e Utensílios</t>
  </si>
  <si>
    <t>Intangível</t>
  </si>
  <si>
    <t>Software</t>
  </si>
  <si>
    <t>( - ) Amortização</t>
  </si>
  <si>
    <t>( - ) Amortização Software</t>
  </si>
  <si>
    <t>Passivo</t>
  </si>
  <si>
    <t>Obrigações de Curto Prazo</t>
  </si>
  <si>
    <t>Fornecedores Nacionais</t>
  </si>
  <si>
    <t>FUNDACAO GETULIO VARGAS</t>
  </si>
  <si>
    <t>IMAGEM GEOSISTEMAS E COMERCIO</t>
  </si>
  <si>
    <t>ALGAR SERVICO E TELECOMUNICACOES</t>
  </si>
  <si>
    <t>CARTORIO 17 OFICIO</t>
  </si>
  <si>
    <t>TOTVS SA</t>
  </si>
  <si>
    <t>TICKET SERVICOS SA</t>
  </si>
  <si>
    <t>NCT INFORMATICA LTDA</t>
  </si>
  <si>
    <t>AOVS SISTEMA DE INFORMATICA</t>
  </si>
  <si>
    <t>GL ELETRO-ELETRONICOS LTDA</t>
  </si>
  <si>
    <t>IDEIAS TURISMO EIRELI</t>
  </si>
  <si>
    <t>COND. ED. MARQUES DOS REIS</t>
  </si>
  <si>
    <t>INSTITUTO FENACON</t>
  </si>
  <si>
    <t>AMM TECNOLOGIA E SERV. INF. LTDA</t>
  </si>
  <si>
    <t>ZILMA WAVGENCZAK ME.</t>
  </si>
  <si>
    <t>MGS CLEAN SOLUÇÕES E SERVIÇOS</t>
  </si>
  <si>
    <t>TIME MULTISSERVIÇOS LTDA</t>
  </si>
  <si>
    <t>INFORMA MARKETS LTDA</t>
  </si>
  <si>
    <t>RMA ENGENHARIA LTDA</t>
  </si>
  <si>
    <t>Fornecedores a Classificar</t>
  </si>
  <si>
    <t>PASEP a Recolher</t>
  </si>
  <si>
    <t>COFINS a Recolher</t>
  </si>
  <si>
    <t>Retenções Tributárias</t>
  </si>
  <si>
    <t>IRRF a Recolher de Empregados</t>
  </si>
  <si>
    <t>INSS</t>
  </si>
  <si>
    <t>INSS DE TERCEIROS</t>
  </si>
  <si>
    <t>ISS</t>
  </si>
  <si>
    <t>ISS de Terceiros</t>
  </si>
  <si>
    <t>Salários a Pagar</t>
  </si>
  <si>
    <t>13º Salário a Pagar</t>
  </si>
  <si>
    <t>Férias a Pagar</t>
  </si>
  <si>
    <t>INSS a Recolher</t>
  </si>
  <si>
    <t>FGTS a Recolher</t>
  </si>
  <si>
    <t>Contribuição Sindical a Pagar</t>
  </si>
  <si>
    <t>Pensão Alimentícia</t>
  </si>
  <si>
    <t>Previdência Privada Complementar</t>
  </si>
  <si>
    <t>INSS s/ 13º Salario a Pagar</t>
  </si>
  <si>
    <t>FGTS s/ 13º Salario a Pagar</t>
  </si>
  <si>
    <t>INSS s/ Férias a Pagar</t>
  </si>
  <si>
    <t>FGTS s/ Férias a Pagar</t>
  </si>
  <si>
    <t>Obrigações com o STJ</t>
  </si>
  <si>
    <t>Obrigações com a USP</t>
  </si>
  <si>
    <t>Fundação ELETROS</t>
  </si>
  <si>
    <t>Passivo Não Circulante</t>
  </si>
  <si>
    <t>Obrigações de Longo Prazo</t>
  </si>
  <si>
    <t>Provisão p/ Contingências Civeis</t>
  </si>
  <si>
    <t>PL</t>
  </si>
  <si>
    <t>Patrimônio Líquido</t>
  </si>
  <si>
    <t>Capital Subscrito</t>
  </si>
  <si>
    <t>Aj de av.patrimonial</t>
  </si>
  <si>
    <t>Aj. de av. patrimonial</t>
  </si>
  <si>
    <t>Aj.de av. patrimonial</t>
  </si>
  <si>
    <t>Lucros ou Prejuízos Acumulados</t>
  </si>
  <si>
    <t>Subsídios do Tesouro Nacional</t>
  </si>
  <si>
    <t>Rendas de Variações Monetárias</t>
  </si>
  <si>
    <t>Descontos Obtidos</t>
  </si>
  <si>
    <t>Reembolso de Custos e Despesas</t>
  </si>
  <si>
    <t>Reversão de Provisões</t>
  </si>
  <si>
    <t>Contingência Civis</t>
  </si>
  <si>
    <t>Recuperação de Despesa e Custo</t>
  </si>
  <si>
    <t>Custos e Despesas</t>
  </si>
  <si>
    <t>Custos</t>
  </si>
  <si>
    <t>Gastos com Pessoal - Serviços</t>
  </si>
  <si>
    <t>Salários</t>
  </si>
  <si>
    <t>Abono Pecuniário de Férias</t>
  </si>
  <si>
    <t>INSS s/ 13º Salário</t>
  </si>
  <si>
    <t>INSS s/ Férias</t>
  </si>
  <si>
    <t>FGTS s/ Férias</t>
  </si>
  <si>
    <t>FGTS s/ 13º Salário</t>
  </si>
  <si>
    <t>Auxílio Alimentação</t>
  </si>
  <si>
    <t>Auxílio Creche</t>
  </si>
  <si>
    <t>Vale Cultura</t>
  </si>
  <si>
    <t>Saúde Ocupacional</t>
  </si>
  <si>
    <t>Materiais Adm. e de Expediente</t>
  </si>
  <si>
    <t>Serviços de Consultoria</t>
  </si>
  <si>
    <t>Cessão ou Requisição de Pessoal</t>
  </si>
  <si>
    <t>Cursos, Seminários e Convenções</t>
  </si>
  <si>
    <t>Custos com Estagiarios</t>
  </si>
  <si>
    <t>Serviço Prestado PF</t>
  </si>
  <si>
    <t>Custos c/ Tributos - Serviços</t>
  </si>
  <si>
    <t>IPTU</t>
  </si>
  <si>
    <t>Taxas Estaduais</t>
  </si>
  <si>
    <t>Custos Gerais - Serviços</t>
  </si>
  <si>
    <t>Aluguéis</t>
  </si>
  <si>
    <t>Energia Elétrica</t>
  </si>
  <si>
    <t>Telecomunicações</t>
  </si>
  <si>
    <t>Correios e Malotes</t>
  </si>
  <si>
    <t>Serviço de Limpeza e Higiene</t>
  </si>
  <si>
    <t>Condomínios</t>
  </si>
  <si>
    <t>Custos Gerais da Administração</t>
  </si>
  <si>
    <t>Honorários da Diretoria</t>
  </si>
  <si>
    <t>Custos de Viagens - Outros</t>
  </si>
  <si>
    <t>Custo de Viagem ao Exterior</t>
  </si>
  <si>
    <t>Despesas</t>
  </si>
  <si>
    <t>Despesas com Pessoal</t>
  </si>
  <si>
    <t>Auxílio Moradia</t>
  </si>
  <si>
    <t>Despesas Com Materiais</t>
  </si>
  <si>
    <t>Despesas com Materiais Nacionais</t>
  </si>
  <si>
    <t>Desp.c/Serv. de Terceiros</t>
  </si>
  <si>
    <t>Serv. Tributários e Auditoria</t>
  </si>
  <si>
    <t>Despesas com Estagiarios</t>
  </si>
  <si>
    <t>Despesas com Jovem Aprendiz</t>
  </si>
  <si>
    <t>Desp.c/Tributos</t>
  </si>
  <si>
    <t>PIS s/ Outras Receitas</t>
  </si>
  <si>
    <t>COFINS s/ outras Receitas</t>
  </si>
  <si>
    <t>Despesas com Provisôes</t>
  </si>
  <si>
    <t>Imposto de Renda</t>
  </si>
  <si>
    <t>Provisão p/ IRPJ</t>
  </si>
  <si>
    <t>Provisão p/ CSLL</t>
  </si>
  <si>
    <t>Despesas Gerais</t>
  </si>
  <si>
    <t>Serviços Gerais</t>
  </si>
  <si>
    <t>Despesas Gerais da Administração</t>
  </si>
  <si>
    <t>Despesas de Viagens - Outros</t>
  </si>
  <si>
    <t>Despesas Legais e Judiciais</t>
  </si>
  <si>
    <t>DESPESAS NÃO DEDUTIVEIS</t>
  </si>
  <si>
    <t>Seguro de Responsabilidade Cívil</t>
  </si>
  <si>
    <t>Juros Pagos ou Incorridos</t>
  </si>
  <si>
    <t>Variações Monetárias</t>
  </si>
  <si>
    <t>Resultado do Período</t>
  </si>
  <si>
    <t>Lucro do Período</t>
  </si>
  <si>
    <t>Janeiro</t>
  </si>
  <si>
    <t>Prejuízo do Período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</si>
  <si>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</si>
  <si>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</si>
  <si>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</si>
  <si>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</si>
  <si>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</si>
  <si>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</si>
  <si>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</si>
  <si>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</si>
  <si>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Descrição</t>
  </si>
  <si>
    <t>Adições</t>
  </si>
  <si>
    <t>Taxa anual de depreciação</t>
  </si>
  <si>
    <t>Custo</t>
  </si>
  <si>
    <t>Depreciação</t>
  </si>
  <si>
    <t>Corrigido</t>
  </si>
  <si>
    <t>Acumulada</t>
  </si>
  <si>
    <t>Líquido</t>
  </si>
  <si>
    <t>Benfeitorias em Andamento</t>
  </si>
  <si>
    <t xml:space="preserve">              -</t>
  </si>
  <si>
    <t>Baixas</t>
  </si>
  <si>
    <t>Baixa de</t>
  </si>
  <si>
    <t>Equipamentos de informática</t>
  </si>
  <si>
    <t>Móveis e utensílios</t>
  </si>
  <si>
    <t>Taxa anual Amortização</t>
  </si>
  <si>
    <t>Amortização</t>
  </si>
  <si>
    <t>Depósitos Judiciais</t>
  </si>
  <si>
    <t>Reembolso de Custos e Despesas - Leilões ANEEL</t>
  </si>
  <si>
    <t xml:space="preserve">Despesas Antecipadas </t>
  </si>
  <si>
    <t>Transferência</t>
  </si>
  <si>
    <t>Juros e multas</t>
  </si>
  <si>
    <t>Variação caixa e equivalentes de caixa no final do exercício</t>
  </si>
  <si>
    <t>Caixa líquido consumido pelas atividades de investimentos</t>
  </si>
  <si>
    <t>Caixa líquido gerado pelas atividades financiamentos</t>
  </si>
  <si>
    <t>Aquisição de Intangível</t>
  </si>
  <si>
    <t>Aquisição de Imobilizado</t>
  </si>
  <si>
    <t>Adiantamentos concedidos</t>
  </si>
  <si>
    <t>Despesas antecipadas</t>
  </si>
  <si>
    <t>Depósitos judiciais</t>
  </si>
  <si>
    <t>Impostos a recuperar</t>
  </si>
  <si>
    <t>Outros ativos circulantes e não circulantes</t>
  </si>
  <si>
    <t>Fornecedores</t>
  </si>
  <si>
    <t>Obrigações tributárias</t>
  </si>
  <si>
    <t>Obrigações trabalhistas e sociais</t>
  </si>
  <si>
    <t>Outras obrigações</t>
  </si>
  <si>
    <t xml:space="preserve">Compensação de prejuízos </t>
  </si>
  <si>
    <t>Demonstração do Resultado em</t>
  </si>
  <si>
    <t>Demonstração do Resultado Abrangente em</t>
  </si>
  <si>
    <t>Notas</t>
  </si>
  <si>
    <t>Ativo</t>
  </si>
  <si>
    <t>Banco do Brasil conta única União</t>
  </si>
  <si>
    <t>1.1.1.02.0042</t>
  </si>
  <si>
    <t>Tributos a Recuperar ou Compensáveis</t>
  </si>
  <si>
    <t>1.1.2.03.0016</t>
  </si>
  <si>
    <t>IRPJ Estimativa</t>
  </si>
  <si>
    <t>1.1.2.03.0017</t>
  </si>
  <si>
    <t>CSLL Estimativa</t>
  </si>
  <si>
    <t>1.1.2.03.0021</t>
  </si>
  <si>
    <t>1.1.2.03.0025</t>
  </si>
  <si>
    <t>IRRF a Restituir</t>
  </si>
  <si>
    <t>1.1.2.03.0027</t>
  </si>
  <si>
    <t>CSLL a Restituir</t>
  </si>
  <si>
    <t>1.1.2.03.0999</t>
  </si>
  <si>
    <t>Outras Retenções de Tributos</t>
  </si>
  <si>
    <t>1.1.2.04.0024</t>
  </si>
  <si>
    <t>1.1.2.04.0025</t>
  </si>
  <si>
    <t>1.1.2.05</t>
  </si>
  <si>
    <t>1.1.2.05.0004</t>
  </si>
  <si>
    <t>Depósitos Judiciais - Previdenciários</t>
  </si>
  <si>
    <t>Depósitos Judiciais - Trabalhistas</t>
  </si>
  <si>
    <t>1.1.2.09</t>
  </si>
  <si>
    <t>1.1.2.09.0001</t>
  </si>
  <si>
    <t>1.1.2.99</t>
  </si>
  <si>
    <t>1.1.2.99.0005</t>
  </si>
  <si>
    <t>Ressarcimento de Cedidos</t>
  </si>
  <si>
    <t>1.1.2.99.0999</t>
  </si>
  <si>
    <t>Prêmio de Seguros Pagos Antecipadamente</t>
  </si>
  <si>
    <t>Iptu a Apropriar</t>
  </si>
  <si>
    <t>1.2.1.06</t>
  </si>
  <si>
    <t>1.2.1.07</t>
  </si>
  <si>
    <t>1.2.1.07.0001</t>
  </si>
  <si>
    <t>(-) Depreciação, Amortização e Exaustão</t>
  </si>
  <si>
    <t>LIGHT SERVICOS DE ELETRICIDADE S.A</t>
  </si>
  <si>
    <t>2.1.1.04.0002</t>
  </si>
  <si>
    <t>2.1.1.04.0003</t>
  </si>
  <si>
    <t>EMPRESA BRASILEIRA DE CORREIOS E TELEGRA</t>
  </si>
  <si>
    <t>2.1.1.04.0006</t>
  </si>
  <si>
    <t>2.1.1.04.0010</t>
  </si>
  <si>
    <t>33641663/0001-44</t>
  </si>
  <si>
    <t>2.1.1.04.0031</t>
  </si>
  <si>
    <t>09305983/0001-49</t>
  </si>
  <si>
    <t>PSR SOLUCOES E CONSULTORIA EM ENERGIA LT</t>
  </si>
  <si>
    <t>2.1.1.04.0041</t>
  </si>
  <si>
    <t>69034668/0001-56</t>
  </si>
  <si>
    <t>SODEXO PASS DO BRASIL SERVC. E COMERCIO</t>
  </si>
  <si>
    <t>2.1.1.04.0069</t>
  </si>
  <si>
    <t>67393181/0001-34</t>
  </si>
  <si>
    <t>61797924/0007-40</t>
  </si>
  <si>
    <t>HEWLETT PACKARD DO BRASIL LTDA</t>
  </si>
  <si>
    <t>07604035/0001-89</t>
  </si>
  <si>
    <t>RTA COMERCIO E SERVICO DE ASSISTENCIA</t>
  </si>
  <si>
    <t>71208516/0001-74</t>
  </si>
  <si>
    <t>2.1.1.04.0105</t>
  </si>
  <si>
    <t>2.1.1.04.0112</t>
  </si>
  <si>
    <t>27128875/0001-20</t>
  </si>
  <si>
    <t>2.1.1.04.0121</t>
  </si>
  <si>
    <t>2.1.1.04.0138</t>
  </si>
  <si>
    <t>IBP - INST. BRASILEIRO PET. GAS E BIOC.</t>
  </si>
  <si>
    <t>2.1.1.04.0148</t>
  </si>
  <si>
    <t>33402892/0002-97</t>
  </si>
  <si>
    <t>ASSOCIAÇÃO BRASILEIRA DE NORMAS TECNICAS</t>
  </si>
  <si>
    <t>2.1.1.04.0161</t>
  </si>
  <si>
    <t>COMITE NAC. BRASILEIRO PROD. TRANS. ENER</t>
  </si>
  <si>
    <t>2.1.1.04.0242</t>
  </si>
  <si>
    <t>26994285/0001-17</t>
  </si>
  <si>
    <t>TOPOCART TOPOGRAFIA ENG. E AEROL. LTDA</t>
  </si>
  <si>
    <t>2.1.1.04.0310</t>
  </si>
  <si>
    <t>53113791/0001-22</t>
  </si>
  <si>
    <t>2.1.1.04.0336</t>
  </si>
  <si>
    <t>42288886/0001-60</t>
  </si>
  <si>
    <t>CENTRO DE PESQ DE ENERGIA ELETRICA CEPEL</t>
  </si>
  <si>
    <t>2.1.1.04.0375</t>
  </si>
  <si>
    <t>08794730/0001-13</t>
  </si>
  <si>
    <t>RIOOFFSITE SERVICOS DE FITOTECA LTDA</t>
  </si>
  <si>
    <t>2.1.1.04.0455</t>
  </si>
  <si>
    <t>86781069/0001-15</t>
  </si>
  <si>
    <t>ZENITE INFORMACAO E CONSULTORIA S/A</t>
  </si>
  <si>
    <t>47866934/0001-74</t>
  </si>
  <si>
    <t>2.1.1.04.0537</t>
  </si>
  <si>
    <t>05344234/0001-70</t>
  </si>
  <si>
    <t>RJ LOCACAO DE VEICULOS E SERVICOS LTDA</t>
  </si>
  <si>
    <t>2.1.1.04.0541</t>
  </si>
  <si>
    <t>03619767/0002-61</t>
  </si>
  <si>
    <t>TORINO INFORMATICA LTDA</t>
  </si>
  <si>
    <t>2.1.1.04.0549</t>
  </si>
  <si>
    <t>86517729/0001-55</t>
  </si>
  <si>
    <t>VIENA EMPREENDIMENTOS LTDA</t>
  </si>
  <si>
    <t>PREVI - CAIXA DE PREVIDÊNCIA DOS FUNCION</t>
  </si>
  <si>
    <t>2.1.1.04.0648</t>
  </si>
  <si>
    <t>RIOPAR Participações S/A</t>
  </si>
  <si>
    <t>2.1.1.04.0652</t>
  </si>
  <si>
    <t>DECISION SERVIÇOS DE TECNOLOGIA DA INFOR</t>
  </si>
  <si>
    <t>2.1.1.04.0665</t>
  </si>
  <si>
    <t>2.1.1.04.0683</t>
  </si>
  <si>
    <t>COORDENAÇÃO GERAL DE RECURSOS LOGISTICOS</t>
  </si>
  <si>
    <t>2.1.1.04.0703</t>
  </si>
  <si>
    <t>WALM ENG. E TEC. AMBIENTAL LTDA</t>
  </si>
  <si>
    <t>2.1.1.04.0704</t>
  </si>
  <si>
    <t>BIOTA PROJETOS E CONSULTORIA AMBIENTAL</t>
  </si>
  <si>
    <t>2.1.1.04.0744</t>
  </si>
  <si>
    <t>WINDSOR ADM. DE HOTÉIS E SERVIÇOS</t>
  </si>
  <si>
    <t>IHS INFORMAÇÕES E INSIGHTS LTDA</t>
  </si>
  <si>
    <t>4E FOR ECONOMICS CONSULTORIA LTDA</t>
  </si>
  <si>
    <t>2.1.1.04.0777</t>
  </si>
  <si>
    <t>2.1.1.04.0781</t>
  </si>
  <si>
    <t>GARTNER DO BRASIL SERVIÇOS DE PESQUISA L</t>
  </si>
  <si>
    <t>2.1.1.04.0834</t>
  </si>
  <si>
    <t>2.1.1.04.0840</t>
  </si>
  <si>
    <t>IBGC - INST BRAS DE GOVERNANÇA CORP</t>
  </si>
  <si>
    <t>2.1.1.04.0842</t>
  </si>
  <si>
    <t>BERKAN AUDITORES INDEPENDENTES S.S</t>
  </si>
  <si>
    <t>2.1.1.04.0844</t>
  </si>
  <si>
    <t>MMP CURSOS CAP. E TREINAMENTO LTDA</t>
  </si>
  <si>
    <t>2.1.1.04.0857</t>
  </si>
  <si>
    <t>2.1.1.04.0875</t>
  </si>
  <si>
    <t>ESTATER TECNOLOGIA E SERVICOS LTDA</t>
  </si>
  <si>
    <t>AUTODATA SEMINARIOS E EDITORA LTDA</t>
  </si>
  <si>
    <t>2.1.1.04.0886</t>
  </si>
  <si>
    <t>TOTAL LIFE ASSISTENCIA A VIDA LTDA</t>
  </si>
  <si>
    <t>2.1.1.04.0895</t>
  </si>
  <si>
    <t>INSPER INST. DE ENSINO E PESQUISA</t>
  </si>
  <si>
    <t>2.1.1.04.0914</t>
  </si>
  <si>
    <t>WAYCARBON SOLUCOES AMBIENTAIS E PROJETOS DE CARBONO LT</t>
  </si>
  <si>
    <t>2.1.1.04.0930</t>
  </si>
  <si>
    <t>MOBIX ORGANIZACAO E PRODUCAO DE EVENTOS LTDA</t>
  </si>
  <si>
    <t>2.1.1.04.0932</t>
  </si>
  <si>
    <t>REFRIGERACAO IV CENTENARIO EIRELI</t>
  </si>
  <si>
    <t>2.1.1.04.0937</t>
  </si>
  <si>
    <t>MODULO SECURITY SOLUTIONS EM RECUPERACAO JUDICIAL</t>
  </si>
  <si>
    <t>AGENCIA DE INTEGRAÇÃO ESCOLA LTDA</t>
  </si>
  <si>
    <t>2.1.1.04.0943</t>
  </si>
  <si>
    <t>CLICKSIGN GESTAO DE DOCUMENTOS S/A</t>
  </si>
  <si>
    <t>2.1.1.04.0948</t>
  </si>
  <si>
    <t>CHESTNUT GLOBAL PARTNERS DO BRASIL LTDA</t>
  </si>
  <si>
    <t>HIGH SERVICOS DE COMPLIANCE LTDA</t>
  </si>
  <si>
    <t>2.1.1.04.0954</t>
  </si>
  <si>
    <t>T &amp; S LOCACAO DE MAO DE OBRA EM GERAL EIRELI</t>
  </si>
  <si>
    <t>IOS INFORMATICA, ORGANIZACAO E SISTEMAS LTDA</t>
  </si>
  <si>
    <t>2.1.1.04.0998</t>
  </si>
  <si>
    <t>2.1.1.06.0002</t>
  </si>
  <si>
    <t>2.1.1.07.0008</t>
  </si>
  <si>
    <t>Ret IN 539/05 - IR/CS/PIS/COFINS - 5,85%</t>
  </si>
  <si>
    <t>2.1.1.07.0009</t>
  </si>
  <si>
    <t>Ret IN 539/05 - IR/CS/PIS/COFINS - 9,45%</t>
  </si>
  <si>
    <t>2.1.1.07.0010</t>
  </si>
  <si>
    <t>Ret IN 539/05 - IR/CS/PIS/COFINS - 7,05%</t>
  </si>
  <si>
    <t>2.1.1.07.0015</t>
  </si>
  <si>
    <t>Obrigações Trabalhistas e Sociais</t>
  </si>
  <si>
    <t>2.1.1.08.0006</t>
  </si>
  <si>
    <t>2.1.1.08.0007</t>
  </si>
  <si>
    <t>2.1.1.08.0008</t>
  </si>
  <si>
    <t>Rescisões a Pagar</t>
  </si>
  <si>
    <t>Provisão p/ Contingências Trabalhistas</t>
  </si>
  <si>
    <t>Provisão p/ Contingências Fiscais</t>
  </si>
  <si>
    <t>Adiantamento p/Futuro Aumento de Capital</t>
  </si>
  <si>
    <t>2.4.3</t>
  </si>
  <si>
    <t>2.4.3.01</t>
  </si>
  <si>
    <t>2.4.3.01.0001</t>
  </si>
  <si>
    <t>(-) Prejuízos Acumulados</t>
  </si>
  <si>
    <t>(-) Prejuízo Acumulado</t>
  </si>
  <si>
    <t>Receitas Financ./ Prest. de Serviços</t>
  </si>
  <si>
    <t>3.3.1.01.0004</t>
  </si>
  <si>
    <t>3.3.2.01.0002</t>
  </si>
  <si>
    <t>Leilões ANEEL – Transmissão de Energia</t>
  </si>
  <si>
    <t>Reversão de Provisões - Contingência</t>
  </si>
  <si>
    <t>Contingência Fiscais</t>
  </si>
  <si>
    <t>Provisão de Férias e Encargos Sociais</t>
  </si>
  <si>
    <t>Provisão de 13º Salários e Enc. Sociais</t>
  </si>
  <si>
    <t>Salario Maternidade - Prorrogação</t>
  </si>
  <si>
    <t>4.1.1.01.0011</t>
  </si>
  <si>
    <t>Licença Paternidade Prorrogação</t>
  </si>
  <si>
    <t>4.1.1.03.0003</t>
  </si>
  <si>
    <t>Auxílio Transporte</t>
  </si>
  <si>
    <t>Assistência Médica e  Odontológica</t>
  </si>
  <si>
    <t>4.1.1.10</t>
  </si>
  <si>
    <t>Indenizações</t>
  </si>
  <si>
    <t>4.1.1.10.0001</t>
  </si>
  <si>
    <t>Indenizações Trabalhistas</t>
  </si>
  <si>
    <t>Custos c/ Serviços de Terceiros - Serv.</t>
  </si>
  <si>
    <t>Serviços de Apoio Técnico e/ou Administrativo</t>
  </si>
  <si>
    <t>Serviços de Processamentos de Dados</t>
  </si>
  <si>
    <t>Locação de Veículos</t>
  </si>
  <si>
    <t>Cessão Temporária e Manutenção de Softwa</t>
  </si>
  <si>
    <t>Provisões p/ Contingências Trabalhistas</t>
  </si>
  <si>
    <t>Provisões p/ Contingências Fiscais</t>
  </si>
  <si>
    <t>Custos de Funcionamento das Instalações</t>
  </si>
  <si>
    <t>Manutenção e Reparos</t>
  </si>
  <si>
    <t>4.1.6.01.0010</t>
  </si>
  <si>
    <t>Alugueis de Móveis, Máquinas e Equip.</t>
  </si>
  <si>
    <t>Honorários Conselhos de Adm. e Fiscal</t>
  </si>
  <si>
    <t>Custos de Viagens - Passagens Aéreas</t>
  </si>
  <si>
    <t>Assinatura Banco de Dados e Portais</t>
  </si>
  <si>
    <t>Provisão de 13º Salários e Encargos</t>
  </si>
  <si>
    <t>4.2.1.01.0010</t>
  </si>
  <si>
    <t>4.2.1.03.0003</t>
  </si>
  <si>
    <t>Serviços Manut. Equipamentos Informática</t>
  </si>
  <si>
    <t>4.2.3.01.0013</t>
  </si>
  <si>
    <t>Cessão Temporária e Manut. de Software</t>
  </si>
  <si>
    <t>Desp.c/Tributos-Imp.,Txs e Contribuições</t>
  </si>
  <si>
    <t>Contribuição Social s/ Lucro Líquido</t>
  </si>
  <si>
    <t>Despesas c/ Provisões - p/ Contingências</t>
  </si>
  <si>
    <t>Desp. Gerais Funcionamento Instalações</t>
  </si>
  <si>
    <t>4.2.6.01.0012</t>
  </si>
  <si>
    <t>Despesas de Viagens - Passagens Aéreas</t>
  </si>
  <si>
    <t>Despesas de Viagens - Hospedagens</t>
  </si>
  <si>
    <t>Assinaturas Banco de Dados e Portais</t>
  </si>
  <si>
    <t>Despesa de Viagem ao Exterior</t>
  </si>
  <si>
    <t>Honorários Comite de Auditoria</t>
  </si>
  <si>
    <t>Prov. Contingências Variações Monetárias</t>
  </si>
  <si>
    <t>Administradores</t>
  </si>
  <si>
    <t>5.1.1.04</t>
  </si>
  <si>
    <t>5.1.2.05</t>
  </si>
  <si>
    <t>5.1.2.08</t>
  </si>
  <si>
    <t>Obrigações judiciais</t>
  </si>
  <si>
    <t>Saldos em 31/12/2020</t>
  </si>
  <si>
    <t>Atualização/tributos a compensar/Depósitos Judiciais</t>
  </si>
  <si>
    <t>(em milhares de reais)</t>
  </si>
  <si>
    <t>1.1</t>
  </si>
  <si>
    <t>1.1.1</t>
  </si>
  <si>
    <t>1.1.1.02</t>
  </si>
  <si>
    <t>1.1.1.02.0040</t>
  </si>
  <si>
    <t>1.1.2</t>
  </si>
  <si>
    <t>1.1.2.03</t>
  </si>
  <si>
    <t>1.1.2.03.0009</t>
  </si>
  <si>
    <t>1.1.2.03.0023</t>
  </si>
  <si>
    <t>1.1.2.04</t>
  </si>
  <si>
    <t>1.1.2.04.0001</t>
  </si>
  <si>
    <t>1.1.2.04.0002</t>
  </si>
  <si>
    <t>1.1.3</t>
  </si>
  <si>
    <t>1.1.3.01</t>
  </si>
  <si>
    <t>1.1.3.01.0001</t>
  </si>
  <si>
    <t>1.1.3.01.0002</t>
  </si>
  <si>
    <t>1.1.3.01.0003</t>
  </si>
  <si>
    <t>1.1.3.01.0005</t>
  </si>
  <si>
    <t>1.1.3.01.0006</t>
  </si>
  <si>
    <t>1.2</t>
  </si>
  <si>
    <t>1.2.1</t>
  </si>
  <si>
    <t>1.2.1.03</t>
  </si>
  <si>
    <t>1.2.1.03.0001</t>
  </si>
  <si>
    <t>1.2.1.03.0004</t>
  </si>
  <si>
    <t>1.2.1.03.0005</t>
  </si>
  <si>
    <t>1.2.1.08</t>
  </si>
  <si>
    <t>1.2.1.08.0001</t>
  </si>
  <si>
    <t>1.2.1.08.0002</t>
  </si>
  <si>
    <t>1.2.1.08.0003</t>
  </si>
  <si>
    <t>1.2.3</t>
  </si>
  <si>
    <t>1.2.3.01</t>
  </si>
  <si>
    <t>1.2.3.01.0003</t>
  </si>
  <si>
    <t>1.2.3.01.0004</t>
  </si>
  <si>
    <t>1.2.3.01.0005</t>
  </si>
  <si>
    <t>1.2.3.01.0007</t>
  </si>
  <si>
    <t>1.2.3.98</t>
  </si>
  <si>
    <t>1.2.3.98.0002</t>
  </si>
  <si>
    <t>1.2.3.98.0003</t>
  </si>
  <si>
    <t>1.2.3.98.0004</t>
  </si>
  <si>
    <t>1.2.3.98.0006</t>
  </si>
  <si>
    <t>1.2.4</t>
  </si>
  <si>
    <t>1.2.4.01</t>
  </si>
  <si>
    <t>1.2.4.01.0001</t>
  </si>
  <si>
    <t>1.2.4.98</t>
  </si>
  <si>
    <t>1.2.4.98.0001</t>
  </si>
  <si>
    <t>2.1</t>
  </si>
  <si>
    <t>2.1.1</t>
  </si>
  <si>
    <t>2.1.1.04</t>
  </si>
  <si>
    <t>2.1.1.04.0001</t>
  </si>
  <si>
    <t>2.1.1.04.0011</t>
  </si>
  <si>
    <t>2.1.1.04.0076</t>
  </si>
  <si>
    <t>2.1.1.04.0081</t>
  </si>
  <si>
    <t>2.1.1.04.0103</t>
  </si>
  <si>
    <t>2.1.1.04.0289</t>
  </si>
  <si>
    <t>2.1.1.04.0471</t>
  </si>
  <si>
    <t>2.1.1.04.0568</t>
  </si>
  <si>
    <t>2.1.1.04.0591</t>
  </si>
  <si>
    <t>2.1.1.04.0751</t>
  </si>
  <si>
    <t>2.1.1.04.0761</t>
  </si>
  <si>
    <t>2.1.1.04.0811</t>
  </si>
  <si>
    <t>2.1.1.04.0881</t>
  </si>
  <si>
    <t>2.1.1.04.0892</t>
  </si>
  <si>
    <t>2.1.1.04.0901</t>
  </si>
  <si>
    <t>2.1.1.04.0906</t>
  </si>
  <si>
    <t>2.1.1.04.0907</t>
  </si>
  <si>
    <t>2.1.1.04.0926</t>
  </si>
  <si>
    <t>2.1.1.04.0942</t>
  </si>
  <si>
    <t>2.1.1.04.0952</t>
  </si>
  <si>
    <t>2.1.1.04.0957</t>
  </si>
  <si>
    <t>2.1.1.06</t>
  </si>
  <si>
    <t>2.1.1.06.0003</t>
  </si>
  <si>
    <t>2.1.1.07</t>
  </si>
  <si>
    <t>2.1.1.07.0001</t>
  </si>
  <si>
    <t>2.1.1.07.0003</t>
  </si>
  <si>
    <t>2.1.1.08</t>
  </si>
  <si>
    <t>2.1.1.08.0001</t>
  </si>
  <si>
    <t>2.1.1.08.0002</t>
  </si>
  <si>
    <t>2.1.1.08.0003</t>
  </si>
  <si>
    <t>2.1.1.08.0004</t>
  </si>
  <si>
    <t>2.1.1.08.0005</t>
  </si>
  <si>
    <t>2.1.1.08.0009</t>
  </si>
  <si>
    <t>2.1.1.08.0010</t>
  </si>
  <si>
    <t>2.1.1.08.0011</t>
  </si>
  <si>
    <t>2.1.1.08.0012</t>
  </si>
  <si>
    <t>2.1.1.08.0013</t>
  </si>
  <si>
    <t>2.1.1.11</t>
  </si>
  <si>
    <t>2.1.1.11.0001</t>
  </si>
  <si>
    <t>2.1.1.14</t>
  </si>
  <si>
    <t>2.1.1.14.0005</t>
  </si>
  <si>
    <t>2.1.1.14.0007</t>
  </si>
  <si>
    <t>2.1.1.15</t>
  </si>
  <si>
    <t>2.1.1.15.0001</t>
  </si>
  <si>
    <t>2.2</t>
  </si>
  <si>
    <t>2.2.1</t>
  </si>
  <si>
    <t>2.2.1.05</t>
  </si>
  <si>
    <t>2.2.1.05.0001</t>
  </si>
  <si>
    <t>2.2.1.05.0002</t>
  </si>
  <si>
    <t>2.2.1.05.0003</t>
  </si>
  <si>
    <t>2.4</t>
  </si>
  <si>
    <t>2.4.1</t>
  </si>
  <si>
    <t>2.4.1.01</t>
  </si>
  <si>
    <t>2.4.1.01.0001</t>
  </si>
  <si>
    <t>2.4.6</t>
  </si>
  <si>
    <t>2.4.6.02</t>
  </si>
  <si>
    <t>2.4.6.02.0002</t>
  </si>
  <si>
    <t>2.4.6.99</t>
  </si>
  <si>
    <t>2.4.6.99.0001</t>
  </si>
  <si>
    <t>2.4.7</t>
  </si>
  <si>
    <t>2.4.7.01</t>
  </si>
  <si>
    <t>2.4.7.01.0001</t>
  </si>
  <si>
    <t>3.1</t>
  </si>
  <si>
    <t>3.1.1</t>
  </si>
  <si>
    <t>3.1.1.01</t>
  </si>
  <si>
    <t>3.1.1.01.0001</t>
  </si>
  <si>
    <t>3.3</t>
  </si>
  <si>
    <t>3.3.1</t>
  </si>
  <si>
    <t>3.3.1.01</t>
  </si>
  <si>
    <t>3.3.1.01.0003</t>
  </si>
  <si>
    <t>3.3.2</t>
  </si>
  <si>
    <t>3.3.2.01</t>
  </si>
  <si>
    <t>3.3.2.01.0003</t>
  </si>
  <si>
    <t>3.3.6</t>
  </si>
  <si>
    <t>3.3.6.01</t>
  </si>
  <si>
    <t>4.1</t>
  </si>
  <si>
    <t>4.1.1</t>
  </si>
  <si>
    <t>4.1.1.01</t>
  </si>
  <si>
    <t>4.1.1.01.0001</t>
  </si>
  <si>
    <t>4.1.1.01.0007</t>
  </si>
  <si>
    <t>4.1.1.01.0008</t>
  </si>
  <si>
    <t>4.1.1.01.0009</t>
  </si>
  <si>
    <t>4.1.1.01.0013</t>
  </si>
  <si>
    <t>4.1.1.02</t>
  </si>
  <si>
    <t>4.1.1.02.0001</t>
  </si>
  <si>
    <t>4.1.1.02.0002</t>
  </si>
  <si>
    <t>4.1.1.02.0004</t>
  </si>
  <si>
    <t>4.1.1.02.0005</t>
  </si>
  <si>
    <t>4.1.1.02.0006</t>
  </si>
  <si>
    <t>4.1.1.02.0007</t>
  </si>
  <si>
    <t>4.1.1.03</t>
  </si>
  <si>
    <t>4.1.1.03.0001</t>
  </si>
  <si>
    <t>4.1.1.03.0002</t>
  </si>
  <si>
    <t>4.1.1.03.0005</t>
  </si>
  <si>
    <t>4.1.1.03.0006</t>
  </si>
  <si>
    <t>4.1.1.03.0010</t>
  </si>
  <si>
    <t>4.1.1.03.0011</t>
  </si>
  <si>
    <t>4.1.3</t>
  </si>
  <si>
    <t>4.1.3.01</t>
  </si>
  <si>
    <t>4.1.3.01.0001</t>
  </si>
  <si>
    <t>4.1.3.01.0002</t>
  </si>
  <si>
    <t>4.1.3.01.0005</t>
  </si>
  <si>
    <t>4.1.3.01.0014</t>
  </si>
  <si>
    <t>4.1.3.01.0017</t>
  </si>
  <si>
    <t>4.1.3.01.0997</t>
  </si>
  <si>
    <t>4.1.4</t>
  </si>
  <si>
    <t>4.1.4.01</t>
  </si>
  <si>
    <t>4.1.4.01.0002</t>
  </si>
  <si>
    <t>4.1.4.01.0008</t>
  </si>
  <si>
    <t>4.1.6</t>
  </si>
  <si>
    <t>4.1.6.01</t>
  </si>
  <si>
    <t>4.1.6.01.0001</t>
  </si>
  <si>
    <t>4.1.6.01.0004</t>
  </si>
  <si>
    <t>4.1.6.01.0006</t>
  </si>
  <si>
    <t>4.1.6.01.0012</t>
  </si>
  <si>
    <t>4.1.6.01.0014</t>
  </si>
  <si>
    <t>4.1.6.01.0015</t>
  </si>
  <si>
    <t>4.1.6.01.0016</t>
  </si>
  <si>
    <t>4.1.6.02</t>
  </si>
  <si>
    <t>4.1.6.02.0001</t>
  </si>
  <si>
    <t>4.1.6.02.0004</t>
  </si>
  <si>
    <t>4.1.6.02.0006</t>
  </si>
  <si>
    <t>4.1.6.02.0007</t>
  </si>
  <si>
    <t>4.1.6.02.0010</t>
  </si>
  <si>
    <t>4.2</t>
  </si>
  <si>
    <t>4.2.1</t>
  </si>
  <si>
    <t>4.2.1.01</t>
  </si>
  <si>
    <t>4.2.1.01.0001</t>
  </si>
  <si>
    <t>4.2.1.01.0007</t>
  </si>
  <si>
    <t>4.2.1.01.0008</t>
  </si>
  <si>
    <t>4.2.1.01.0009</t>
  </si>
  <si>
    <t>4.2.1.02</t>
  </si>
  <si>
    <t>4.2.1.02.0001</t>
  </si>
  <si>
    <t>4.2.1.02.0002</t>
  </si>
  <si>
    <t>4.2.1.02.0004</t>
  </si>
  <si>
    <t>4.2.1.02.0005</t>
  </si>
  <si>
    <t>4.2.1.02.0006</t>
  </si>
  <si>
    <t>4.2.1.02.0007</t>
  </si>
  <si>
    <t>4.2.1.03</t>
  </si>
  <si>
    <t>4.2.1.03.0001</t>
  </si>
  <si>
    <t>4.2.1.03.0002</t>
  </si>
  <si>
    <t>4.2.1.03.0004</t>
  </si>
  <si>
    <t>4.2.1.03.0005</t>
  </si>
  <si>
    <t>4.2.1.03.0006</t>
  </si>
  <si>
    <t>4.2.1.03.0010</t>
  </si>
  <si>
    <t>4.2.1.03.0011</t>
  </si>
  <si>
    <t>4.2.2</t>
  </si>
  <si>
    <t>4.2.2.01</t>
  </si>
  <si>
    <t>4.2.2.01.0001</t>
  </si>
  <si>
    <t>4.2.3</t>
  </si>
  <si>
    <t>4.2.3.01</t>
  </si>
  <si>
    <t>4.2.3.01.0001</t>
  </si>
  <si>
    <t>4.2.3.01.0002</t>
  </si>
  <si>
    <t>4.2.3.01.0003</t>
  </si>
  <si>
    <t>4.2.3.01.0005</t>
  </si>
  <si>
    <t>4.2.3.01.0006</t>
  </si>
  <si>
    <t>4.2.3.01.0007</t>
  </si>
  <si>
    <t>4.2.3.01.0008</t>
  </si>
  <si>
    <t>4.2.3.01.0014</t>
  </si>
  <si>
    <t>4.2.3.01.0017</t>
  </si>
  <si>
    <t>4.2.3.01.0019</t>
  </si>
  <si>
    <t>4.2.4</t>
  </si>
  <si>
    <t>4.2.4.01</t>
  </si>
  <si>
    <t>4.2.4.01.0002</t>
  </si>
  <si>
    <t>4.2.4.01.0005</t>
  </si>
  <si>
    <t>4.2.4.01.0006</t>
  </si>
  <si>
    <t>4.2.4.01.0012</t>
  </si>
  <si>
    <t>4.2.5</t>
  </si>
  <si>
    <t>4.2.5.01</t>
  </si>
  <si>
    <t>4.2.5.01.0001</t>
  </si>
  <si>
    <t>4.2.5.02</t>
  </si>
  <si>
    <t>4.2.5.02.0001</t>
  </si>
  <si>
    <t>4.2.5.04</t>
  </si>
  <si>
    <t>4.2.5.04.0001</t>
  </si>
  <si>
    <t>4.2.6</t>
  </si>
  <si>
    <t>4.2.6.01</t>
  </si>
  <si>
    <t>4.2.6.01.0001</t>
  </si>
  <si>
    <t>4.2.6.01.0003</t>
  </si>
  <si>
    <t>4.2.6.01.0004</t>
  </si>
  <si>
    <t>4.2.6.01.0006</t>
  </si>
  <si>
    <t>4.2.6.01.0007</t>
  </si>
  <si>
    <t>4.2.6.01.0011</t>
  </si>
  <si>
    <t>4.2.6.01.0014</t>
  </si>
  <si>
    <t>4.2.6.01.0016</t>
  </si>
  <si>
    <t>4.2.6.01.0017</t>
  </si>
  <si>
    <t>4.2.6.02</t>
  </si>
  <si>
    <t>4.2.6.02.0001</t>
  </si>
  <si>
    <t>4.2.6.02.0002</t>
  </si>
  <si>
    <t>4.2.6.02.0004</t>
  </si>
  <si>
    <t>4.2.6.02.0005</t>
  </si>
  <si>
    <t>4.2.6.02.0006</t>
  </si>
  <si>
    <t>4.2.6.02.0007</t>
  </si>
  <si>
    <t>4.2.6.02.0009</t>
  </si>
  <si>
    <t>4.2.6.02.0010</t>
  </si>
  <si>
    <t>4.2.6.02.0013</t>
  </si>
  <si>
    <t>4.2.6.02.0014</t>
  </si>
  <si>
    <t>4.2.6.02.0015</t>
  </si>
  <si>
    <t>4.2.7</t>
  </si>
  <si>
    <t>4.2.7.01</t>
  </si>
  <si>
    <t>4.2.7.01.0020</t>
  </si>
  <si>
    <t>5.1</t>
  </si>
  <si>
    <t>5.1.1</t>
  </si>
  <si>
    <t>5.1.1.01</t>
  </si>
  <si>
    <t>5.1.1.02</t>
  </si>
  <si>
    <t>5.1.2</t>
  </si>
  <si>
    <t>5.1.2.03</t>
  </si>
  <si>
    <t xml:space="preserve">Atualizações </t>
  </si>
  <si>
    <t xml:space="preserve">Adições </t>
  </si>
  <si>
    <t>Custos e despesas por função</t>
  </si>
  <si>
    <t>Custos dos serviços prestados</t>
  </si>
  <si>
    <t>Despesas operacionais</t>
  </si>
  <si>
    <t>Custos e despesas por natureza</t>
  </si>
  <si>
    <t>Pessoal (i)</t>
  </si>
  <si>
    <t>Serviços de Terceiros (ii)</t>
  </si>
  <si>
    <t>Gerais de Funcionamento das instalações (iii)</t>
  </si>
  <si>
    <t>Gerais da Administração (iv)</t>
  </si>
  <si>
    <t xml:space="preserve">Impostos, Taxas e Contribuições </t>
  </si>
  <si>
    <t>Provisão para contingências</t>
  </si>
  <si>
    <t xml:space="preserve">Materiais </t>
  </si>
  <si>
    <t>20.</t>
  </si>
  <si>
    <t>21.</t>
  </si>
  <si>
    <t>Receita Financeira (i)</t>
  </si>
  <si>
    <t xml:space="preserve"> Rendas de Variações Monetárias </t>
  </si>
  <si>
    <t xml:space="preserve">Total </t>
  </si>
  <si>
    <t>Despesas financeiras (ii)</t>
  </si>
  <si>
    <t xml:space="preserve"> Variações monetárias</t>
  </si>
  <si>
    <t>Resultado financeiro líquido</t>
  </si>
  <si>
    <t>1.1.2.03.0032</t>
  </si>
  <si>
    <t>IRPJ Saldo negativo 2021</t>
  </si>
  <si>
    <t>1.1.2.03.0033</t>
  </si>
  <si>
    <t>CSLL Saldo negativo 2021</t>
  </si>
  <si>
    <t>1.1.2.03.0034</t>
  </si>
  <si>
    <t>COSIRF a restituir</t>
  </si>
  <si>
    <t>2.1.1.04.0972</t>
  </si>
  <si>
    <t>CONSELHO REGIONAL DE ENGENHARIA E AGRONOMIA DO RIO DE JANEIRO</t>
  </si>
  <si>
    <t>2.1.1.04.0983</t>
  </si>
  <si>
    <t>PLM - AUDITORIA E CONSULTORIA LTDA</t>
  </si>
  <si>
    <t>2.2.1.05.0004</t>
  </si>
  <si>
    <t>Provisões p/ Contingências Processo Administrativo</t>
  </si>
  <si>
    <t>GESTAO QUANTUM CENTRO DE PROCESSAMENTO CONTABIL</t>
  </si>
  <si>
    <t>Ajustes retrospectivos</t>
  </si>
  <si>
    <t>Débitos</t>
  </si>
  <si>
    <t>Créditos</t>
  </si>
  <si>
    <t>Saldo Atual</t>
  </si>
  <si>
    <t>2.1.1.04.0967</t>
  </si>
  <si>
    <t>01707536/000104</t>
  </si>
  <si>
    <t>ISH TECNOLOGIA S/A</t>
  </si>
  <si>
    <t>2.1.1.04.0973</t>
  </si>
  <si>
    <t>FS TECNOLOGIA TREINAMENTO EM DESENVOLVIMENTO</t>
  </si>
  <si>
    <t>2.1.1.04.0986</t>
  </si>
  <si>
    <t>EXACTTUS CONSULTORIA ATUARIAL LTDA</t>
  </si>
  <si>
    <t>2.1.1.04.0987</t>
  </si>
  <si>
    <t>INFRA JORNALISMO LTDA</t>
  </si>
  <si>
    <t>2.1.1.04.0996</t>
  </si>
  <si>
    <t>VICMA COMERCIO DE EQUIPAMENTOS PARA ESCRITORIO LTDA</t>
  </si>
  <si>
    <t>2.1.1.04.1001</t>
  </si>
  <si>
    <t>EXXPRESS BRINDES LTDA</t>
  </si>
  <si>
    <t>2.1.1.04.1002</t>
  </si>
  <si>
    <t>DATA CORPORE SERVIÇOS DE TELECOMUNICAÇÕES E INFORMATICA LTDA</t>
  </si>
  <si>
    <t>2.1.1.04.1010</t>
  </si>
  <si>
    <t>THAP BRINDES LTDA</t>
  </si>
  <si>
    <t>2.1.1.04.1011</t>
  </si>
  <si>
    <t>PRIMETECH INFORMATICA EIRELI</t>
  </si>
  <si>
    <t>Saldos em 31/12/2022</t>
  </si>
  <si>
    <t>EMPRESA DE PESQUISA ENERGETICA - EPE</t>
  </si>
  <si>
    <t>Razão Contábil Analítico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</si>
  <si>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</si>
  <si>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</si>
  <si>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</si>
  <si>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</si>
  <si>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</si>
  <si>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</si>
  <si>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</si>
  <si>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>06.977.747/0001-80</t>
  </si>
  <si>
    <t>01/01/2021 a 31/12/2021</t>
  </si>
  <si>
    <t>Conta:</t>
  </si>
  <si>
    <t>Sd. Ant.:</t>
  </si>
  <si>
    <t>Data</t>
  </si>
  <si>
    <t>Partida</t>
  </si>
  <si>
    <t>Complemento</t>
  </si>
  <si>
    <t>Doc.</t>
  </si>
  <si>
    <t>C.Custo</t>
  </si>
  <si>
    <t>Desc. C. Partida</t>
  </si>
  <si>
    <t>VALOR REFERENTE VARIAÇÃO MONETARIA RISCOS FISCAIS TRABALHISTA CONFORME PLANILHA CONJUR 1º TRIMESTRE/2021</t>
  </si>
  <si>
    <t>Prov. Contingências</t>
  </si>
  <si>
    <t>VALOR REFERENTE PROC. 0011113.21.2015.5.01.0244 TRANSF. PARA LONGO RPAZO CONF. PLANILHA CONJUR 1º. TRIMESTRE/2021</t>
  </si>
  <si>
    <t>Provisão p/ Contingê</t>
  </si>
  <si>
    <t>VALOR REFERENTE PROC. 0100803-91.2016.5.01.0061 TRANSF. PARA LONGO RPAZO CONF. PLANILHA CONJUR 1º. TRIMESTRE/2021</t>
  </si>
  <si>
    <t>VALOR REFERENTE  CORREÇÃO MONETARIA AÇÕESTRABALHISTASL CONF. RELATORIO CONJUR 2ºTRIM-2021</t>
  </si>
  <si>
    <t>VALOR REFERENTE PROVISÃO PARA ATUALIIZAÇÃO MONETÁRIA - MÊS 07/2021.</t>
  </si>
  <si>
    <t>06_2021</t>
  </si>
  <si>
    <t>VALOR REFERENTE REVERSÃO DE ATUALIZAÇÃO MONETÁRIA PARA CONTINGÊNCIAS TRABALHISTAS.</t>
  </si>
  <si>
    <t>09_2021</t>
  </si>
  <si>
    <t>Reversão Variação Mo</t>
  </si>
  <si>
    <t>VALOR REFERENTE ATUALIAÇÃO MONETÁRIAS DAS PROVISÕES PARA CONTIGÊNCIAIS FISCAL 10/2021</t>
  </si>
  <si>
    <t>10_2021</t>
  </si>
  <si>
    <t>VALOR REFERENTE ATUALIZAÇÃO MONETÁRIA DAS PROVIÇÕES PARA CONTIGENCIAIS FISCAIS 11.2021</t>
  </si>
  <si>
    <t>11_2021</t>
  </si>
  <si>
    <t>VALOR REFERENTE REVERSAO DE PROVISAO DE CONTIGENCIAIS TRABALHISTA 04° TRIM</t>
  </si>
  <si>
    <t>12_2021</t>
  </si>
  <si>
    <t>Contingência Trabalh</t>
  </si>
  <si>
    <t>VALOR REFERENTE  CORREÇÃO MONETARIA AÇÕES TRABALHISTAS CONF. RELATORIO CONJUR 2ºTRIM-2021</t>
  </si>
  <si>
    <t>07_2021</t>
  </si>
  <si>
    <t>VALOR REFERENTE PROVISÃO PARA ATUALIIZAÇÃO MONETÁRIA - MÊS 08/2021.</t>
  </si>
  <si>
    <t>08_2021</t>
  </si>
  <si>
    <t>VALOR REFERENTE REVERSAO PARA CONTIGENCIAS TRABALHISTA 04° TRIM 2021</t>
  </si>
  <si>
    <t>VALOR REFERENTE REVERSÃO PROV. PROC. 5045000-02.2019.4.02.5101 -  PL DE 3 EMPREGADOS PETROBRAS SA</t>
  </si>
  <si>
    <t>VALOR REFERENTE VARIAÇÃO MONETARIA RISCOS FISCAIS CIVEIS CONFORME PLANILHA CONJUR 1º TRIMESTRE/2021</t>
  </si>
  <si>
    <t>VALOR REFERENTE TRANSFERENCIA PARA CURO PRAZO CONF. RELATORIO CONJUR 2ºTRIM-2021</t>
  </si>
  <si>
    <t>VALOR REFERENTE  CORREÇÃO MONETARIA AÇÕES CIVEL CONF. RELATORIO CONJUR 2ºTRIM-2021</t>
  </si>
  <si>
    <t>VALOR REFERENTE ATUALIZAÇÃO MONETÁRIA SOBRE PROVISÕES PARA CONTINGÊNCIAS.</t>
  </si>
  <si>
    <t>VALOR REFERENTE PROVISÃO PARA CONTIGENCIAS CIVIS 04° TRIM 2021</t>
  </si>
  <si>
    <t>VALOR REFERENTE VARIAÇÃO MONETARIA RISCOS FISCAIS TRIBUTARIOS CONFORME PLANILHA CONJUR 1º TRIMESTRE/2021</t>
  </si>
  <si>
    <t>VALOR REFERENTE  CORREÇÃO MONETARIA AÇÕES FISCAIS CONF. RELATORIO CONJUR 2ºTRIM-2021</t>
  </si>
  <si>
    <t>VALOR REFERENTE PROVISÃO PARA ATUALIIZAÇÃO MONETÁRIA - MÊS 08/2021</t>
  </si>
  <si>
    <t>VALOR REFERENTE ATUALIZAÇÃO MONETÁRIA DAS PROVISÕES PARA CONTINGÊNCIAS FISCAIS.</t>
  </si>
  <si>
    <t>VALOR REFERENTE PROVISÃO PARA CONTIGENCIAS FISCAIS 04° TRIM 2021</t>
  </si>
  <si>
    <t>01/01/2022 a 30/09/2022</t>
  </si>
  <si>
    <t>211111 Provisão p/ Contingências Trabalhistas</t>
  </si>
  <si>
    <t>VALOR REFERENTE PROVISÃO PARA CONTIGENCIAS TRABALHISTAS 01º TRIM 2022</t>
  </si>
  <si>
    <t>01_2022</t>
  </si>
  <si>
    <t>VALOR REFERENTE PROVISÃO PARA CONTIGENCIAS TRABALHISTAS 01º TRIM 2022.</t>
  </si>
  <si>
    <t>VALOR REFERENTE TRANSFÊRENCIAS DOS PROCESSOS 0100803-91.2016.5.01.0061 E 0011113-21.2015.5.01.0244, PARA CURTO PRAZO.</t>
  </si>
  <si>
    <t>03_2022</t>
  </si>
  <si>
    <t>VALOR REFERENTE PROVISÃO PARA CONTIGÊNCIAS - TRABALHISTAS - CURTO PRAZO.</t>
  </si>
  <si>
    <t>04_2022</t>
  </si>
  <si>
    <t>VALOR REFERENTE PROVISÃO PARA CONTIGÊNCIAS - TRABALHISTA - CURTO PRAZO.</t>
  </si>
  <si>
    <t>05_2022</t>
  </si>
  <si>
    <t>06_2022</t>
  </si>
  <si>
    <t>VALOR REFERENTE PROVISÃO PARA CONTINGÊNCIAS - CURTO PRAZO - TRABALHISTA.</t>
  </si>
  <si>
    <t>07_2022</t>
  </si>
  <si>
    <t>08_2022</t>
  </si>
  <si>
    <t>VALOR REFERENTE ATUALIZAÇÃO CONTIGÊNCIA TRABALHISTA DE ACORDO COM O RELATÓRIO DE RISCOS FISCAIS 09.2022</t>
  </si>
  <si>
    <t>09_2022</t>
  </si>
  <si>
    <t>22151 Provisão p/ Contingências Trabalhistas</t>
  </si>
  <si>
    <t>VALOR REFERENTE PROVISÃO PARA CONTIGÊNCIAS - TRABALHISTAS. LONGO PRAZO.</t>
  </si>
  <si>
    <t>VALOR REFERENTE PROCESSO TRABALHISTA Nº 0100431-2.2021.5.01.0060.</t>
  </si>
  <si>
    <t>Provisões p/ Conting</t>
  </si>
  <si>
    <t>VALOR REFERENTE PROVISÃO PARA CONTIGÊNCIAS - TRABALHISTAS - LONGO PRAZO.</t>
  </si>
  <si>
    <t>VALOR REFERENTE PROVISÃO PARA CONTIGÊNCIAS - TRABALHISTA - LONGO PRAZO.</t>
  </si>
  <si>
    <t>VALOR REFERENTE PROVISÃO PARA CONTINGÊNCIAS - LONGO PRAZO - TRABALHISTA.</t>
  </si>
  <si>
    <t>VALOR REFERENTE PROCESSO 0100646-78.2022.5.01.0071 TRABALHISTA DE NATUREZA PROVÁVEL DE ACORDO COM RELATÓRIO DA CONJUR 09/2022</t>
  </si>
  <si>
    <t>VALOR REFERENTE PROVISÃO PARA CONTIGENCIAS CIVEIS 01º TRIM 2022</t>
  </si>
  <si>
    <t>VALOR REFERENTE PROVISÃO PARA CONTIGENCIAS CIVEIS 01º TRIM 2022.</t>
  </si>
  <si>
    <t>VALOR REFERENTE REVERSÃO DE PROVISÃO PARA CONTIGÊNCIAS - CIVIS - PROCESSO Nº 0029575-77.2017.4.01.3400.</t>
  </si>
  <si>
    <t>VALOR REFERENTE PROVISÃO PARA CONTIGÊNCIAS - CIVIS - LONGO PRAZO.</t>
  </si>
  <si>
    <t>VALOR REFERENTE PROVISÃO PARA CONTIGÊNCIAS - CIVIL - LONGO PRAZO.</t>
  </si>
  <si>
    <t>VALOR REFERENTE ESTORNO DE PROVISÃO PARA CONTIGÊNCIAS - CIVIL - LONGO PRAZO.</t>
  </si>
  <si>
    <t>VALOR REFERENTE PROVISÃO PARA CONTINGÊNCIAS - 07/2022.</t>
  </si>
  <si>
    <t>VALOR REFERENTE PROVISÃO PARA CONTINGÊNCIAS - LONGO PRAZO - CIVIL.</t>
  </si>
  <si>
    <t>VALOR REFERENTE ATUALIZAÇÃO CONTIGÊNCIA CIVIS  DE ACORDO COM O RELATÓRIO DE RISCOS FISCAIS 09.2022</t>
  </si>
  <si>
    <t>VALOR REFERENTE PROVISÃO PARA CONTIGENCIAS FISCAIS 01º TRIM 2022</t>
  </si>
  <si>
    <t>VALOR REFERENTE PROVISÃO PARA CONTIGENCIAS TRIBUTÁRIAS 01º TRIM 2022.</t>
  </si>
  <si>
    <t>VALOR REFERENTE PROVISÃO PARA CONTIGÊNCIA TRIBUTÁRIA A LONGO PRAZO</t>
  </si>
  <si>
    <t>VALOR REFERENTE PROVISÃO PARA CONTIGÊNCIAS - TRIBUTARIA - LONGO PRAZO.</t>
  </si>
  <si>
    <t>VALOR REFERENTE PROVISÃO PARA CONTIGÊNCIAS - TRIBUTÁRIA - LONGO PRAZO.</t>
  </si>
  <si>
    <t>VALOR REFERENTE PROVISÃO PARA CONTINGÊNCIAS - LONGO PRAZO - TRIBUTÁRIA.</t>
  </si>
  <si>
    <t>VALOR REFERENTE PROCESSO 04/354.122/2019 NATUREZA TRIBUTARIA CONFORME RELATÓRIO DA CONJUR</t>
  </si>
  <si>
    <t>VALOR REFERENTE PROCESSO 2022301727 CREA/RJ FISCALIZAÇÃO DE ATIVIDADE PROFISSIONAL CLASSIFICADO COMO PROVÁVEL NO RELATÓRIO DA CONJUR</t>
  </si>
  <si>
    <t>débito</t>
  </si>
  <si>
    <t>Crédito</t>
  </si>
  <si>
    <t>Variação do pagto</t>
  </si>
  <si>
    <t>Variação do total BP</t>
  </si>
  <si>
    <t>VALOR REFERENTE ATUALIZAÇÃO MONETÁRIA 01/2021 - SELIC 0,149486%</t>
  </si>
  <si>
    <t>01_2021</t>
  </si>
  <si>
    <t>Rendas de Variações</t>
  </si>
  <si>
    <t>VALOR REFERENTE ATUALIZAÇÃO MONETÁRIA DE TRIBUTOS - 02/2021.</t>
  </si>
  <si>
    <t>02_2021</t>
  </si>
  <si>
    <t>VALOR REFERENTE ATUALIZAÇÃO MONETÁRIA MÊS 03/2021.</t>
  </si>
  <si>
    <t>03_2021</t>
  </si>
  <si>
    <t>VALOR REFERENTE ATUALIZAÇÃO MONETÁRIA DO MÊS 04/2021.</t>
  </si>
  <si>
    <t>04_2021</t>
  </si>
  <si>
    <t>VALOR REFERENTE ATUALIZAÇÃO MONETÁRIA 05/2021 - SELIC 0,257023%</t>
  </si>
  <si>
    <t>05_2021</t>
  </si>
  <si>
    <t>VALOR REFERENTE ATULAIZAÇÃO MONETÁRIA MÊS 06/2021.</t>
  </si>
  <si>
    <t>DOC GERADO PELO SCDP PROC ATUALIZAÇÃO MNETÁRIA - SELIC 0,355616%</t>
  </si>
  <si>
    <t>VALOR REFERENTE ATUALIZAÇÃO MONETÁRIA - 08/2021 - SELIC 0,407941%</t>
  </si>
  <si>
    <t>VALOR REFERENTE ATUALIZAÇÃO MONETÁRIA MÊS 09/201 - SELIC 0,418213 %</t>
  </si>
  <si>
    <t>VALOR REFERENTE ATUALIZAÇÃO MONETÁRIA MÊS 09/2021 - SELIC 0,49%</t>
  </si>
  <si>
    <t>VALOR REFERENTE ATUALIZAÇÃO MONETÁRIA MÊS 11/2021 - SELIC 0,59%</t>
  </si>
  <si>
    <t>VALOR REFERENTE ATUALIZAÇÃO MONETÁRIA MÊS 12/2021 - SELIC 0,77</t>
  </si>
  <si>
    <t>VALOR REFERENTE VALOR REFERENTE DARF IRRF - COD 0561 - PAGAMENTO DE FERIAS - DE 01.01 A 15.01.2021 - 68 FUNCIONARIOS.</t>
  </si>
  <si>
    <t>12_2020</t>
  </si>
  <si>
    <t>IRRF a Recolher de E</t>
  </si>
  <si>
    <t>VALOR REFERENTE PAGAMENTO DE FERIAS - DE 3 A 14 DE JANEIRO DE 2022 - 56 FUNCIONARIOS IRRF COD 0561.</t>
  </si>
  <si>
    <t>2021DF800521</t>
  </si>
  <si>
    <t>Receita Cota Orçamen</t>
  </si>
  <si>
    <t>VALOR REFERENTE PAGAMENTO DE FERIAS - ALEXANDRE CHIGANER - IRRF COD 0561.</t>
  </si>
  <si>
    <t>2021DF800551</t>
  </si>
  <si>
    <t>VALOR REFERENTE ATUALIZAÇÃO MONETÁRIA MÊS 04/2021.</t>
  </si>
  <si>
    <t>VALOR REFERENTE ATUALIZAÇÃO MNETÁRIA - SELIC 0,355616%</t>
  </si>
  <si>
    <t>VALOR REFERENTE ATUALIZAÇÃO MONETÁRIA MÊS 12/2021 - SELIC 0,77%</t>
  </si>
  <si>
    <t>VALOR REFERENTE TRANSF. UTILIZAÇÃO PREJ. FISCAL CONFORME APURAÇÃO JAN/2020</t>
  </si>
  <si>
    <t>IRPJ s/ Prejuízo Fis</t>
  </si>
  <si>
    <t>VALOR REFERENTE AJUSTE DE BASE NEGATIVA DE IRPJ.</t>
  </si>
  <si>
    <t>IRPJ s/ Base de Cálc</t>
  </si>
  <si>
    <t>VALOR REFERENTE tTRANSF. UTILIZAÇÃO PREJ. FISCAL CONFORME APURAÇÃO JAN/2020</t>
  </si>
  <si>
    <t>20_2021</t>
  </si>
  <si>
    <t>VALOR REFERENTE AJUSTE DA ATUALIZAÇÃO MONETÁRIA SOBRE TRIBUTOS NO PERÍDO DE 01/01/2019 A 31/01/2021.</t>
  </si>
  <si>
    <t>VALOR REFERENTE CORREÇÃO MONETARIA A MAIOR EXERCÍCIOS ANTERIORES</t>
  </si>
  <si>
    <t>DESPESAS NÃO DEDUTIV</t>
  </si>
  <si>
    <t>VALOR REFERENTE TRSNAFERENCIA ENTRE CONTAS PARA MEHOR CLASSIFICAÇÃO DE IRRF PARA IRPJ A COMPENSAR</t>
  </si>
  <si>
    <t>VALOR REFERENTE AJUSTE ATUALIZAÇÃO MONETÁRIA MÊS 03/2021.</t>
  </si>
  <si>
    <t>VALOR REFERENTE TRNSFERENCIA ENTRE CONTAS PARA MELHOR CLASSIFICAÇÃO</t>
  </si>
  <si>
    <t>VALOR REFERENTE ATUALIZAÇÃO MONETÁRIA MÊS 06/2021.</t>
  </si>
  <si>
    <t>VALOR REFERENTE ATUALIZAÇÃO MONETÁRIA MÊS 01/2022 - SELIC 0,73%</t>
  </si>
  <si>
    <t>VALOR REFERENTE ATUALIZAÇÃO MONETÁRIA DO MÊS 02.2022. - SELIC 0,76%</t>
  </si>
  <si>
    <t>02_2022</t>
  </si>
  <si>
    <t>VALOR REFERENTE ATUALIZAÇÃO MONETÁRIA MÊS 03/2022 - SELIC 0,93%</t>
  </si>
  <si>
    <t>VALOR REFERENTE ATUALIZAÇÃO MONETÁRIA MÊS 04/2022. - SELIC 0,83%</t>
  </si>
  <si>
    <t>VALOR REFERENTE ATUALIZAÇÃO MONETÁRIA MÊS 05/2022 - SELIC 1,03%</t>
  </si>
  <si>
    <t>VALOR REFERENTE ATUALIZAÇÃO MONETÁRIA MÊS 06/2022 - SELIC 1,02%</t>
  </si>
  <si>
    <t>VALOR REFERENTE ATUALIZAÇÃO MONETÁRIA MÊS 07/2022 - SELIC 1,03%</t>
  </si>
  <si>
    <t>VALOR REFERENTE ATUALIZAÇÃO MONETÁRIA MÊS 08/2022 - SELIC 1,17%</t>
  </si>
  <si>
    <t>VALOR REFERENTE ATUALIZAÇÃO SELIC</t>
  </si>
  <si>
    <t>VALOR REFERENTE IRPJ PAGO POR ESTIMATIVA 062022</t>
  </si>
  <si>
    <t>VALOR REFERENTE IRPJ PAGO POR ESTIMATIVA 07.2022.</t>
  </si>
  <si>
    <t>VALOR REFERENTE IRPJ PAGO POR ESTIMATIVA 08.2022</t>
  </si>
  <si>
    <t>VALOR REFERENTE PROVISÃO DE IRPJ 09/2022</t>
  </si>
  <si>
    <t>VALOR REFERENTE CSLL PAGO POR ESTIMATIVA 06/2022</t>
  </si>
  <si>
    <t>VALOR REFERENTE CSLL PAGO POR ESTIMATIVA 07.2022.</t>
  </si>
  <si>
    <t>VALOR REFERENTE CSLL PAGO POR ESTIMATIVA 08.2022</t>
  </si>
  <si>
    <t>VALOR REFERENTE CSLL PAGO POR ESTIMATIVA 09.2022</t>
  </si>
  <si>
    <t>VALOR REFERENTE BAIXA DE IRRF 0561 ANTECIPADO EM DEZ/2021</t>
  </si>
  <si>
    <t>VALOR REFERENTE PAGAMENTO DE FERIAS - DE  1 A 15 FEVEREIRO DE 2022 - 13 FUNCIONARIOS.  IRRF COD 0561.</t>
  </si>
  <si>
    <t>2022DF800048</t>
  </si>
  <si>
    <t>VALOR REFERENTE VALOR REFERENTE BAIXA DE IRRF 0561 ANTECIPADO EM JAN/2022.</t>
  </si>
  <si>
    <t>VALOR REFERENTE PAGAMENTO DE FERIAS - DE 1 A 15 DE JUNHO DE 2022 - 30 FUNCIONARIOS. IRRF COD 0561.</t>
  </si>
  <si>
    <t>2022DF800285</t>
  </si>
  <si>
    <t>VALOR REFERENTE VALOR REFERENTE PAGAMENTO DE FERIAS - DE 1 A 15 DE JUNHO DE 2022 - 30 FUNCIONARIOS. IRRF COD 0561.</t>
  </si>
  <si>
    <t>VALOR REFERENTE PAGAMENTO DE FERIAS - DE 01 A 12 DE AGOSTO DE 2022 - 18 FUNCIONARIOS. IRRF COD 0561</t>
  </si>
  <si>
    <t>2022DF800431</t>
  </si>
  <si>
    <t>VALOR REFERENTE RESTITUIÇÃO DE IRRF S/ FÉRIAS - GUILHERME MAZOLLI FIALHO.</t>
  </si>
  <si>
    <t>VALOR REFERENTE PAGAMENTO POR ESTIMATIVA 2021.</t>
  </si>
  <si>
    <t>(-) Prejuízo Acumula</t>
  </si>
  <si>
    <t>VALOR REFERENTE ATULIZAÇÃO SELIC 01.2022</t>
  </si>
  <si>
    <t>VALOR REFERENTE ATULIZAÇÃO SELIC 02.2022</t>
  </si>
  <si>
    <t>VALOR REFERENTE ATULIZAÇÃO SELIC 03.2022</t>
  </si>
  <si>
    <t>VALOR REFERENTE ATULIZAÇÃO SELIC 04.2022</t>
  </si>
  <si>
    <t>VALOR REFERENTE ATULIZAÇÃO SELIC 05.2022</t>
  </si>
  <si>
    <t>VALOR REFERENTE ATULIZAÇÃO SELIC 06.2022</t>
  </si>
  <si>
    <t>VALOR REFERENTE ATULIZAÇÃO SELIC 07.2022</t>
  </si>
  <si>
    <t>VALOR REFERENTE ATULIZAÇÃO SELIC 08.2022</t>
  </si>
  <si>
    <t>VALOR REFERENTE ATULIZAÇÃO SELIC 09.2022</t>
  </si>
  <si>
    <t>VALOR REFERENTE ATUALIZAÇÃO SELIC CSLL SALDO NEGATIVO 2021 01.2022</t>
  </si>
  <si>
    <t>VALOR REFERENTE ATUALIZAÇÃO SELIC CSLL SALDO NEGATIVO 2021 02.2022</t>
  </si>
  <si>
    <t>VALOR REFERENTE ATUALIZAÇÃO SELIC CSLL SALDO NEGATIVO 2021 03.2022</t>
  </si>
  <si>
    <t>VALOR REFERENTE ATUALIZAÇÃO SELIC CSLL SALDO NEGATIVO 2021 04.2022</t>
  </si>
  <si>
    <t>VALOR REFERENTE ATUALIZAÇÃO SELIC CSLL SALDO NEGATIVO 2021 05.2022</t>
  </si>
  <si>
    <t>VALOR REFERENTE ATUALIZAÇÃO SELIC CSLL SALDO NEGATIVO 2021 06.2022</t>
  </si>
  <si>
    <t>VALOR REFERENTE ATUALIZAÇÃO SELIC CSLL SALDO NEGATIVO 2021 07.2022</t>
  </si>
  <si>
    <t>VALOR REFERENTE ATUALIZAÇÃO SELIC CSLL SALDO NEGATIVO 2021 08.2022</t>
  </si>
  <si>
    <t>VALOR REFERENTE ATUALIZAÇÃO SELIC CSLL SALDO NEGATIVO 2021 09.2022</t>
  </si>
  <si>
    <t>VALOR REFERENTE INSCRICAO DE 01 (UM) EMPREGADO NO CURSO ¿GCN - CURSO DE GESTAO EM CONTINUIDADE DE NEGOCIOS: CONCEITOS E GERENCIAMENTO¿, A SER REALIZADO ENTRE OS DIAS 18/07/2022 A 25/07/2022, REF: JUL/2022, DOCUMENTO: 6549 IN 1234 COD 6190</t>
  </si>
  <si>
    <t>2022DF800444</t>
  </si>
  <si>
    <t>Banco do Brasil cont</t>
  </si>
  <si>
    <t>VALOR REFERENTE ATUALIZAÇÃO MONETÁRIA 09/2022</t>
  </si>
  <si>
    <t>VALOR REFERENTE IMPOSTO RETIDO INDEVIDAMENTE FATURA 111958 IDEIAS TURISMO</t>
  </si>
  <si>
    <t>1_2022</t>
  </si>
  <si>
    <t>Ret IN 539/05 - IR/C</t>
  </si>
  <si>
    <t>VALOR REFERENTE COMPENSAÇÃO DO IMPOSTO RETIDO INDEVIDAMENTE DA FATURA 111958 IDEIAS TURISMO</t>
  </si>
  <si>
    <t>VALOR REFERENTE RESTITUICAO A EMPRESA DE PESQUISA ENERGETICA - EPE, UG 325001, CONFORME DESPACHO DECISORIO N. 666/2021-EADC1/DRF-GOIANIA/GO PERD COMP 10166.729871/2012-11</t>
  </si>
  <si>
    <t>2022RA000101</t>
  </si>
  <si>
    <t>VALOR REFERENTE VLR REF. VARIAÇÃO MONENTÁRIA PERD COMP 10166.729871/2012-11</t>
  </si>
  <si>
    <t>VALOR REFERENTE ATUALIZAÇÃO MONETÁRIA MÊS 01/201 - 0,5%</t>
  </si>
  <si>
    <t>VALOR REFERENTE ATUALIZAÇÃO MONETÁRIA DE DEPÓSITOS JUDICIAIS - 02/2021</t>
  </si>
  <si>
    <t>VALOR REFERENTE CORREÇÃO MONETARIA PELO IPCA-E TRIMESTRAL A MAIOR ANOS ANTERIORES</t>
  </si>
  <si>
    <t>VALOR REFERENTE ATUALIZAÇÃO MONETÁRIA DE DEPÓSITOS JUDICIAIS - IPCA TRIMESTRAL 0,8530805%</t>
  </si>
  <si>
    <t>VALOR REFERENTE ATUALIZAÇÃO MONETÁRIA DE DEPÓSITOS JUDICIAS - UTILIZADO INDICE PRÉVIO.</t>
  </si>
  <si>
    <t>VALOR REFERENTE ATUALIZAÇÃO MONETÁRIA DE DEPÓSITOS JUDICIAS - INDICE IPCA</t>
  </si>
  <si>
    <t>VALOR REFERENTE ATUALIZAÇÃO MONETÁRIA DE DEPÓSITOS JUDICIAIS - INDICE IPCA-E</t>
  </si>
  <si>
    <t>VALOR REFERENTE ATULAIZAÇÃO MONETÁRIA MÊS 01/2021 - 0,5%</t>
  </si>
  <si>
    <t>VALOR REFERENTE ATUALIZAÇÃO MONETÁRIA DE DEPÓSITOS JUDICIAIS - 02/202</t>
  </si>
  <si>
    <t>VALOR REFERENTE CONCILIAÇÃO A MAIOR ANOS ANTERIORES</t>
  </si>
  <si>
    <t>VALOR REFERENTE ATUALIZAÇÃO MONETÁRIA 04/2021.</t>
  </si>
  <si>
    <t>VALOR REFERENTE ATUALIZAÇÃO MONETÁRIA DE DEPÓSITOS JUDICIAIS TRABALHISTAS - 05/2021.</t>
  </si>
  <si>
    <t>VALOR REFERENTE ATUALIZAÇÃO MONETÁRIA DE DEPÓSITOS JUDICIAIS.</t>
  </si>
  <si>
    <t>VALOR REFERENTE ATUALIZAÇÃO MONETÁRIA MÊS 07/2021.</t>
  </si>
  <si>
    <t>VALOR REFERENTE ATUALIZAÇÃO MONETÁRIA MÊS 08/2021.</t>
  </si>
  <si>
    <t>VALOR REFERENTE ATUALIZAÇÃO MONETÁRIA DE DEPÓSITOS JUDICIAS - INDICE POUPANÇA</t>
  </si>
  <si>
    <t>VALOR REFERENTE ATUALIZAÇÃO MONETÁRIA DE DEPÓSITOS JUDICIAIS - INDICE POUPANÇA.</t>
  </si>
  <si>
    <t>VALOR REFERENTE CORREÇÃO MONETARIA PELO IPCA-E MENSAL A MAIOR ANOS ANTERIORES</t>
  </si>
  <si>
    <t>VALOR REFERENTE AJUSTE DA ATUALIZAÇÃO MONETÁRIA PARA DEPÓSITOS JUDICIIAS</t>
  </si>
  <si>
    <t>VALOR REFERENTE ATUALIZAÇÃO MONETÁRIA SOBRE DEPÓSITOS JUDICIAIS .</t>
  </si>
  <si>
    <t>VALOR REFERENTE ATUALIZAÇÃO MONETÁRIA MÊS 08/2021</t>
  </si>
  <si>
    <t>VALOR REFERENTE ATUALIZAÇÃO MONETÁRIA DE DEPÓSITOS JUDICIAIS CIVEIS - IPCA</t>
  </si>
  <si>
    <t>VALOR REFERENTE ATUALIZAÇÃO MONETÁRIA DE DEPÓSITOS JUDICIAIS - INDICE IPCA</t>
  </si>
  <si>
    <t>VALOR REFERENTE ATUALIZAÇÃO MONETÁRIA DE DEPÓSITOS JUDICIAIS - INDICE IPCA NOV/2021</t>
  </si>
  <si>
    <t>VALOR REFERENTE ATUALIZAÇÃO MONETÁRIA DE DEPÓSITOS JUDICIAIS - INDICE IPCA-E 12/2021</t>
  </si>
  <si>
    <t>VALOR REFERENTE ATUALIZAÇÃO MONETÁRIA DE DEPÓSITOS JUDICIAIS - INDICE IPCA-E.</t>
  </si>
  <si>
    <t>VALOR REFERENTE PAGAMENTO DE DEPOSITO RECURSAL - PROCESSO TRABALHISTA Nº 0100723-64.2019.5.01.0048.</t>
  </si>
  <si>
    <t>2022OB8000100</t>
  </si>
  <si>
    <t>VALOR REFERENTE PAGAMENTO DE DEPOSITO RECURSAL - PROCESSO TRABALHISTA Nº 01004317220215010060. DOCUMENTO 81280000007288086.</t>
  </si>
  <si>
    <t>2022OB800201</t>
  </si>
  <si>
    <t>VALOR REFERENTE COMPLEMENTO DE ATUALIZAÇÃO MOMENTÁRIA EM PERIÓDOS ANTERIORES</t>
  </si>
  <si>
    <t>VALOR REFERENTE AJUSTE DEPÓSITOS JUDICIAIS TRABALHISTAS CONFORME RELATÓRIO DA CONJUR</t>
  </si>
  <si>
    <t>Recuperação de Despe</t>
  </si>
  <si>
    <t>VALOR REFERENTE BAIXA DO PROCESSO 11106-68.2014.5.01.0016 CONFORME RELATÓRIO DA CONJUR</t>
  </si>
  <si>
    <t>VALOR REFERENTE PAGAMENTO DE DEPOSITO RECURSAL - PROCESSO TRABALHISTA Nº 0100723-64.2019.5.01.0048. DOCUMENTO 81280000007674334.</t>
  </si>
  <si>
    <t>2022OB800763</t>
  </si>
  <si>
    <t>VALOR REFERENTE ATUALIZAÇÃO MONETÁRIA DE DEPÓSITOS JUDICIAIS - INDICE IPCA 01/2022</t>
  </si>
  <si>
    <t>VALOR REFERENTE ESTORNO ATUALIZAÇÃO MONETÁRIA DE DEPÓSITOS JUDICIAIS - INDICE IPCA.</t>
  </si>
  <si>
    <t>VALOR REFERENTE ATUALIZAÇÃO MONETÁRIA DE DEPÓSITOS JUDICIAIS - INDICE IPCA.</t>
  </si>
  <si>
    <t>VALOR REFERENTE COMPLEMENTO ATUALIZAÇÃO MONETÁRIA DE DEPÓSITOS JUDICIAIS - INDICE IPCA</t>
  </si>
  <si>
    <t>VALOR REFERENTE AJUSTE DE ATUALIZAÇÃO MONETÁRIA DE DEPÓSITOS JUDICIAIS - INDICE IPCA.</t>
  </si>
  <si>
    <t>VALOR REFERENTE ESTORNO DE ATUALIZAÇÃO MONETÁRIA DE DEPÓSITOS JUDICIAIS - INDICE IPCA.</t>
  </si>
  <si>
    <t>31.12.2022</t>
  </si>
  <si>
    <t>VALOR REFERENTE ATUALIZAÇÃO MONETÁRIA MÊS 10/2022 - SELIC 1,02%</t>
  </si>
  <si>
    <t>10_2022</t>
  </si>
  <si>
    <t>VALOR REFERENTE ATUALIZAÇÃO MONETÁRIA MÊS 11/2022 - SELIC 1,02%</t>
  </si>
  <si>
    <t>11_2022</t>
  </si>
  <si>
    <t>VALOR REFERENTE ATUALIZAÇÃO MONETÁRIA MÊS 12/2022 - SELIC 1,12%</t>
  </si>
  <si>
    <t>12_2022</t>
  </si>
  <si>
    <t>VALOR REFERENTE PROVISÃO DE IRPJ 10.2022</t>
  </si>
  <si>
    <t>VALOR REFERENTE PROVISÃO DE IRPJ 11.2022.</t>
  </si>
  <si>
    <t>VALOR REFERENTE PROVISÃO DE CSLL 10.2022</t>
  </si>
  <si>
    <t>VALOR REFERENTE PROVISÃO DE CSLL 11.2022.</t>
  </si>
  <si>
    <t>VALOR REFERENTE PAGAMENTO DE IRRF REFERENTE A FERIAS DE 87 EMPREGADOS - PERIODO DE 2 A 20 DE JANEIRO DE 2023 - IRRF.</t>
  </si>
  <si>
    <t>2022DF800819</t>
  </si>
  <si>
    <t>1.2.1.06.0005</t>
  </si>
  <si>
    <t>Reembolso de custos a Receber - ANEEL</t>
  </si>
  <si>
    <t>BRASOFTWARE INFORMATICA</t>
  </si>
  <si>
    <t>04724924/0001-91</t>
  </si>
  <si>
    <t>ACTIVEWEB TECHNOLOGIES INFORMATICA LTDA</t>
  </si>
  <si>
    <t>2.1.1.04.0526</t>
  </si>
  <si>
    <t>21340197/0001-88</t>
  </si>
  <si>
    <t>TECHVET SERVICOS LTDA ME</t>
  </si>
  <si>
    <t>2.1.1.04.0575</t>
  </si>
  <si>
    <t>CORTEX EVENTOS - ORGANIZAÇÃO DE FEIRAS E</t>
  </si>
  <si>
    <t>2.1.1.04.0632</t>
  </si>
  <si>
    <t>FACULDADES CATÓLICAS</t>
  </si>
  <si>
    <t>2.1.1.04.0633</t>
  </si>
  <si>
    <t>COPY HOUSE SERVICOS REPROGRAFICOS EIRELI</t>
  </si>
  <si>
    <t>2.1.1.04.0679</t>
  </si>
  <si>
    <t>LANTYX TECNOLOGIA E PUBLICIDADE EIRILE</t>
  </si>
  <si>
    <t>2.1.1.04.0843</t>
  </si>
  <si>
    <t>2.1.1.04.0911</t>
  </si>
  <si>
    <t>2.1.1.04.0970</t>
  </si>
  <si>
    <t>VACIVITTA SERVIÇOS DE IMUNIZAÇÃO HUMANA LTDA</t>
  </si>
  <si>
    <t>2.1.1.04.0974</t>
  </si>
  <si>
    <t>LD 209 MAGALHÃES</t>
  </si>
  <si>
    <t>2.1.1.04.0979</t>
  </si>
  <si>
    <t>JULIANA DE OLIVEIRA CAROLINO MANHAES COMERCIO</t>
  </si>
  <si>
    <t>2.1.1.06.0001</t>
  </si>
  <si>
    <t>IRPJ a Recolher</t>
  </si>
  <si>
    <t>2.1.1.06.0007</t>
  </si>
  <si>
    <t>CSLL a Recolher</t>
  </si>
  <si>
    <t>4.1.6.02.0002</t>
  </si>
  <si>
    <t>4.2.7.01.0001</t>
  </si>
  <si>
    <t>Baixa</t>
  </si>
  <si>
    <t>01/01/2022 a 31/12/2022</t>
  </si>
  <si>
    <t>VALOR REFERENTE ATUALIZAÇÃO CONTIGÊNCIA CURTO PRAZO - TRABALHISTA.</t>
  </si>
  <si>
    <t>VALOR REFERENTE ATUALIZAÇÃO CONTINGÊNCIA CURTO PRAZO - TRABALHISTA.</t>
  </si>
  <si>
    <t>VALOR REFERENTE ATUALIZAÇÃO CONTIGÊNCIA LONGO PRAZO - TRABALHISTA.</t>
  </si>
  <si>
    <t>VALOR REFERENTE ATUALIZAÇÃO CONTINGÊNCIA LONGO PRAZO - TRABALHISTA.</t>
  </si>
  <si>
    <t>VALOR REFERENTE ATUALIZAÇÃO CONTIGÊNCIA LONGO PRAZO - CIVIL.</t>
  </si>
  <si>
    <t>VALOR REFERENTE REVERSÃO DE ATUALIZAÇÃO DE CONTINGÊNCIAS LONGO PRAZO - CIVIL.</t>
  </si>
  <si>
    <t>22152 - Provisão p/ Contingências Civeis</t>
  </si>
  <si>
    <t>22153 - Provisão p/ Contingências Fiscais</t>
  </si>
  <si>
    <t>VALOR REFERENTE ATUALIZAÇÃO CONTIGÊNCIA LONGO PRAZO - ADMINISTRATIVO.</t>
  </si>
  <si>
    <t>VALOR REFERENTE REVERSÃO DE ATUALIZAÇÃO DE CONTINGÊNCIAS LONGO PRAZO - ADMINISTRATIVO.</t>
  </si>
  <si>
    <t>VALOR REFERENTE ATUALIZAÇÃO CONTIGÊNCIA LONGO PRAZO - TRIBUTÁRIA.</t>
  </si>
  <si>
    <t>VALOR REFERENTE REVERSÃO DE ATUALIZAÇÃO DE CONTINGÊNCIAS LONGO PRAZO - TRIBUTÁRIA.</t>
  </si>
  <si>
    <t>Conversão de milhares</t>
  </si>
  <si>
    <t>Arredondamentos</t>
  </si>
  <si>
    <t>Valores</t>
  </si>
  <si>
    <t xml:space="preserve">Provisão de IRPJ </t>
  </si>
  <si>
    <t>Provisão de CSLL</t>
  </si>
  <si>
    <t>Saldo anterior (31/12/2021</t>
  </si>
  <si>
    <t xml:space="preserve">Reapresentação </t>
  </si>
  <si>
    <t>Saldo atual (31/12/2021)</t>
  </si>
  <si>
    <t>Demonstração do Resultado do Exercício</t>
  </si>
  <si>
    <r>
      <t>Lucro (Prejuízo) Líquido do Exercício</t>
    </r>
    <r>
      <rPr>
        <sz val="11"/>
        <rFont val="Arial"/>
        <family val="2"/>
      </rPr>
      <t/>
    </r>
  </si>
  <si>
    <t>Lucro antes do IRPJ e CSLL</t>
  </si>
  <si>
    <t>Saldos em 31/12/2021 reapresentado</t>
  </si>
  <si>
    <t>IRPJ</t>
  </si>
  <si>
    <t>No fim do exercício</t>
  </si>
  <si>
    <t>.</t>
  </si>
  <si>
    <t>Caixa líquido consumido pelas atividades operacionais</t>
  </si>
  <si>
    <t>Realizável a Longo Prazo</t>
  </si>
  <si>
    <t>Prejuízos Acumulados</t>
  </si>
  <si>
    <t>Aumento de Capital</t>
  </si>
  <si>
    <t>Prejuízo do Exercício</t>
  </si>
  <si>
    <t xml:space="preserve">Compensação de Prejuízos </t>
  </si>
  <si>
    <t>Remuneração dos capitais próprios</t>
  </si>
  <si>
    <t>R$</t>
  </si>
  <si>
    <t>Base de cálculo para dividendos mínimos obrigatórios (5%)</t>
  </si>
  <si>
    <t>( - ) Prejuízo acumulado ajustado de exercícios anteriores</t>
  </si>
  <si>
    <t>( - ) Prejuízo do exercício 2022</t>
  </si>
  <si>
    <t>Saldo prejuízo acumulado</t>
  </si>
  <si>
    <t>Base de cálculo para reserva legal (5%)</t>
  </si>
  <si>
    <t>1.1.1.02.0043</t>
  </si>
  <si>
    <t>BBT</t>
  </si>
  <si>
    <t>Banco do Brasil - Fonte do Tesouro</t>
  </si>
  <si>
    <t>1.1.1.02.0044</t>
  </si>
  <si>
    <t>BBR</t>
  </si>
  <si>
    <t>Banco do Brasil - Fonte de Recursos Próprios</t>
  </si>
  <si>
    <t>IRPJ estimativa 2021</t>
  </si>
  <si>
    <t>CSLL estimativa 2021</t>
  </si>
  <si>
    <t>1.1.2.03.0036</t>
  </si>
  <si>
    <t>IRPJ estimativa 2022</t>
  </si>
  <si>
    <t>1.1.2.03.0037</t>
  </si>
  <si>
    <t>CSLL estimativa 2022</t>
  </si>
  <si>
    <t>Adiantamentos a Terceiros</t>
  </si>
  <si>
    <t>Adiantamento p/ Órgãos Federais</t>
  </si>
  <si>
    <t>42429480/0001-50</t>
  </si>
  <si>
    <t>FUNDAÇAO UNIVERSITARIA JOSE BONIFACIO</t>
  </si>
  <si>
    <t>72060999/0001-75</t>
  </si>
  <si>
    <t>FUNDACAO COPPETEC - MATRIZ</t>
  </si>
  <si>
    <t>65649154/0001-54</t>
  </si>
  <si>
    <t>DATAGRO PUBLICACOES LTDA</t>
  </si>
  <si>
    <t>31247083/0001-41</t>
  </si>
  <si>
    <t>ASSOCIAÇÃO BRASILEIRA DE RECURSOS HUMANO</t>
  </si>
  <si>
    <t>2.1.1.04.0293</t>
  </si>
  <si>
    <t>00441200/0001-80</t>
  </si>
  <si>
    <t>SERGIO MACHADO REIS EPP</t>
  </si>
  <si>
    <t>2.1.1.04.0447</t>
  </si>
  <si>
    <t>33683111/0008-75</t>
  </si>
  <si>
    <t>SERVICO FEDERAL DE PROC DE DADOS SERPRO</t>
  </si>
  <si>
    <t>2.1.1.04.0618</t>
  </si>
  <si>
    <t>INSTITUTO NEGOCIOS PUBLICOS DO BRASIL</t>
  </si>
  <si>
    <t>2.1.1.04.0645</t>
  </si>
  <si>
    <t>NOVACANA EVENTOS LTDA - ME</t>
  </si>
  <si>
    <t>2.1.1.04.0654</t>
  </si>
  <si>
    <t>MR EVENTOS TREINAMENTO E AGENCIAMENTO</t>
  </si>
  <si>
    <t>2.1.1.04.0663</t>
  </si>
  <si>
    <t>INSTITUTO BRASILEIRO DE AVALIAÇÕES IBAPE</t>
  </si>
  <si>
    <t>2.1.1.04.0692</t>
  </si>
  <si>
    <t>HSR SISTEMAS E REDES LTDA</t>
  </si>
  <si>
    <t>2.1.1.04.0748</t>
  </si>
  <si>
    <t>LEC EDITORA  ORGANIZAÇÃO DE EVENTOS LTDA</t>
  </si>
  <si>
    <t>2.1.1.04.0794</t>
  </si>
  <si>
    <t>ARANDA EVENTOS E CONGRESSOS LTDA</t>
  </si>
  <si>
    <t>2.1.1.04.0800</t>
  </si>
  <si>
    <t>V OFFICE CONSULTORES ASSOCIADOS LTDA</t>
  </si>
  <si>
    <t>2.1.1.04.0817</t>
  </si>
  <si>
    <t>VINICIUS JOSE EUGENIO - ME</t>
  </si>
  <si>
    <t>2.1.1.04.0838</t>
  </si>
  <si>
    <t>INSTITUTO DOS AUDITORES INTERNOS BRASIL</t>
  </si>
  <si>
    <t>2.1.1.04.0859</t>
  </si>
  <si>
    <t>ALPHA &amp; OMEGA TRANSCRIÇÕES</t>
  </si>
  <si>
    <t>2.1.1.04.0872</t>
  </si>
  <si>
    <t>JUMP SERVICOS GRAFICOS LTDA</t>
  </si>
  <si>
    <t>2.1.1.04.0884</t>
  </si>
  <si>
    <t>CENOFISCO EDIT. DE PUBLICAÇÕES TRIBUTÁRIAS</t>
  </si>
  <si>
    <t>2.1.1.04.0897</t>
  </si>
  <si>
    <t>AEA ASSOCIAÇÃO BRAS. DE ENGENHARIA AUTOMOTIVA</t>
  </si>
  <si>
    <t>2.1.1.04.1012</t>
  </si>
  <si>
    <t>SAAS - SOLUÇÕES E SISTEMAS DE GESTÃO S/S LTDA</t>
  </si>
  <si>
    <t>2.1.1.04.1013</t>
  </si>
  <si>
    <t>WA 2 SERVIÇOS DE SEGURANÇA DA INFORMAÇÃO E CONTINUIDADE</t>
  </si>
  <si>
    <t>2.1.1.04.1014</t>
  </si>
  <si>
    <t>SATELITE COMERCIO DE MATERIAIS DE ESCRITORIO DE LIMPEZA</t>
  </si>
  <si>
    <t>2.1.1.04.1015</t>
  </si>
  <si>
    <t>REDE NACIONAL DE APRENDIZAGEM, PROMOÇÃO SOCIAL E INTEGRAÇÃO RENAPSI</t>
  </si>
  <si>
    <t>2.1.1.04.1016</t>
  </si>
  <si>
    <t>5F SOLUÇÕES, SERVIÇOS E COMERCIO DE PRODUTOS DE INFORMATICA</t>
  </si>
  <si>
    <t>2.1.1.04.1019</t>
  </si>
  <si>
    <t>GEOWORKS CONSULTING SERVICES LTDA</t>
  </si>
  <si>
    <t>2.1.1.04.1021</t>
  </si>
  <si>
    <t>GM SAUDE LTDA</t>
  </si>
  <si>
    <t>2.1.1.04.1022</t>
  </si>
  <si>
    <t>GREEN DOMUS DESENVOLVIMENTO SUSTENTAVEL LTDA</t>
  </si>
  <si>
    <t>2.1.1.04.1023</t>
  </si>
  <si>
    <t>ANKLESA INCORPORAÇÃO DE EMPREENDIMENTOS LTDA</t>
  </si>
  <si>
    <t>2.1.1.04.1024</t>
  </si>
  <si>
    <t>SOLUCOES INTERATIVAS PERSONALIZADAS LTDA</t>
  </si>
  <si>
    <t>2.1.1.04.1025</t>
  </si>
  <si>
    <t>NALI FRETAMENTO TURISMO E LOCADORA LTDA ME</t>
  </si>
  <si>
    <t>2.1.1.04.1026</t>
  </si>
  <si>
    <t>GAR-6 CONSULTORIA EM RELAÇÕES TRABALHISTAS LTDA ME</t>
  </si>
  <si>
    <t>2.1.1.07.0073</t>
  </si>
  <si>
    <t>Ret IN 539/05 - IRPJ - 2,4%</t>
  </si>
  <si>
    <t>2.1.1.07.0074</t>
  </si>
  <si>
    <t>Ret IN 539/05 - CSLL - 1%</t>
  </si>
  <si>
    <t>3.3.6.01.0001</t>
  </si>
  <si>
    <t>Contingência Trabalhistas</t>
  </si>
  <si>
    <t>4.2.1.01.0012</t>
  </si>
  <si>
    <t>4.2.3.01.0015</t>
  </si>
  <si>
    <t>Serviços de Clipping de Multimídia</t>
  </si>
  <si>
    <t>4.2.6.01.0010</t>
  </si>
  <si>
    <t>Prov. Contingências Multas</t>
  </si>
  <si>
    <t>5.1.1.06</t>
  </si>
  <si>
    <t>5.1.1.09</t>
  </si>
  <si>
    <t>5.1.2.07</t>
  </si>
  <si>
    <t>ANKLESA INCORPO</t>
  </si>
  <si>
    <t>NF. 46 - ANKLESA INCORPORAÇÃO DE EMPREENDIMENTOS LTDA - VENC. 21/03/2023.</t>
  </si>
  <si>
    <t>Desc. C. Partid</t>
  </si>
  <si>
    <t>Fornecedores a</t>
  </si>
  <si>
    <t>1.5.03</t>
  </si>
  <si>
    <t>NF Nº 12741 - TORINO INFORMÁTICA LTDA</t>
  </si>
  <si>
    <t>Emissão: 20/04/2023</t>
  </si>
  <si>
    <t>01/01/2023 a 31/03/2023</t>
  </si>
  <si>
    <r>
      <t>LUCRO (PREJUÍZO) LÍQUIDO DO EXERCÍCIO</t>
    </r>
    <r>
      <rPr>
        <sz val="11"/>
        <rFont val="Arial"/>
        <family val="2"/>
      </rPr>
      <t/>
    </r>
  </si>
  <si>
    <t>LUCRO ANTES DO IRPJ E DA CSLL</t>
  </si>
  <si>
    <t>RESULTADO ANTES DAS RECEITAS E DESPESAS FINANCEIRAS</t>
  </si>
  <si>
    <t>Lucro do Exercício</t>
  </si>
  <si>
    <t>Contingências/indenizações trabalhistas</t>
  </si>
  <si>
    <t>Contingências fiscais</t>
  </si>
  <si>
    <t>Lucro (prejuízo) do exercício</t>
  </si>
  <si>
    <t>VALOR REFERENTE ATUALIZAÇÃO DEPÓSITOS JUDICIAIS - INDICE IPCA-E.</t>
  </si>
  <si>
    <t>01_2023</t>
  </si>
  <si>
    <t>02_2023</t>
  </si>
  <si>
    <t>03_2023</t>
  </si>
  <si>
    <t>VALOR REFERENTE PAGAMENTO DE DEPOSITO RECURSAL - PROCESSO JUDICIAL DE N¤ 0100431-72.2021.5.01.0060, EM QUE FIGURAM COMO PARTES MARIA DE FATIMA DE CARVALHO GAMA, RECLAMANTE, E EMPRESA DE PESQUISA ENERGETICA - EPE, RECLAMADA.</t>
  </si>
  <si>
    <t>2023OB800068</t>
  </si>
  <si>
    <t>VALOR REFERENTE ATUALIZAÇÃO DEPÓSITOS JUDICIAIS - INDICE POUPANÇA.</t>
  </si>
  <si>
    <t>VALOR REFERENTE DEPOSITO REFERENTE AO PROCESSO 0100723-64.2019.5.01.0048 QUE NÃO CONSTAVA NOS RELATORIOS ANTERIORES</t>
  </si>
  <si>
    <t>02_2020</t>
  </si>
  <si>
    <t>VALOR REFERENTE AJUSTE DEPOSITO 0000852.08.2011.5.01.0027 VLR 7.969,35 ATUALIZADO CONFORME PLANILHA DA CONJUR 03/2023</t>
  </si>
  <si>
    <t>VALOR REFERENTE AJUSTE DE VARIAÇÃO MONETARIA REFE. A ATUALIZAÇÃO DEPOSITO</t>
  </si>
  <si>
    <t>VALOR REFERENTE PAGAMENTO DE DEPOSITO RECURSAL - PROCESSO TRABALHISTA Nº 0101376-93.2016.5.01.0073 - BOLETO COM ID 081280000008492809.</t>
  </si>
  <si>
    <t>2023OB800249</t>
  </si>
  <si>
    <t>2023OB800294</t>
  </si>
  <si>
    <t>VALOR REFERENTE AUTLIZAÇÃO DO PROCESSO 0100723-64.2019.5.01.0048 REALIZADO EM 2020</t>
  </si>
  <si>
    <t>VALOR REFERENTE ATUALIZAÇÃO DEPÓSITOS JUDICIAIS - INDICE IPCA.</t>
  </si>
  <si>
    <t>VALOR REFERENTE ESTORNO ATUALIZAÇÃO DEPÓSITOS JUDICIAIS - INDICE IPCA.</t>
  </si>
  <si>
    <t>VALOR REFERENTE DEPOSITO JUDICIAL PROCESSO 5045000-02.2019.4.02.5101 QUE NÃO HAVIA NOS RELATÓRIOS ANTERIORES</t>
  </si>
  <si>
    <t>VALOR REFERENTE AJUSTE REF. DEPOSITO DO PROCESSO 5045000-02.2019.4.02.5101</t>
  </si>
  <si>
    <t>VALOR REFERENTE COMPLEMENTO DE ATUALIZAÇÃO DEPÓSITOS JUDICIAIS - INDICE IPCA.</t>
  </si>
  <si>
    <t>VALOR REFERENTE ATUALIZAÇÃO MONETÁRIA MÊS 01/2023 - SELIC 1,12%</t>
  </si>
  <si>
    <t>VALOR REFERENTE ATUALIZAÇÃO MONETÁRIA MÊS 02/2023 - SELIC 0,92%</t>
  </si>
  <si>
    <t>VALOR REFERENTE ATUALIZAÇÃO MONETÁRIA MÊS 03/2023 - SELIC 1,17%</t>
  </si>
  <si>
    <t>VALOR REFERENTE VALOR REFERENTE PAGAMENTO POR ESTIMATIVA 2022.</t>
  </si>
  <si>
    <t>VALOR REFERENTE ANTECIPAÇÃO DE IRRF COMP. 12/2022</t>
  </si>
  <si>
    <t>VALOR REFERENTE IRRF SOBRE REPROCESSAMENTO DE FÉRIAS PAGAS PARA CAMILA DE ARAUJO FERRAZ. 02/01/2023 A 20/01/2023.</t>
  </si>
  <si>
    <t>VALOR REFERENTE INSS FÉRIAS PAGO A MAIOR EM 20.03.2023 - MARIANA LUCAS BARROSO.</t>
  </si>
  <si>
    <t>**** Sem Movimento ****</t>
  </si>
  <si>
    <t xml:space="preserve">Provisão para contigênciais </t>
  </si>
  <si>
    <t>Reversão de Provisões para Contingências</t>
  </si>
  <si>
    <t>Outras receitas</t>
  </si>
  <si>
    <t>Outros resultados abrangentes</t>
  </si>
  <si>
    <t>Ativo Circulante</t>
  </si>
  <si>
    <t>Total do Ativo</t>
  </si>
  <si>
    <t>Lei 4.320/64</t>
  </si>
  <si>
    <t>Lei 6.404/76</t>
  </si>
  <si>
    <t>Diferença</t>
  </si>
  <si>
    <t>Passivo Circulante</t>
  </si>
  <si>
    <t>As notas explicativas são parte integrante das demonstrações financeiras intermediárias.</t>
  </si>
  <si>
    <t>Despesa de imposto de renda (IRPJ) e contribuição social (CSLL)</t>
  </si>
  <si>
    <t>Lucro (prejuízo) antes do IRPJ e CSLL</t>
  </si>
  <si>
    <t>Alíquota nominal vigente</t>
  </si>
  <si>
    <t>Expectativa de crédito (débito) de imposto de renda e contribuição social às alíquotas vigentes</t>
  </si>
  <si>
    <t>Reconciliação para a taxa efetiva</t>
  </si>
  <si>
    <t>Adições:</t>
  </si>
  <si>
    <t>Licença partenidade e maternidade prorrogada</t>
  </si>
  <si>
    <t>Variações monetárias de provisões judiciais</t>
  </si>
  <si>
    <t>Outras adições</t>
  </si>
  <si>
    <t>Exclusões:</t>
  </si>
  <si>
    <t>Compensação base negativa e prejuízo fiscal</t>
  </si>
  <si>
    <t>Diferença do adicional de 10%</t>
  </si>
  <si>
    <t>Incentivos fiscais</t>
  </si>
  <si>
    <t>Ajustes de despesas de periodos anteriores</t>
  </si>
  <si>
    <t>Débito do imposto de renda e contribuição social</t>
  </si>
  <si>
    <t>Corrente efetiva do 2º  trimestre</t>
  </si>
  <si>
    <t>Diferido não reconhecido</t>
  </si>
  <si>
    <t>Alíquota efetiva</t>
  </si>
  <si>
    <t>2.1.1.04.1027</t>
  </si>
  <si>
    <t>ESCAPE RIO RECREAÇÃO E TREINAMENTO LTDA</t>
  </si>
  <si>
    <t>2.1.1.04.1028</t>
  </si>
  <si>
    <t>ASSOCIAÇÃO BRASILEIRA DE PEQUENAS CENTRAIS HIDRELETRICAS</t>
  </si>
  <si>
    <t>2.1.1.04.1029</t>
  </si>
  <si>
    <t>ENGEPOWER ENGENHARIA E COMÉRCIO LTDA</t>
  </si>
  <si>
    <t>2.1.1.04.1030</t>
  </si>
  <si>
    <t>NARCISIA SANTOS CONSULTORIA, PROJETOS E CURSOS LTDA</t>
  </si>
  <si>
    <t>2.1.1.04.1031</t>
  </si>
  <si>
    <t>AGENCIA EPBR DE NOTICIAS LTDA</t>
  </si>
  <si>
    <t>2.1.1.04.1032</t>
  </si>
  <si>
    <t>DLS TREINAMENTOS LTDA</t>
  </si>
  <si>
    <t>2.1.1.04.1033</t>
  </si>
  <si>
    <t>GREENER CONSULTORIA LTDA</t>
  </si>
  <si>
    <t>2.1.1.04.1034</t>
  </si>
  <si>
    <t>VALOR CRUCIAL TREINAMENTOS EPP LTDA</t>
  </si>
  <si>
    <t>2.1.1.04.1035</t>
  </si>
  <si>
    <t>SBERA - SOCIEDADE BRASILEIRA DOS ESPECIALISTAS EM RESIDUOS</t>
  </si>
  <si>
    <t>2.1.1.04.1036</t>
  </si>
  <si>
    <t>AGENCIA BRASILEIRA DE PROMOCAO DE EXPORTACOES E INVESTIMENTOS</t>
  </si>
  <si>
    <t>2.1.1.04.1037</t>
  </si>
  <si>
    <t>MARTINS BRITTO DESENVOLVIMENTO PESSOAL E TECNOLOGICO LTDA</t>
  </si>
  <si>
    <t>2.1.1.04.1039</t>
  </si>
  <si>
    <t>FUNDACAO DE ESTUDOS AGRARIOS LUIZ DE QUEIROZ</t>
  </si>
  <si>
    <t>2.1.1.04.1040</t>
  </si>
  <si>
    <t>NSI TRAINING TECNOLOGIA S/C LTDA</t>
  </si>
  <si>
    <t>2.1.1.04.1041</t>
  </si>
  <si>
    <t>CAIO ALEXANDRE A DE SOUZA EVENTOS</t>
  </si>
  <si>
    <t>2.1.1.04.1042</t>
  </si>
  <si>
    <t>J L CLEAN LIMPEZA E DESINFECÇÃO LTDA</t>
  </si>
  <si>
    <t>2.1.1.04.1043</t>
  </si>
  <si>
    <t>INTERLINK EXHIBITIONS LTDA</t>
  </si>
  <si>
    <t>4.1.1.01.0014</t>
  </si>
  <si>
    <t>Incorporação Função Gratificada - Ordem Judicial</t>
  </si>
  <si>
    <t>Conduções</t>
  </si>
  <si>
    <t>30.06.2023</t>
  </si>
  <si>
    <t>VALOR REFERENTE ATUALIZAÇÃO MONETÁRIA DE DEPÓSITOS JUDICIAIS - 04/2023 - INDICE IPCA-E.</t>
  </si>
  <si>
    <t>04_2023</t>
  </si>
  <si>
    <t>05_2023</t>
  </si>
  <si>
    <t>VALOR REFERENTE ATUALIZAÇÃO MONETÁRIA DEPÓSITOS JUDICIAIS - INDICE IPCA-E.</t>
  </si>
  <si>
    <t>06_2023</t>
  </si>
  <si>
    <t>VALOR REFERENTE PAGAMENTO DE DEPOSITO RECURSAL - PROCESSO JUDICIAL DE N¤ 0100646-78.2022.5.01.0071, EM QUE FIGURAM COMO PARTES SERGIO LUCIO GUIMARAES DE MIRANDA, RECLAMANTE, E EMPRESA DE PESQUISA ENERGETICA - EPE, RECLAMADA.</t>
  </si>
  <si>
    <t>2023OB800668</t>
  </si>
  <si>
    <t>VALOR REFERENTE PAGAMENTO DE DEPOSITO RECURSAL - PROCESSO JUDICIAL DE Nº 0100.645.52.2022.5.01.0020, EM QUE FIGURAM COMO PARTES: VIRNA LISLEY SCHAEDLER, COMO RECLAMANTE E EMPRESA DE PESQUISA ENERGETICA - EPE, COMO RECLAMADA.</t>
  </si>
  <si>
    <t>2023OB800884</t>
  </si>
  <si>
    <t>VALOR REFERENTE ATUALIZAÇÃO DE DEPÓSITOS JUDICIAIS - INDICE POUPANÇA.</t>
  </si>
  <si>
    <t>VALOR REFERENTE ATUALIZAÇÃO DE DEPÓSITOS JUDICIAIS - INDICE IPCA.</t>
  </si>
  <si>
    <t>VALOR REFERENTE ATUALIZAÇÃO MONETÁRIA MÊS 04/2023 - SELIC 0,92%</t>
  </si>
  <si>
    <t>VALOR REFERENTE ATUALIZAÇÃO MONETÁRIA MÊS 05/2023 - SELIC 1,12%</t>
  </si>
  <si>
    <t>VALOR REFERENTE ATUALIZAÇÃO MONETÁRIA MÊS 06/2023 - SELIC 1,07%</t>
  </si>
  <si>
    <t>VALOR REFERENTE PROVISÃO IRPJ COMP. 05/2023</t>
  </si>
  <si>
    <t>VALOR REFERENTE PROVISÃO IRPJ COMP. 06/2023</t>
  </si>
  <si>
    <t>VALOR REFERENTE PROVISÃO CSLL COMP. 05/2023</t>
  </si>
  <si>
    <t>VALOR REFERENTE PROVISÃO CSLL COMP. 06/2023</t>
  </si>
  <si>
    <t>VALOR REFERENTE PAGAMENTO DE FERIAS - 02 A 12.05.2023 - 18 FUNCIONARIOS. IRRF COD 0561.</t>
  </si>
  <si>
    <t>2023DF800264</t>
  </si>
  <si>
    <t>VALOR REFERENTE PAGAMENTO A MAIOR IRRF COMP. 04.2023.</t>
  </si>
  <si>
    <t>VALOR REFERENTE ATUALIZAÇÃO MONETÁRIA - COMP. 05/2023 - SELIC 1,12%</t>
  </si>
  <si>
    <t>VALOR REFERENTE ATUALIZAÇÃO MONETÁRIA - COMP. 06/2023 - SELIC 1,07%</t>
  </si>
  <si>
    <t>Atualização</t>
  </si>
  <si>
    <t>total</t>
  </si>
  <si>
    <t>Remuneração</t>
  </si>
  <si>
    <t>Maior</t>
  </si>
  <si>
    <t>Menor</t>
  </si>
  <si>
    <t>Média</t>
  </si>
  <si>
    <t>Empregados - Nível Médio</t>
  </si>
  <si>
    <t>Empregados - Nível Superior</t>
  </si>
  <si>
    <t>C: 21161</t>
  </si>
  <si>
    <t>D: 42511</t>
  </si>
  <si>
    <t>C: 21167</t>
  </si>
  <si>
    <t>D: 42521</t>
  </si>
  <si>
    <t xml:space="preserve">CSLL </t>
  </si>
  <si>
    <t>Excesso a compensar em apurações subseqüentes</t>
  </si>
  <si>
    <t>(Nº de funcion X R$ 1,99 X nº Dias Trabalhado no mês X nº de mês)x15%</t>
  </si>
  <si>
    <t>limite de 4% do Imposto de Renda devido</t>
  </si>
  <si>
    <t>Incentivo dedutível - 15%</t>
  </si>
  <si>
    <t>Despesa acumulada c/ alimentação trabalhador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</si>
  <si>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</si>
  <si>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</si>
  <si>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</si>
  <si>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</si>
  <si>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</si>
  <si>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</si>
  <si>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</si>
  <si>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</si>
  <si>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</si>
  <si>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</si>
  <si>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</si>
  <si>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</si>
  <si>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INCENTIVO DE ALIMENTAÇÃO AO TRABALHADOR</t>
  </si>
  <si>
    <t xml:space="preserve">SALDO BASE NEGATIVA </t>
  </si>
  <si>
    <t xml:space="preserve">(-) COMPENSAÇÃO BASE NEGATIVA </t>
  </si>
  <si>
    <t>BASE NEGATIVA 2022</t>
  </si>
  <si>
    <t>COMPENSAÇÃO - BASE NEGATIVA 2022</t>
  </si>
  <si>
    <t>IRPJ A PAGAR NO MÊS COD 2362</t>
  </si>
  <si>
    <t>TOTAL DEDUÇÕES DE PAGAMENTOS</t>
  </si>
  <si>
    <t>IRPJ PAGO A MAIOR ANOS ANTERIORES</t>
  </si>
  <si>
    <t>IRPJ PAGO POR ESTIMATIVA ATÉ MÊS ANTERIOR</t>
  </si>
  <si>
    <t>(-)DEDUÇÕES DE PAGAMENTOS</t>
  </si>
  <si>
    <t xml:space="preserve">IRPJ APÓS INCENTIVOS FISCAIS </t>
  </si>
  <si>
    <t>TOTAL DE INCENTIVOS FISCAIS</t>
  </si>
  <si>
    <t>Salario Maternidade  - Prorrogação</t>
  </si>
  <si>
    <t>PAT-LIMITE 4% DO IRPJ (SEM ADICIONAL)</t>
  </si>
  <si>
    <t>(-)INCENTIVOS FISCAIS</t>
  </si>
  <si>
    <t>TOTAL DO IRPJ ANTES DOS INCENTIVOS FISCAIS</t>
  </si>
  <si>
    <t>ADICIONAL DO IR ALÍQUOTA 10%</t>
  </si>
  <si>
    <t>IRPJ ALÍQUOTA 15%</t>
  </si>
  <si>
    <t>LUCRO REAL APÓS COM. PREJUÍZOS FISCAIS</t>
  </si>
  <si>
    <t>(-) COMP. DE PREJUÍZOS FISCAIS</t>
  </si>
  <si>
    <t>LUCRO REAL ANTES COMP. PREJUÍZOS FISCAIS</t>
  </si>
  <si>
    <t>TOTAL DE EXCLUSÕES</t>
  </si>
  <si>
    <t>REVERSÃO DE PROVISÃO OPERACIONAL</t>
  </si>
  <si>
    <t>(-)EXCLUSÕES</t>
  </si>
  <si>
    <t>TOTAL DE ADIÇÕES</t>
  </si>
  <si>
    <t>Despesas não Dedutíveis</t>
  </si>
  <si>
    <t>Prov. Contingências Variações Monet</t>
  </si>
  <si>
    <t>Provisões p/ Contingências Processuais</t>
  </si>
  <si>
    <t>Provisão P/ Contingências Cíveis</t>
  </si>
  <si>
    <t>Provisões p/ Contingências Trabalhi</t>
  </si>
  <si>
    <t>DESPESAS NÃO DEDUTÍVEIS</t>
  </si>
  <si>
    <t xml:space="preserve">(+)ADIÇÕES </t>
  </si>
  <si>
    <t>RESULTADO ANTES DO IR</t>
  </si>
  <si>
    <t>Provisão p/ IRPJ e  Provisão p/ CSLL</t>
  </si>
  <si>
    <t>42511 e 42521</t>
  </si>
  <si>
    <t>Lucro Antes do IR</t>
  </si>
  <si>
    <t>Resultado Liquido</t>
  </si>
  <si>
    <t>conta reduzida balancete</t>
  </si>
  <si>
    <t>IMPOSTO DE RENDA - IRPJ</t>
  </si>
  <si>
    <t>CSLL A PAGAR NO MÊS COD 2484</t>
  </si>
  <si>
    <t>TOTAL DE DEDUÇÕES DE PAGAMENTO</t>
  </si>
  <si>
    <t>CSLL PAGO A MAIOR ANOS ANTERIORES</t>
  </si>
  <si>
    <t>CSLL PAGO POR ESTIMATIVAS ATÉ MÊS ANTERIOR</t>
  </si>
  <si>
    <t>(-)DEDUÇÕES DE PAGAMENTO</t>
  </si>
  <si>
    <t xml:space="preserve">CSLL ALÍQUOTA 9% </t>
  </si>
  <si>
    <t xml:space="preserve">(-) COMP. BASE NEGATVA </t>
  </si>
  <si>
    <t>BASE DE CÁLCULO ANTES COMP. BASE NEGATIVA</t>
  </si>
  <si>
    <t>Provisões p/ Contigências Processuais</t>
  </si>
  <si>
    <t>LUCRO ANTES DA CSLL</t>
  </si>
  <si>
    <t>Resultado com IRPJ e CSLL</t>
  </si>
  <si>
    <t>LUCRO LÍQUIDO CONTÁBIL  - ANTES DOS AJUSTES RTT LEI 11.638 MP 449</t>
  </si>
  <si>
    <t>CONTRIBUIÇÃO SOCIAL - CSLL</t>
  </si>
  <si>
    <t>TRIBUTAÇÃO Lucro Real/Estimativa mensal</t>
  </si>
  <si>
    <t>PLANILHA DE APURAÇÃO IRPJ E CSLL - ANO CALENDÁRIO 2023</t>
  </si>
  <si>
    <t>EMPRESA DE PESQUISA ENERGÉTICA - 06.977747/0001-80</t>
  </si>
  <si>
    <t>3 meses findos em</t>
  </si>
  <si>
    <t>6 meses findos em</t>
  </si>
  <si>
    <t>Provisões de processos trabalhistas</t>
  </si>
  <si>
    <t>Reversão de provisão de processos cíveis</t>
  </si>
  <si>
    <t>PLANILHA DE APURAÇÃO IRPJ E CSLL - ANO CALENDÁRIO 2022</t>
  </si>
  <si>
    <t>COMPENSAÇÃO - BASE NEGATIVA 2020</t>
  </si>
  <si>
    <t>BASE NEGATIVA 2021</t>
  </si>
  <si>
    <t>CSLL</t>
  </si>
  <si>
    <t xml:space="preserve">   Lucro/Prejuízo antes do IRPJ e da CSLL</t>
  </si>
  <si>
    <t xml:space="preserve">   Adições</t>
  </si>
  <si>
    <t xml:space="preserve">   Exclusões</t>
  </si>
  <si>
    <t>Base de cálculo antes das compensações negativas</t>
  </si>
  <si>
    <t xml:space="preserve">   Alíquota nominal vigente 34%</t>
  </si>
  <si>
    <r>
      <t xml:space="preserve">   </t>
    </r>
    <r>
      <rPr>
        <sz val="10"/>
        <color theme="1"/>
        <rFont val="Arial"/>
        <family val="2"/>
      </rPr>
      <t>Alíquota utilizada para cálculo</t>
    </r>
  </si>
  <si>
    <t>15% e 10%</t>
  </si>
  <si>
    <t xml:space="preserve">   Total dos incentivos fiscais</t>
  </si>
  <si>
    <t xml:space="preserve">   Despesa com IRPJ/CSLL </t>
  </si>
  <si>
    <t xml:space="preserve">   IRPJ/CSLL pagos por estimativa</t>
  </si>
  <si>
    <t xml:space="preserve">   IRPJ/ CSLL a recolher</t>
  </si>
  <si>
    <t>Atualização Monetária</t>
  </si>
  <si>
    <t>Saída bancária</t>
  </si>
  <si>
    <t>VALOR REFERENTE ATualiLIZAÇÃO DO PROCESSO 0100723-64.2019.5.01.0048 REALIZADO EM 2020</t>
  </si>
  <si>
    <t>Saída bancaria</t>
  </si>
  <si>
    <t>VALOR REFERENTE ATUALIZAÇÃO CONTIGÊNCIA TRABALHISTA - CURTO PRAZO.</t>
  </si>
  <si>
    <t>VALOR REFERENTE TRNASFERENCIA DO PROCESSOS DE CURTO PARA LONGO PRAZO CONF. DETERMINAÇÃO DOS ADVOGADOS</t>
  </si>
  <si>
    <t>VALOR REFERENTE ATUALIZAÇÃO CONTIGÊNCIA TRABALHISTA - LONGO PRAZO.</t>
  </si>
  <si>
    <t>VALOR REFERENTE ATUALIZAÇÃO CONTIGÊNCIA TRABALHISTA  - LONGO PRAZO.</t>
  </si>
  <si>
    <t>VALOR REFERENTE ATUALIZAÇÃO CONTIGENCIA TRABALHISTAS - CURTO PRAZO</t>
  </si>
  <si>
    <t>VALOR REFERENTE ATUALIZAÇÃO CONTIGENCIA  TRABALHISTA - LONGO PRAZO</t>
  </si>
  <si>
    <t>VALOR REFERENTE ATUALIZAÇÃO CONTIGÊNCIA TRABALHISTA.</t>
  </si>
  <si>
    <t>VALOR REFERENTE ATUALIZAÇÃO CONTINGENCIA - TRABALHISTA.</t>
  </si>
  <si>
    <t>VALOR REFERENTE PROCESSO 14152.099415/2020  14185017352/2020-40 - DIFERENÇA DE PAGAMENTO FGTS.</t>
  </si>
  <si>
    <t>VALOR REFERENTE PROCESSO TRABALHISTA 14152.074014.2023-35 - AUTO DE INFRAÇÃO PCD.</t>
  </si>
  <si>
    <t>VALOR REFERENTE ATUALIZAÇÃO CONTINGÊNCIA - TRABALHISTA.</t>
  </si>
  <si>
    <t>VALOR REFERENTE ATUALIZAÇÃO CONTINGÊNCIA - CIVIS.</t>
  </si>
  <si>
    <t>VALOR REFERENTE RECLASSIFICAÇÃO DE LANÇAMENTO CONFORME PLANILHA DA CONJUR.</t>
  </si>
  <si>
    <t>VALOR REFERENTE ATUALIZAÇÃO CONTIGÊNCIA TRIBUTÁRIA - LONGO PRAZO.</t>
  </si>
  <si>
    <t>VALOR REFERENTE ATUALIZAÇÃO CONTIGENCIA TRIBUTÁRIA</t>
  </si>
  <si>
    <t>VALOR REFERENTE ATUALIZAÇÃO CONTIGÊNCIA TRIBUTÁRIA</t>
  </si>
  <si>
    <t>VALOR REFERENTE ATUALIZAÇÃO CONTINGENCIA - TRIBUTÁRIA.</t>
  </si>
  <si>
    <t>VALOR REFERENTE ATUALIZAÇÃO CONTINGÊNCIA - FISCAIS.</t>
  </si>
  <si>
    <t>VALOR REFERENTE ATUALIZAÇÃO CONTIGÊNCIA ADMINISTRATIVO - LONGO PRAZO.</t>
  </si>
  <si>
    <t>VALOR REFERENTE ATUALIZAÇÃO CONTIGENCIA ADMINISTRATIVA</t>
  </si>
  <si>
    <t>VALOR REFERENTE ATUALIZAÇÃO CONTIGÊNCIA ADMINISTRATIVO</t>
  </si>
  <si>
    <t>VALOR REFERENTE ATUALIZAÇÃO CONTINGENCIA - ADMINISTRATIVO.</t>
  </si>
  <si>
    <t xml:space="preserve">Atualização </t>
  </si>
  <si>
    <t>Novo processo</t>
  </si>
  <si>
    <t>Depesas com provisão para contigências</t>
  </si>
  <si>
    <t>Balancete Contábil Analítico</t>
  </si>
  <si>
    <t>Conta</t>
  </si>
  <si>
    <t>Reduzido</t>
  </si>
  <si>
    <t>Anterior</t>
  </si>
  <si>
    <t>Movimento</t>
  </si>
  <si>
    <t>Trabalhistas</t>
  </si>
  <si>
    <t xml:space="preserve">Tributárias </t>
  </si>
  <si>
    <t xml:space="preserve">Civis </t>
  </si>
  <si>
    <t xml:space="preserve">Baixas e Reversões </t>
  </si>
  <si>
    <t>30/09/2023 (Acumulado)</t>
  </si>
  <si>
    <t>30/09/2023 (Trimestre)</t>
  </si>
  <si>
    <t>30/09/2022 (Acumulado)</t>
  </si>
  <si>
    <t>30/09/2022 (Trimestre)</t>
  </si>
  <si>
    <t>30/09/2022 (Trimestral)</t>
  </si>
  <si>
    <t>Saldos em 30/09/2022</t>
  </si>
  <si>
    <t>01/07/2023 a 30/09/2023</t>
  </si>
  <si>
    <t>Emissão: 10/10/2023</t>
  </si>
  <si>
    <t>2.1.1.04.1045</t>
  </si>
  <si>
    <t>2.1.1.04.1046</t>
  </si>
  <si>
    <t>2.1.1.04.1047</t>
  </si>
  <si>
    <t>2.1.1.04.1048</t>
  </si>
  <si>
    <t>2.1.1.04.1049</t>
  </si>
  <si>
    <t>2.1.1.04.1050</t>
  </si>
  <si>
    <t>2.1.1.04.1051</t>
  </si>
  <si>
    <t>2.1.1.04.1052</t>
  </si>
  <si>
    <t>2.1.1.04.1053</t>
  </si>
  <si>
    <t>2.1.1.04.1054</t>
  </si>
  <si>
    <t>2.1.1.04.1056</t>
  </si>
  <si>
    <t>2.1.1.04.1057</t>
  </si>
  <si>
    <t>2.1.1.04.1058</t>
  </si>
  <si>
    <t>2.1.1.04.1059</t>
  </si>
  <si>
    <t>2.1.1.04.1060</t>
  </si>
  <si>
    <t>CONTACTA SEGURANCA EM CONECTIVIDADE LTDA</t>
  </si>
  <si>
    <t>ACEPLUS BRASIL LTDA</t>
  </si>
  <si>
    <t>AGATHA SOUZA BRITO PESSOA</t>
  </si>
  <si>
    <t>INSTITUTO BRASILEIRO DE ESTUDOS DO DIREITO DA ENERGIA</t>
  </si>
  <si>
    <t>BASE 183 EVENTOS LTDA</t>
  </si>
  <si>
    <t>GH MARKETING LTDA</t>
  </si>
  <si>
    <t>NNAL COMERCIO DE MATERIAIS MEDICOS E SERVICOS EMPRESARIAIS LTDA</t>
  </si>
  <si>
    <t>PRIMASOFT INFORMATICA LTDA</t>
  </si>
  <si>
    <t>AMANA LIDERANÇA E DESENVOLVIMENTO LTDA</t>
  </si>
  <si>
    <t>CAFE NOVO INDIGENA LTDA</t>
  </si>
  <si>
    <t>SOCIEDADE BRASILEIRA DE COMPUTACAO</t>
  </si>
  <si>
    <t>INFORTRAIN TREINAMENTO LTDA</t>
  </si>
  <si>
    <t>ASSOCIACAO BRASILEIRA DE RECURSOS HUMANOS</t>
  </si>
  <si>
    <t>UNIABRAPP - UNIVERSIDADE CORPORATIVA DA PREVIDENCIA COM</t>
  </si>
  <si>
    <t>KONVERGENTE TELECOMUNICACOES LTDA</t>
  </si>
  <si>
    <t>01/01/2023 a 30/09/2023</t>
  </si>
  <si>
    <t>Conversão em milhar</t>
  </si>
  <si>
    <t>arredondamento</t>
  </si>
  <si>
    <t>07_2023</t>
  </si>
  <si>
    <t>VALOR REFERENTE ATUALIZAÇÃO CONTIGÊNCIA TRABALHISTA - COMP. 08/2023</t>
  </si>
  <si>
    <t>08_2023</t>
  </si>
  <si>
    <t>09_2023</t>
  </si>
  <si>
    <t>VALOR REFERENTE ATUALIZAÇÃO CONTINGÊNCIA - CIVIL.</t>
  </si>
  <si>
    <t>VALOR REFERENTE ATUALIZAÇÃO CONTIGÊNCIA CIVIL - COMP. 08/2023</t>
  </si>
  <si>
    <t>VALOR REFERENTE REVERSÃO DE PROVISÃO PARA CONTINGÊNCIAS - CIVEIS.</t>
  </si>
  <si>
    <t>VALOR REFERENTE ATUALIZAÇÃO CONTINGÊNCIA - TRIBUTÁRIA.</t>
  </si>
  <si>
    <t>VALOR REFERENTE ATUALIZAÇÃO CONTIGÊNCIA TRIBUTÁRIA - COMP. 08/2023</t>
  </si>
  <si>
    <t>VALOR REFERENTE PROVISÃO PARA CONTINGÊNCIAS - PREVIDENCIARIO.</t>
  </si>
  <si>
    <t>VALOR REFERENTE ATUALIZAÇÃO MONETÁRIA MÊS 07/2023 - SELIC 1,07%</t>
  </si>
  <si>
    <t>VALOR REFERENTE ATUALIZAÇÃO MONETÁRIA MÊS 08/2023 - SELIC 1,14%</t>
  </si>
  <si>
    <t>VALOR REFERENTE ATUALIZAÇÃO MONETÁRIA MÊS 09/2023 - SELIC 0,97%</t>
  </si>
  <si>
    <t>VALOR REFERENTE IRPJ COMP. 07/2023</t>
  </si>
  <si>
    <t>VALOR REFERENTE IRPJ COMP. 08/2023</t>
  </si>
  <si>
    <t>VALOR REFERENTE IRPJ COMP. 09/2023</t>
  </si>
  <si>
    <t>VALOR REFERENTE CSLL COMP. 07/2023</t>
  </si>
  <si>
    <t>VALOR REFERENTE CSLL COMP. 08/2023</t>
  </si>
  <si>
    <t>VALOR REFERENTE CSLL COMP. 09/2023</t>
  </si>
  <si>
    <t>VALOR REFERENTE ATUALIZAÇÃO MONETÁRIA INDICE - IPCA-E.</t>
  </si>
  <si>
    <t>VALOR REFERENTE ATUALIZAÇÃO MONETÁRIA DE DEPÓSITOS JUDICIAIS - INDICE IPCA - E.</t>
  </si>
  <si>
    <t>VALOR REFERENTE PAGAMENTO DE DEPOSITO JUDICIAL - PROCESSO Nº 0011113-21.2015.5.01.0244, EM QUE FIGURAM COMO PARTES: SERGIO DE CASTRO MARTINS, COMO RECLAMANTE E EMPRESA DE PESQUISA ENERGETICA - EPE, COMO RECLAMADA.</t>
  </si>
  <si>
    <t>2023OB801092</t>
  </si>
  <si>
    <t>VALOR REFERENTE ESTORNO DE DEPOSITO JUDICIAL PROCESSO 5045000-02.2019.4.02.5101.</t>
  </si>
  <si>
    <t>VALOR REFERENTE ESTORNO DE VARIAÇÃO MONETÁRIA PROCESSO 5045000-02.2019.4.02.5101.</t>
  </si>
  <si>
    <t>VALOR REFERENTE ESTORNO DE PROVISÃO DEPÓSITO JUDICIAL - INDICE IPCA.</t>
  </si>
  <si>
    <t>VALOR REFERENTE ATUALIZAÇÃO MONETÁRIA DEPÓSITO JUDICIAL - CIVIL.</t>
  </si>
  <si>
    <t>VALOR REFERENTE COMPLEMENTO DE ATUALIZAÇÃO MONETÁRIA DE DEPÓSITOS JUDICIAIS - INDICE IPCA.</t>
  </si>
  <si>
    <t>30/09/2023 (Trimestral)</t>
  </si>
  <si>
    <t>Saldos em 30/09/2023</t>
  </si>
  <si>
    <t>Total do Passivo e Patrimônio líquido</t>
  </si>
  <si>
    <t>Obrigações Fiscais/Retenções tributárias</t>
  </si>
  <si>
    <t>Obrigações Trabalhistas e Sociais/Cessão de pessoal/Previdência privada complementar</t>
  </si>
  <si>
    <t>Adiantamento a orgãos federais</t>
  </si>
  <si>
    <t>9 meses findos em</t>
  </si>
  <si>
    <t>Provisões de processos Fiscais</t>
  </si>
  <si>
    <t>Provisões de contigências Processuais</t>
  </si>
  <si>
    <t xml:space="preserve">Provisão/reversão para contigênciais </t>
  </si>
  <si>
    <t>Adições/Atualizações/Reversões nas provisões para contingências</t>
  </si>
  <si>
    <t>Atualização de contigências</t>
  </si>
  <si>
    <t xml:space="preserve">Outras </t>
  </si>
  <si>
    <t>VALOR REFERENTE PROVISÃO PARA CONTINGÊNCIAS - TRABALHISTA.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</si>
</sst>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R$&quot;\ #,##0;[Red]\-&quot;R$&quot;\ #,##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dd/mm/yyyy;@"/>
    <numFmt numFmtId="166" formatCode="_-* #,##0_-;\-* #,##0_-;_-* &quot;-&quot;??_-;_-@_-"/>
    <numFmt numFmtId="167" formatCode="_-* #,##0.00000_-;\-* #,##0.00000_-;_-* &quot;-&quot;??_-;_-@_-"/>
    <numFmt numFmtId="168" formatCode="d/mm/yyyy;@"/>
    <numFmt numFmtId="169" formatCode="_-* #,##0.0_-;\-* #,##0.0_-;_-* &quot;-&quot;??_-;_-@_-"/>
    <numFmt numFmtId="170" formatCode="_(* #,##0_);_(* \(#,##0\);_(* &quot;-&quot;??_);_(@_)"/>
    <numFmt numFmtId="171" formatCode="_(* #,##0.00_);_(* \(#,##0.00\);_(* &quot;-&quot;??_);_(@_)"/>
    <numFmt numFmtId="172" formatCode="0.0000%"/>
    <numFmt numFmtId="173" formatCode="&quot;R$&quot;\ #,##0.00"/>
    <numFmt numFmtId="174" formatCode="_-[$R$-416]\ * #,##0.00_-;\-[$R$-416]\ * #,##0.00_-;_-[$R$-416]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 val="singleAccounting"/>
      <sz val="1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Arial Narrow"/>
      <family val="2"/>
    </font>
    <font>
      <sz val="9"/>
      <name val="Arial"/>
      <family val="2"/>
    </font>
    <font>
      <b/>
      <sz val="10"/>
      <color rgb="FF000000"/>
      <name val="Courier New"/>
      <family val="3"/>
    </font>
    <font>
      <sz val="10"/>
      <color rgb="FF000000"/>
      <name val="Courier New"/>
      <family val="3"/>
    </font>
    <font>
      <sz val="10"/>
      <color theme="1"/>
      <name val="Calibri"/>
      <family val="2"/>
      <scheme val="minor"/>
    </font>
    <font>
      <sz val="13"/>
      <color rgb="FFFF0000"/>
      <name val="Arial Narrow"/>
      <family val="2"/>
    </font>
    <font>
      <b/>
      <sz val="13"/>
      <color theme="1"/>
      <name val="Arial Narrow"/>
      <family val="2"/>
    </font>
    <font>
      <b/>
      <sz val="13"/>
      <color rgb="FFFF0000"/>
      <name val="Arial Narrow"/>
      <family val="2"/>
    </font>
    <font>
      <sz val="13"/>
      <color rgb="FF000000"/>
      <name val="Arial Narrow"/>
      <family val="2"/>
    </font>
    <font>
      <sz val="13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name val="Arial Narrow"/>
      <family val="2"/>
    </font>
    <font>
      <b/>
      <sz val="16"/>
      <name val="Arial Narrow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1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164" fontId="5" fillId="0" borderId="3" xfId="1" applyNumberFormat="1" applyFont="1" applyFill="1" applyBorder="1"/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3" fillId="0" borderId="0" xfId="1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164" fontId="3" fillId="2" borderId="0" xfId="0" applyNumberFormat="1" applyFont="1" applyFill="1"/>
    <xf numFmtId="4" fontId="3" fillId="2" borderId="0" xfId="0" applyNumberFormat="1" applyFont="1" applyFill="1"/>
    <xf numFmtId="164" fontId="3" fillId="0" borderId="0" xfId="0" applyNumberFormat="1" applyFont="1"/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3" fontId="10" fillId="2" borderId="0" xfId="1" applyNumberFormat="1" applyFont="1" applyFill="1" applyBorder="1"/>
    <xf numFmtId="3" fontId="10" fillId="0" borderId="0" xfId="1" applyNumberFormat="1" applyFont="1" applyFill="1" applyBorder="1"/>
    <xf numFmtId="164" fontId="5" fillId="2" borderId="0" xfId="1" applyNumberFormat="1" applyFont="1" applyFill="1" applyBorder="1"/>
    <xf numFmtId="3" fontId="3" fillId="2" borderId="0" xfId="0" applyNumberFormat="1" applyFont="1" applyFill="1"/>
    <xf numFmtId="164" fontId="3" fillId="0" borderId="0" xfId="1" applyNumberFormat="1" applyFont="1" applyFill="1" applyBorder="1"/>
    <xf numFmtId="3" fontId="3" fillId="0" borderId="0" xfId="1" applyNumberFormat="1" applyFont="1" applyFill="1" applyBorder="1"/>
    <xf numFmtId="3" fontId="5" fillId="0" borderId="0" xfId="1" applyNumberFormat="1" applyFont="1" applyFill="1" applyBorder="1"/>
    <xf numFmtId="164" fontId="5" fillId="0" borderId="2" xfId="1" applyNumberFormat="1" applyFont="1" applyFill="1" applyBorder="1"/>
    <xf numFmtId="3" fontId="3" fillId="0" borderId="0" xfId="1" applyNumberFormat="1" applyFont="1" applyFill="1"/>
    <xf numFmtId="164" fontId="5" fillId="0" borderId="5" xfId="1" applyNumberFormat="1" applyFont="1" applyFill="1" applyBorder="1"/>
    <xf numFmtId="0" fontId="5" fillId="0" borderId="0" xfId="0" applyFont="1"/>
    <xf numFmtId="0" fontId="3" fillId="0" borderId="0" xfId="0" applyFont="1" applyAlignment="1">
      <alignment horizontal="left" indent="2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39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43" fontId="3" fillId="0" borderId="0" xfId="1" applyFont="1" applyFill="1"/>
    <xf numFmtId="3" fontId="5" fillId="0" borderId="0" xfId="1" quotePrefix="1" applyNumberFormat="1" applyFont="1" applyFill="1" applyBorder="1" applyAlignment="1">
      <alignment horizontal="right"/>
    </xf>
    <xf numFmtId="3" fontId="10" fillId="0" borderId="1" xfId="1" applyNumberFormat="1" applyFont="1" applyFill="1" applyBorder="1"/>
    <xf numFmtId="14" fontId="5" fillId="0" borderId="1" xfId="0" applyNumberFormat="1" applyFont="1" applyBorder="1" applyAlignment="1">
      <alignment horizontal="center" wrapText="1"/>
    </xf>
    <xf numFmtId="164" fontId="7" fillId="0" borderId="0" xfId="4" applyNumberFormat="1" applyFont="1" applyAlignment="1">
      <alignment horizontal="left" wrapText="1"/>
    </xf>
    <xf numFmtId="0" fontId="8" fillId="0" borderId="0" xfId="4" applyFont="1" applyAlignment="1">
      <alignment horizontal="left" wrapText="1"/>
    </xf>
    <xf numFmtId="0" fontId="7" fillId="0" borderId="0" xfId="4" applyFont="1" applyAlignment="1">
      <alignment horizontal="left" wrapText="1"/>
    </xf>
    <xf numFmtId="164" fontId="8" fillId="0" borderId="0" xfId="4" applyNumberFormat="1" applyFont="1" applyAlignment="1">
      <alignment horizontal="left" wrapText="1"/>
    </xf>
    <xf numFmtId="0" fontId="8" fillId="0" borderId="0" xfId="4" applyFont="1" applyAlignment="1">
      <alignment horizontal="left" vertical="top"/>
    </xf>
    <xf numFmtId="164" fontId="8" fillId="0" borderId="0" xfId="4" applyNumberFormat="1" applyFont="1" applyAlignment="1">
      <alignment horizontal="left" vertical="top"/>
    </xf>
    <xf numFmtId="164" fontId="8" fillId="0" borderId="0" xfId="4" applyNumberFormat="1" applyFont="1" applyAlignment="1">
      <alignment horizontal="right" shrinkToFit="1"/>
    </xf>
    <xf numFmtId="0" fontId="3" fillId="0" borderId="0" xfId="4" applyFont="1" applyAlignment="1">
      <alignment horizontal="left" vertical="top" wrapText="1" indent="2"/>
    </xf>
    <xf numFmtId="0" fontId="5" fillId="0" borderId="0" xfId="4" applyFont="1" applyAlignment="1">
      <alignment horizontal="left" vertical="center" wrapText="1" indent="1"/>
    </xf>
    <xf numFmtId="164" fontId="8" fillId="0" borderId="0" xfId="4" applyNumberFormat="1" applyFont="1" applyAlignment="1">
      <alignment shrinkToFit="1"/>
    </xf>
    <xf numFmtId="164" fontId="3" fillId="0" borderId="0" xfId="4" applyNumberFormat="1" applyFont="1" applyAlignment="1">
      <alignment horizontal="right" wrapText="1"/>
    </xf>
    <xf numFmtId="164" fontId="8" fillId="0" borderId="1" xfId="4" applyNumberFormat="1" applyFont="1" applyBorder="1" applyAlignment="1">
      <alignment horizontal="right" shrinkToFit="1"/>
    </xf>
    <xf numFmtId="0" fontId="5" fillId="0" borderId="0" xfId="4" applyFont="1" applyAlignment="1">
      <alignment horizontal="left" vertical="top" wrapText="1"/>
    </xf>
    <xf numFmtId="164" fontId="7" fillId="0" borderId="0" xfId="4" applyNumberFormat="1" applyFont="1" applyAlignment="1">
      <alignment horizontal="right" shrinkToFit="1"/>
    </xf>
    <xf numFmtId="0" fontId="12" fillId="0" borderId="0" xfId="0" applyFont="1"/>
    <xf numFmtId="0" fontId="3" fillId="0" borderId="0" xfId="4" applyFont="1" applyAlignment="1">
      <alignment vertical="top" wrapText="1"/>
    </xf>
    <xf numFmtId="0" fontId="3" fillId="2" borderId="0" xfId="0" applyFont="1" applyFill="1" applyAlignment="1">
      <alignment vertical="center"/>
    </xf>
    <xf numFmtId="164" fontId="5" fillId="2" borderId="0" xfId="0" applyNumberFormat="1" applyFont="1" applyFill="1"/>
    <xf numFmtId="0" fontId="9" fillId="2" borderId="0" xfId="0" applyFont="1" applyFill="1"/>
    <xf numFmtId="164" fontId="6" fillId="0" borderId="0" xfId="0" applyNumberFormat="1" applyFont="1"/>
    <xf numFmtId="14" fontId="5" fillId="0" borderId="1" xfId="0" applyNumberFormat="1" applyFont="1" applyBorder="1" applyAlignment="1">
      <alignment horizontal="center" vertical="center" wrapText="1"/>
    </xf>
    <xf numFmtId="164" fontId="5" fillId="0" borderId="8" xfId="1" applyNumberFormat="1" applyFont="1" applyFill="1" applyBorder="1"/>
    <xf numFmtId="3" fontId="3" fillId="0" borderId="0" xfId="1" quotePrefix="1" applyNumberFormat="1" applyFont="1" applyFill="1" applyBorder="1" applyAlignment="1">
      <alignment horizontal="right"/>
    </xf>
    <xf numFmtId="3" fontId="5" fillId="0" borderId="6" xfId="1" quotePrefix="1" applyNumberFormat="1" applyFont="1" applyFill="1" applyBorder="1" applyAlignment="1">
      <alignment horizontal="right"/>
    </xf>
    <xf numFmtId="164" fontId="5" fillId="0" borderId="7" xfId="1" applyNumberFormat="1" applyFont="1" applyFill="1" applyBorder="1"/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quotePrefix="1" applyFont="1" applyFill="1" applyAlignment="1">
      <alignment horizontal="left"/>
    </xf>
    <xf numFmtId="0" fontId="10" fillId="2" borderId="0" xfId="0" applyFont="1" applyFill="1"/>
    <xf numFmtId="0" fontId="5" fillId="2" borderId="0" xfId="0" quotePrefix="1" applyFont="1" applyFill="1" applyAlignment="1">
      <alignment horizontal="left"/>
    </xf>
    <xf numFmtId="43" fontId="6" fillId="0" borderId="0" xfId="1" applyFont="1"/>
    <xf numFmtId="165" fontId="7" fillId="0" borderId="0" xfId="4" applyNumberFormat="1" applyFont="1" applyAlignment="1">
      <alignment vertical="top" shrinkToFit="1"/>
    </xf>
    <xf numFmtId="0" fontId="8" fillId="0" borderId="0" xfId="4" applyFont="1" applyAlignment="1">
      <alignment wrapText="1"/>
    </xf>
    <xf numFmtId="164" fontId="8" fillId="0" borderId="0" xfId="4" applyNumberFormat="1" applyFont="1" applyAlignment="1">
      <alignment wrapText="1"/>
    </xf>
    <xf numFmtId="164" fontId="3" fillId="2" borderId="0" xfId="0" quotePrefix="1" applyNumberFormat="1" applyFont="1" applyFill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9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/>
    <xf numFmtId="164" fontId="5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5" fillId="0" borderId="3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/>
    <xf numFmtId="164" fontId="5" fillId="0" borderId="0" xfId="2" applyNumberFormat="1" applyFont="1" applyFill="1"/>
    <xf numFmtId="164" fontId="3" fillId="2" borderId="0" xfId="3" applyNumberFormat="1" applyFill="1"/>
    <xf numFmtId="43" fontId="5" fillId="0" borderId="0" xfId="2" applyFont="1" applyFill="1" applyBorder="1"/>
    <xf numFmtId="3" fontId="5" fillId="0" borderId="0" xfId="2" applyNumberFormat="1" applyFont="1" applyFill="1" applyBorder="1"/>
    <xf numFmtId="43" fontId="3" fillId="0" borderId="0" xfId="0" applyNumberFormat="1" applyFont="1"/>
    <xf numFmtId="164" fontId="3" fillId="0" borderId="4" xfId="2" applyNumberFormat="1" applyFont="1" applyFill="1" applyBorder="1"/>
    <xf numFmtId="164" fontId="16" fillId="0" borderId="0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0" fontId="13" fillId="0" borderId="0" xfId="0" applyFont="1"/>
    <xf numFmtId="168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164" fontId="0" fillId="0" borderId="0" xfId="0" applyNumberFormat="1"/>
    <xf numFmtId="166" fontId="3" fillId="0" borderId="0" xfId="1" applyNumberFormat="1" applyFont="1" applyFill="1"/>
    <xf numFmtId="167" fontId="3" fillId="0" borderId="0" xfId="1" applyNumberFormat="1" applyFont="1" applyFill="1"/>
    <xf numFmtId="164" fontId="5" fillId="0" borderId="0" xfId="4" applyNumberFormat="1" applyFont="1" applyAlignment="1">
      <alignment horizontal="right" wrapText="1"/>
    </xf>
    <xf numFmtId="0" fontId="3" fillId="0" borderId="0" xfId="4" applyFont="1" applyAlignment="1">
      <alignment horizontal="left" vertical="center" wrapText="1" indent="2"/>
    </xf>
    <xf numFmtId="164" fontId="3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3" fontId="5" fillId="0" borderId="0" xfId="1" quotePrefix="1" applyNumberFormat="1" applyFont="1" applyFill="1" applyBorder="1" applyAlignment="1">
      <alignment horizontal="center"/>
    </xf>
    <xf numFmtId="43" fontId="0" fillId="0" borderId="0" xfId="1" applyFont="1"/>
    <xf numFmtId="164" fontId="11" fillId="0" borderId="0" xfId="4" applyNumberFormat="1" applyFont="1" applyAlignment="1">
      <alignment horizontal="left" vertical="top"/>
    </xf>
    <xf numFmtId="0" fontId="13" fillId="0" borderId="0" xfId="0" applyFont="1" applyAlignment="1">
      <alignment horizontal="left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43" fontId="12" fillId="0" borderId="0" xfId="1" applyFont="1" applyAlignment="1">
      <alignment horizontal="center" vertical="center"/>
    </xf>
    <xf numFmtId="43" fontId="6" fillId="0" borderId="0" xfId="1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43" fontId="8" fillId="0" borderId="0" xfId="1" applyFont="1" applyAlignment="1">
      <alignment horizontal="right" shrinkToFit="1"/>
    </xf>
    <xf numFmtId="43" fontId="8" fillId="0" borderId="0" xfId="1" applyFont="1" applyFill="1" applyAlignment="1">
      <alignment horizontal="right" shrinkToFit="1"/>
    </xf>
    <xf numFmtId="43" fontId="0" fillId="0" borderId="0" xfId="1" applyFont="1" applyFill="1"/>
    <xf numFmtId="43" fontId="15" fillId="0" borderId="0" xfId="1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7" fillId="0" borderId="0" xfId="1" applyFont="1" applyFill="1" applyAlignment="1">
      <alignment horizontal="right" shrinkToFit="1"/>
    </xf>
    <xf numFmtId="43" fontId="6" fillId="0" borderId="0" xfId="1" applyFont="1" applyFill="1" applyAlignment="1">
      <alignment vertical="center"/>
    </xf>
    <xf numFmtId="41" fontId="5" fillId="0" borderId="3" xfId="5" applyNumberFormat="1" applyFont="1" applyFill="1" applyBorder="1"/>
    <xf numFmtId="0" fontId="17" fillId="0" borderId="0" xfId="0" applyFont="1"/>
    <xf numFmtId="14" fontId="12" fillId="0" borderId="4" xfId="0" applyNumberFormat="1" applyFont="1" applyBorder="1"/>
    <xf numFmtId="9" fontId="6" fillId="0" borderId="0" xfId="1" applyNumberFormat="1" applyFont="1"/>
    <xf numFmtId="166" fontId="14" fillId="0" borderId="0" xfId="1" applyNumberFormat="1" applyFont="1" applyFill="1"/>
    <xf numFmtId="0" fontId="0" fillId="3" borderId="0" xfId="0" applyFill="1"/>
    <xf numFmtId="164" fontId="5" fillId="0" borderId="0" xfId="4" applyNumberFormat="1" applyFont="1" applyAlignment="1">
      <alignment horizontal="right" shrinkToFit="1"/>
    </xf>
    <xf numFmtId="164" fontId="7" fillId="0" borderId="9" xfId="4" applyNumberFormat="1" applyFont="1" applyBorder="1" applyAlignment="1">
      <alignment horizontal="right" shrinkToFit="1"/>
    </xf>
    <xf numFmtId="169" fontId="8" fillId="0" borderId="0" xfId="1" applyNumberFormat="1" applyFont="1" applyFill="1" applyAlignment="1">
      <alignment horizontal="left" vertical="top"/>
    </xf>
    <xf numFmtId="0" fontId="14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43" fontId="6" fillId="0" borderId="0" xfId="1" applyFont="1" applyFill="1" applyBorder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14" fontId="12" fillId="0" borderId="0" xfId="0" applyNumberFormat="1" applyFont="1"/>
    <xf numFmtId="0" fontId="6" fillId="0" borderId="0" xfId="0" applyFont="1" applyAlignment="1">
      <alignment horizontal="right"/>
    </xf>
    <xf numFmtId="14" fontId="12" fillId="0" borderId="4" xfId="0" applyNumberFormat="1" applyFont="1" applyBorder="1" applyAlignment="1">
      <alignment horizontal="right" wrapText="1"/>
    </xf>
    <xf numFmtId="43" fontId="6" fillId="0" borderId="0" xfId="1" applyFont="1" applyAlignment="1">
      <alignment horizontal="right"/>
    </xf>
    <xf numFmtId="0" fontId="12" fillId="0" borderId="0" xfId="0" applyFont="1" applyAlignment="1">
      <alignment horizontal="left"/>
    </xf>
    <xf numFmtId="166" fontId="0" fillId="0" borderId="0" xfId="1" applyNumberFormat="1" applyFont="1"/>
    <xf numFmtId="9" fontId="6" fillId="0" borderId="0" xfId="7" applyFont="1" applyAlignment="1">
      <alignment horizontal="right" vertical="center" wrapText="1"/>
    </xf>
    <xf numFmtId="43" fontId="15" fillId="0" borderId="0" xfId="1" applyFont="1" applyFill="1" applyAlignment="1">
      <alignment vertical="center"/>
    </xf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vertical="center"/>
    </xf>
    <xf numFmtId="43" fontId="6" fillId="0" borderId="4" xfId="1" applyFont="1" applyFill="1" applyBorder="1" applyAlignment="1">
      <alignment vertical="center"/>
    </xf>
    <xf numFmtId="43" fontId="12" fillId="0" borderId="4" xfId="1" applyFont="1" applyFill="1" applyBorder="1" applyAlignment="1">
      <alignment vertical="center"/>
    </xf>
    <xf numFmtId="43" fontId="12" fillId="0" borderId="4" xfId="1" applyFont="1" applyFill="1" applyBorder="1" applyAlignment="1">
      <alignment horizontal="right" vertical="center" wrapText="1"/>
    </xf>
    <xf numFmtId="9" fontId="6" fillId="0" borderId="4" xfId="7" applyFont="1" applyFill="1" applyBorder="1" applyAlignment="1">
      <alignment horizontal="center" vertical="center" wrapText="1"/>
    </xf>
    <xf numFmtId="4" fontId="0" fillId="0" borderId="0" xfId="0" applyNumberFormat="1"/>
    <xf numFmtId="14" fontId="12" fillId="0" borderId="0" xfId="0" applyNumberFormat="1" applyFont="1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4" fontId="0" fillId="5" borderId="0" xfId="0" applyNumberFormat="1" applyFill="1" applyAlignment="1">
      <alignment horizontal="right"/>
    </xf>
    <xf numFmtId="0" fontId="18" fillId="6" borderId="0" xfId="0" applyFont="1" applyFill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right"/>
    </xf>
    <xf numFmtId="14" fontId="0" fillId="5" borderId="0" xfId="0" applyNumberFormat="1" applyFill="1"/>
    <xf numFmtId="3" fontId="0" fillId="5" borderId="0" xfId="0" applyNumberFormat="1" applyFill="1" applyAlignment="1">
      <alignment horizontal="center"/>
    </xf>
    <xf numFmtId="4" fontId="0" fillId="5" borderId="0" xfId="0" applyNumberFormat="1" applyFill="1"/>
    <xf numFmtId="4" fontId="18" fillId="6" borderId="0" xfId="0" applyNumberFormat="1" applyFont="1" applyFill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0" fillId="0" borderId="14" xfId="0" applyNumberFormat="1" applyBorder="1"/>
    <xf numFmtId="4" fontId="0" fillId="0" borderId="15" xfId="0" applyNumberFormat="1" applyBorder="1"/>
    <xf numFmtId="0" fontId="0" fillId="0" borderId="16" xfId="0" applyBorder="1"/>
    <xf numFmtId="0" fontId="0" fillId="0" borderId="1" xfId="0" applyBorder="1"/>
    <xf numFmtId="4" fontId="0" fillId="0" borderId="1" xfId="0" applyNumberFormat="1" applyBorder="1"/>
    <xf numFmtId="4" fontId="0" fillId="0" borderId="11" xfId="0" applyNumberFormat="1" applyBorder="1"/>
    <xf numFmtId="1" fontId="18" fillId="0" borderId="0" xfId="0" applyNumberFormat="1" applyFont="1"/>
    <xf numFmtId="14" fontId="0" fillId="0" borderId="0" xfId="0" applyNumberFormat="1"/>
    <xf numFmtId="166" fontId="6" fillId="0" borderId="0" xfId="1" applyNumberFormat="1" applyFont="1" applyFill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6" fontId="12" fillId="0" borderId="0" xfId="1" applyNumberFormat="1" applyFont="1" applyAlignment="1">
      <alignment horizontal="right" vertical="center"/>
    </xf>
    <xf numFmtId="166" fontId="7" fillId="0" borderId="0" xfId="1" applyNumberFormat="1" applyFont="1" applyFill="1" applyAlignment="1">
      <alignment horizontal="right" shrinkToFit="1"/>
    </xf>
    <xf numFmtId="166" fontId="12" fillId="0" borderId="0" xfId="1" applyNumberFormat="1" applyFont="1" applyFill="1" applyAlignment="1">
      <alignment horizontal="right" vertical="center"/>
    </xf>
    <xf numFmtId="166" fontId="0" fillId="0" borderId="0" xfId="1" applyNumberFormat="1" applyFont="1" applyFill="1"/>
    <xf numFmtId="43" fontId="3" fillId="2" borderId="0" xfId="1" applyFont="1" applyFill="1" applyAlignment="1">
      <alignment vertical="center"/>
    </xf>
    <xf numFmtId="43" fontId="5" fillId="2" borderId="0" xfId="0" applyNumberFormat="1" applyFont="1" applyFill="1"/>
    <xf numFmtId="11" fontId="0" fillId="0" borderId="0" xfId="0" applyNumberFormat="1"/>
    <xf numFmtId="4" fontId="18" fillId="0" borderId="0" xfId="0" applyNumberFormat="1" applyFont="1"/>
    <xf numFmtId="164" fontId="8" fillId="0" borderId="0" xfId="4" applyNumberFormat="1" applyFont="1" applyAlignment="1">
      <alignment horizontal="right" vertical="center" shrinkToFit="1"/>
    </xf>
    <xf numFmtId="164" fontId="3" fillId="0" borderId="0" xfId="3" applyNumberFormat="1"/>
    <xf numFmtId="166" fontId="8" fillId="0" borderId="4" xfId="1" applyNumberFormat="1" applyFont="1" applyFill="1" applyBorder="1" applyAlignment="1">
      <alignment horizontal="right" shrinkToFit="1"/>
    </xf>
    <xf numFmtId="166" fontId="7" fillId="0" borderId="4" xfId="1" applyNumberFormat="1" applyFont="1" applyFill="1" applyBorder="1" applyAlignment="1">
      <alignment horizontal="right" shrinkToFit="1"/>
    </xf>
    <xf numFmtId="43" fontId="3" fillId="0" borderId="0" xfId="1" applyFont="1" applyFill="1" applyBorder="1"/>
    <xf numFmtId="164" fontId="3" fillId="0" borderId="0" xfId="4" applyNumberFormat="1" applyFont="1" applyAlignment="1">
      <alignment wrapText="1"/>
    </xf>
    <xf numFmtId="164" fontId="8" fillId="0" borderId="1" xfId="4" applyNumberFormat="1" applyFont="1" applyBorder="1" applyAlignment="1">
      <alignment shrinkToFit="1"/>
    </xf>
    <xf numFmtId="43" fontId="18" fillId="0" borderId="0" xfId="1" applyFont="1"/>
    <xf numFmtId="43" fontId="0" fillId="5" borderId="0" xfId="1" applyFont="1" applyFill="1"/>
    <xf numFmtId="43" fontId="18" fillId="5" borderId="0" xfId="1" applyFont="1" applyFill="1"/>
    <xf numFmtId="43" fontId="0" fillId="0" borderId="0" xfId="0" applyNumberFormat="1"/>
    <xf numFmtId="3" fontId="0" fillId="0" borderId="0" xfId="0" applyNumberFormat="1"/>
    <xf numFmtId="43" fontId="18" fillId="0" borderId="0" xfId="1" applyFont="1" applyFill="1"/>
    <xf numFmtId="0" fontId="18" fillId="0" borderId="0" xfId="0" applyFont="1" applyAlignment="1">
      <alignment horizontal="center"/>
    </xf>
    <xf numFmtId="3" fontId="5" fillId="0" borderId="2" xfId="1" quotePrefix="1" applyNumberFormat="1" applyFont="1" applyFill="1" applyBorder="1" applyAlignment="1">
      <alignment horizontal="right"/>
    </xf>
    <xf numFmtId="3" fontId="3" fillId="0" borderId="2" xfId="1" quotePrefix="1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center"/>
    </xf>
    <xf numFmtId="165" fontId="7" fillId="0" borderId="1" xfId="4" applyNumberFormat="1" applyFont="1" applyBorder="1" applyAlignment="1">
      <alignment horizontal="right" vertical="top" wrapText="1" shrinkToFit="1"/>
    </xf>
    <xf numFmtId="165" fontId="7" fillId="0" borderId="1" xfId="4" applyNumberFormat="1" applyFont="1" applyBorder="1" applyAlignment="1">
      <alignment horizontal="right" shrinkToFit="1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12" fillId="0" borderId="2" xfId="0" applyNumberFormat="1" applyFont="1" applyBorder="1"/>
    <xf numFmtId="3" fontId="12" fillId="0" borderId="2" xfId="0" applyNumberFormat="1" applyFont="1" applyBorder="1"/>
    <xf numFmtId="0" fontId="6" fillId="0" borderId="2" xfId="0" applyFont="1" applyBorder="1"/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164" fontId="12" fillId="0" borderId="0" xfId="0" applyNumberFormat="1" applyFont="1"/>
    <xf numFmtId="164" fontId="18" fillId="0" borderId="0" xfId="0" applyNumberFormat="1" applyFont="1"/>
    <xf numFmtId="3" fontId="12" fillId="0" borderId="0" xfId="0" applyNumberFormat="1" applyFont="1"/>
    <xf numFmtId="3" fontId="18" fillId="0" borderId="0" xfId="0" applyNumberFormat="1" applyFont="1"/>
    <xf numFmtId="0" fontId="3" fillId="2" borderId="0" xfId="0" applyFont="1" applyFill="1" applyAlignment="1">
      <alignment horizontal="center"/>
    </xf>
    <xf numFmtId="0" fontId="12" fillId="0" borderId="17" xfId="0" applyFont="1" applyBorder="1" applyAlignment="1">
      <alignment horizontal="center"/>
    </xf>
    <xf numFmtId="0" fontId="6" fillId="0" borderId="17" xfId="0" applyFont="1" applyBorder="1"/>
    <xf numFmtId="164" fontId="3" fillId="0" borderId="17" xfId="2" applyNumberFormat="1" applyFont="1" applyFill="1" applyBorder="1" applyAlignment="1">
      <alignment horizontal="right"/>
    </xf>
    <xf numFmtId="43" fontId="11" fillId="2" borderId="0" xfId="1" applyFont="1" applyFill="1"/>
    <xf numFmtId="4" fontId="0" fillId="0" borderId="18" xfId="0" applyNumberFormat="1" applyBorder="1"/>
    <xf numFmtId="4" fontId="0" fillId="0" borderId="19" xfId="0" applyNumberFormat="1" applyBorder="1"/>
    <xf numFmtId="0" fontId="0" fillId="0" borderId="19" xfId="0" applyBorder="1"/>
    <xf numFmtId="1" fontId="18" fillId="0" borderId="10" xfId="0" applyNumberFormat="1" applyFont="1" applyBorder="1"/>
    <xf numFmtId="43" fontId="6" fillId="0" borderId="0" xfId="0" applyNumberFormat="1" applyFont="1"/>
    <xf numFmtId="164" fontId="5" fillId="0" borderId="6" xfId="2" applyNumberFormat="1" applyFont="1" applyFill="1" applyBorder="1" applyAlignment="1">
      <alignment horizontal="right"/>
    </xf>
    <xf numFmtId="164" fontId="3" fillId="3" borderId="0" xfId="0" applyNumberFormat="1" applyFont="1" applyFill="1"/>
    <xf numFmtId="14" fontId="0" fillId="7" borderId="0" xfId="0" applyNumberFormat="1" applyFill="1"/>
    <xf numFmtId="0" fontId="0" fillId="7" borderId="0" xfId="0" applyFill="1"/>
    <xf numFmtId="4" fontId="0" fillId="7" borderId="0" xfId="0" applyNumberFormat="1" applyFill="1"/>
    <xf numFmtId="14" fontId="0" fillId="3" borderId="0" xfId="0" applyNumberFormat="1" applyFill="1"/>
    <xf numFmtId="4" fontId="0" fillId="3" borderId="0" xfId="0" applyNumberFormat="1" applyFill="1"/>
    <xf numFmtId="14" fontId="0" fillId="8" borderId="0" xfId="0" applyNumberFormat="1" applyFill="1"/>
    <xf numFmtId="0" fontId="0" fillId="8" borderId="0" xfId="0" applyFill="1"/>
    <xf numFmtId="4" fontId="0" fillId="8" borderId="0" xfId="0" applyNumberFormat="1" applyFill="1"/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0" fontId="10" fillId="0" borderId="0" xfId="0" applyFont="1"/>
    <xf numFmtId="4" fontId="3" fillId="0" borderId="0" xfId="0" applyNumberFormat="1" applyFont="1" applyAlignment="1">
      <alignment horizontal="center"/>
    </xf>
    <xf numFmtId="3" fontId="5" fillId="0" borderId="0" xfId="0" applyNumberFormat="1" applyFont="1"/>
    <xf numFmtId="3" fontId="5" fillId="0" borderId="1" xfId="1" applyNumberFormat="1" applyFont="1" applyFill="1" applyBorder="1"/>
    <xf numFmtId="4" fontId="3" fillId="3" borderId="0" xfId="0" applyNumberFormat="1" applyFont="1" applyFill="1"/>
    <xf numFmtId="43" fontId="3" fillId="0" borderId="0" xfId="1" applyFont="1"/>
    <xf numFmtId="43" fontId="5" fillId="0" borderId="0" xfId="1" applyFont="1"/>
    <xf numFmtId="43" fontId="5" fillId="0" borderId="0" xfId="1" applyFont="1" applyFill="1" applyBorder="1"/>
    <xf numFmtId="0" fontId="0" fillId="0" borderId="4" xfId="0" applyBorder="1"/>
    <xf numFmtId="43" fontId="12" fillId="0" borderId="0" xfId="1" applyFont="1"/>
    <xf numFmtId="166" fontId="0" fillId="0" borderId="17" xfId="1" applyNumberFormat="1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0" fillId="0" borderId="23" xfId="0" applyBorder="1"/>
    <xf numFmtId="166" fontId="0" fillId="0" borderId="24" xfId="1" applyNumberFormat="1" applyFont="1" applyBorder="1"/>
    <xf numFmtId="0" fontId="18" fillId="0" borderId="25" xfId="0" applyFont="1" applyBorder="1" applyAlignment="1">
      <alignment horizontal="center"/>
    </xf>
    <xf numFmtId="166" fontId="18" fillId="0" borderId="26" xfId="1" applyNumberFormat="1" applyFont="1" applyBorder="1"/>
    <xf numFmtId="166" fontId="18" fillId="0" borderId="27" xfId="1" applyNumberFormat="1" applyFont="1" applyBorder="1"/>
    <xf numFmtId="0" fontId="0" fillId="0" borderId="20" xfId="0" applyBorder="1"/>
    <xf numFmtId="166" fontId="0" fillId="0" borderId="21" xfId="1" applyNumberFormat="1" applyFont="1" applyBorder="1"/>
    <xf numFmtId="164" fontId="0" fillId="0" borderId="22" xfId="1" applyNumberFormat="1" applyFont="1" applyBorder="1"/>
    <xf numFmtId="0" fontId="18" fillId="0" borderId="28" xfId="0" applyFont="1" applyBorder="1" applyAlignment="1">
      <alignment horizontal="center"/>
    </xf>
    <xf numFmtId="166" fontId="18" fillId="0" borderId="29" xfId="1" applyNumberFormat="1" applyFont="1" applyBorder="1"/>
    <xf numFmtId="166" fontId="18" fillId="0" borderId="30" xfId="1" applyNumberFormat="1" applyFont="1" applyBorder="1"/>
    <xf numFmtId="164" fontId="0" fillId="0" borderId="24" xfId="1" applyNumberFormat="1" applyFont="1" applyBorder="1"/>
    <xf numFmtId="0" fontId="5" fillId="0" borderId="0" xfId="0" applyFont="1" applyAlignment="1">
      <alignment wrapText="1"/>
    </xf>
    <xf numFmtId="39" fontId="3" fillId="2" borderId="0" xfId="0" applyNumberFormat="1" applyFont="1" applyFill="1"/>
    <xf numFmtId="166" fontId="3" fillId="2" borderId="0" xfId="1" applyNumberFormat="1" applyFont="1" applyFill="1"/>
    <xf numFmtId="164" fontId="3" fillId="9" borderId="0" xfId="0" applyNumberFormat="1" applyFont="1" applyFill="1"/>
    <xf numFmtId="0" fontId="0" fillId="13" borderId="0" xfId="0" applyFill="1"/>
    <xf numFmtId="0" fontId="18" fillId="4" borderId="0" xfId="0" applyFont="1" applyFill="1"/>
    <xf numFmtId="166" fontId="3" fillId="0" borderId="0" xfId="1" applyNumberFormat="1" applyFont="1" applyFill="1" applyAlignment="1">
      <alignment horizontal="right" vertical="center"/>
    </xf>
    <xf numFmtId="43" fontId="18" fillId="0" borderId="0" xfId="1" applyFont="1" applyBorder="1"/>
    <xf numFmtId="43" fontId="0" fillId="0" borderId="0" xfId="1" applyFont="1" applyBorder="1"/>
    <xf numFmtId="43" fontId="18" fillId="0" borderId="0" xfId="1" applyFont="1" applyBorder="1" applyAlignment="1">
      <alignment horizontal="center" wrapText="1"/>
    </xf>
    <xf numFmtId="166" fontId="0" fillId="0" borderId="0" xfId="1" applyNumberFormat="1" applyFont="1" applyBorder="1"/>
    <xf numFmtId="14" fontId="0" fillId="0" borderId="0" xfId="1" applyNumberFormat="1" applyFont="1" applyBorder="1"/>
    <xf numFmtId="0" fontId="8" fillId="15" borderId="31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6" fontId="6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5" fillId="0" borderId="0" xfId="0" applyFont="1"/>
    <xf numFmtId="8" fontId="6" fillId="0" borderId="11" xfId="0" applyNumberFormat="1" applyFont="1" applyBorder="1" applyAlignment="1">
      <alignment horizontal="right" vertical="center"/>
    </xf>
    <xf numFmtId="0" fontId="20" fillId="0" borderId="0" xfId="0" applyFont="1"/>
    <xf numFmtId="43" fontId="20" fillId="0" borderId="0" xfId="1" applyFont="1"/>
    <xf numFmtId="8" fontId="20" fillId="0" borderId="0" xfId="0" applyNumberFormat="1" applyFont="1"/>
    <xf numFmtId="43" fontId="20" fillId="0" borderId="0" xfId="0" applyNumberFormat="1" applyFont="1"/>
    <xf numFmtId="0" fontId="3" fillId="0" borderId="0" xfId="3" applyProtection="1">
      <protection hidden="1"/>
    </xf>
    <xf numFmtId="0" fontId="3" fillId="0" borderId="0" xfId="3" applyAlignment="1" applyProtection="1">
      <alignment horizontal="left"/>
      <protection hidden="1"/>
    </xf>
    <xf numFmtId="171" fontId="0" fillId="16" borderId="33" xfId="9" applyFont="1" applyFill="1" applyBorder="1" applyProtection="1">
      <protection hidden="1"/>
    </xf>
    <xf numFmtId="0" fontId="3" fillId="16" borderId="34" xfId="3" applyFill="1" applyBorder="1" applyAlignment="1" applyProtection="1">
      <alignment horizontal="left"/>
      <protection hidden="1"/>
    </xf>
    <xf numFmtId="0" fontId="3" fillId="16" borderId="23" xfId="3" applyFill="1" applyBorder="1" applyProtection="1">
      <protection hidden="1"/>
    </xf>
    <xf numFmtId="171" fontId="0" fillId="2" borderId="35" xfId="9" applyFont="1" applyFill="1" applyBorder="1" applyProtection="1">
      <protection locked="0"/>
    </xf>
    <xf numFmtId="0" fontId="3" fillId="0" borderId="34" xfId="3" applyBorder="1" applyAlignment="1" applyProtection="1">
      <alignment horizontal="left"/>
      <protection hidden="1"/>
    </xf>
    <xf numFmtId="0" fontId="21" fillId="0" borderId="23" xfId="3" applyFont="1" applyBorder="1" applyProtection="1">
      <protection hidden="1"/>
    </xf>
    <xf numFmtId="171" fontId="0" fillId="0" borderId="35" xfId="9" applyFont="1" applyBorder="1" applyProtection="1">
      <protection hidden="1"/>
    </xf>
    <xf numFmtId="0" fontId="3" fillId="0" borderId="23" xfId="3" applyBorder="1" applyProtection="1">
      <protection hidden="1"/>
    </xf>
    <xf numFmtId="171" fontId="10" fillId="6" borderId="35" xfId="9" applyFont="1" applyFill="1" applyBorder="1" applyAlignment="1" applyProtection="1">
      <alignment horizontal="right"/>
      <protection locked="0"/>
    </xf>
    <xf numFmtId="43" fontId="10" fillId="10" borderId="35" xfId="10" applyFont="1" applyFill="1" applyBorder="1" applyAlignment="1" applyProtection="1">
      <alignment horizontal="right"/>
      <protection locked="0"/>
    </xf>
    <xf numFmtId="171" fontId="10" fillId="10" borderId="35" xfId="9" applyFont="1" applyFill="1" applyBorder="1" applyAlignment="1" applyProtection="1">
      <alignment horizontal="right"/>
      <protection locked="0"/>
    </xf>
    <xf numFmtId="1" fontId="23" fillId="0" borderId="37" xfId="0" applyNumberFormat="1" applyFont="1" applyBorder="1" applyAlignment="1">
      <alignment horizontal="center"/>
    </xf>
    <xf numFmtId="0" fontId="3" fillId="0" borderId="28" xfId="3" applyBorder="1" applyProtection="1">
      <protection hidden="1"/>
    </xf>
    <xf numFmtId="1" fontId="23" fillId="0" borderId="34" xfId="0" applyNumberFormat="1" applyFont="1" applyBorder="1" applyAlignment="1">
      <alignment horizontal="center"/>
    </xf>
    <xf numFmtId="0" fontId="9" fillId="0" borderId="31" xfId="3" applyFont="1" applyBorder="1" applyAlignment="1" applyProtection="1">
      <alignment horizontal="center"/>
      <protection hidden="1"/>
    </xf>
    <xf numFmtId="0" fontId="9" fillId="0" borderId="34" xfId="3" applyFont="1" applyBorder="1" applyAlignment="1" applyProtection="1">
      <alignment horizontal="left"/>
      <protection hidden="1"/>
    </xf>
    <xf numFmtId="0" fontId="9" fillId="0" borderId="23" xfId="3" applyFont="1" applyBorder="1" applyProtection="1">
      <protection hidden="1"/>
    </xf>
    <xf numFmtId="0" fontId="3" fillId="0" borderId="29" xfId="3" applyBorder="1" applyProtection="1">
      <protection hidden="1"/>
    </xf>
    <xf numFmtId="0" fontId="24" fillId="0" borderId="0" xfId="0" applyFont="1"/>
    <xf numFmtId="8" fontId="20" fillId="0" borderId="17" xfId="0" applyNumberFormat="1" applyFont="1" applyBorder="1"/>
    <xf numFmtId="0" fontId="20" fillId="0" borderId="2" xfId="0" applyFont="1" applyBorder="1"/>
    <xf numFmtId="0" fontId="20" fillId="0" borderId="34" xfId="0" applyFont="1" applyBorder="1"/>
    <xf numFmtId="8" fontId="25" fillId="0" borderId="17" xfId="0" applyNumberFormat="1" applyFont="1" applyBorder="1"/>
    <xf numFmtId="8" fontId="20" fillId="0" borderId="38" xfId="0" applyNumberFormat="1" applyFont="1" applyBorder="1"/>
    <xf numFmtId="0" fontId="26" fillId="11" borderId="17" xfId="0" applyFont="1" applyFill="1" applyBorder="1" applyAlignment="1">
      <alignment horizontal="center"/>
    </xf>
    <xf numFmtId="8" fontId="26" fillId="11" borderId="31" xfId="1" applyNumberFormat="1" applyFont="1" applyFill="1" applyBorder="1"/>
    <xf numFmtId="43" fontId="20" fillId="0" borderId="0" xfId="1" applyFont="1" applyBorder="1"/>
    <xf numFmtId="8" fontId="20" fillId="0" borderId="17" xfId="1" applyNumberFormat="1" applyFont="1" applyBorder="1"/>
    <xf numFmtId="8" fontId="20" fillId="0" borderId="38" xfId="1" applyNumberFormat="1" applyFont="1" applyBorder="1"/>
    <xf numFmtId="43" fontId="20" fillId="0" borderId="17" xfId="1" applyFont="1" applyBorder="1"/>
    <xf numFmtId="0" fontId="20" fillId="0" borderId="17" xfId="0" applyFont="1" applyBorder="1"/>
    <xf numFmtId="43" fontId="26" fillId="11" borderId="31" xfId="1" applyFont="1" applyFill="1" applyBorder="1"/>
    <xf numFmtId="171" fontId="20" fillId="0" borderId="17" xfId="1" applyNumberFormat="1" applyFont="1" applyBorder="1"/>
    <xf numFmtId="0" fontId="25" fillId="0" borderId="17" xfId="0" applyFont="1" applyBorder="1" applyAlignment="1">
      <alignment horizontal="center" vertical="center"/>
    </xf>
    <xf numFmtId="43" fontId="20" fillId="0" borderId="17" xfId="1" applyFont="1" applyFill="1" applyBorder="1"/>
    <xf numFmtId="8" fontId="20" fillId="2" borderId="17" xfId="1" applyNumberFormat="1" applyFont="1" applyFill="1" applyBorder="1"/>
    <xf numFmtId="43" fontId="20" fillId="2" borderId="17" xfId="1" applyFont="1" applyFill="1" applyBorder="1"/>
    <xf numFmtId="43" fontId="20" fillId="0" borderId="17" xfId="1" applyFont="1" applyBorder="1" applyAlignment="1">
      <alignment vertical="center" wrapText="1"/>
    </xf>
    <xf numFmtId="43" fontId="26" fillId="0" borderId="17" xfId="1" applyFont="1" applyBorder="1"/>
    <xf numFmtId="0" fontId="26" fillId="0" borderId="17" xfId="0" applyFont="1" applyBorder="1"/>
    <xf numFmtId="8" fontId="27" fillId="0" borderId="0" xfId="1" applyNumberFormat="1" applyFont="1"/>
    <xf numFmtId="171" fontId="26" fillId="11" borderId="31" xfId="1" applyNumberFormat="1" applyFont="1" applyFill="1" applyBorder="1"/>
    <xf numFmtId="0" fontId="20" fillId="0" borderId="0" xfId="0" applyFont="1" applyAlignment="1">
      <alignment vertical="center"/>
    </xf>
    <xf numFmtId="43" fontId="20" fillId="0" borderId="0" xfId="1" applyFont="1" applyAlignment="1">
      <alignment vertical="center"/>
    </xf>
    <xf numFmtId="43" fontId="20" fillId="0" borderId="17" xfId="0" applyNumberFormat="1" applyFont="1" applyBorder="1"/>
    <xf numFmtId="0" fontId="20" fillId="0" borderId="17" xfId="0" applyFont="1" applyBorder="1" applyAlignment="1">
      <alignment vertical="center"/>
    </xf>
    <xf numFmtId="1" fontId="28" fillId="0" borderId="17" xfId="0" applyNumberFormat="1" applyFont="1" applyBorder="1" applyAlignment="1">
      <alignment horizontal="center"/>
    </xf>
    <xf numFmtId="172" fontId="20" fillId="0" borderId="0" xfId="1" applyNumberFormat="1" applyFont="1"/>
    <xf numFmtId="0" fontId="20" fillId="2" borderId="17" xfId="0" applyFont="1" applyFill="1" applyBorder="1"/>
    <xf numFmtId="172" fontId="20" fillId="0" borderId="0" xfId="7" applyNumberFormat="1" applyFont="1"/>
    <xf numFmtId="43" fontId="20" fillId="0" borderId="38" xfId="1" applyFont="1" applyBorder="1"/>
    <xf numFmtId="0" fontId="20" fillId="0" borderId="38" xfId="0" applyFont="1" applyBorder="1"/>
    <xf numFmtId="8" fontId="20" fillId="0" borderId="0" xfId="1" applyNumberFormat="1" applyFont="1"/>
    <xf numFmtId="43" fontId="20" fillId="0" borderId="29" xfId="1" applyFont="1" applyBorder="1"/>
    <xf numFmtId="0" fontId="20" fillId="0" borderId="29" xfId="0" applyFont="1" applyBorder="1"/>
    <xf numFmtId="0" fontId="20" fillId="2" borderId="0" xfId="0" applyFont="1" applyFill="1"/>
    <xf numFmtId="43" fontId="20" fillId="0" borderId="0" xfId="1" applyFont="1" applyFill="1"/>
    <xf numFmtId="8" fontId="26" fillId="0" borderId="31" xfId="0" applyNumberFormat="1" applyFont="1" applyBorder="1"/>
    <xf numFmtId="43" fontId="26" fillId="0" borderId="31" xfId="0" applyNumberFormat="1" applyFont="1" applyBorder="1"/>
    <xf numFmtId="8" fontId="25" fillId="0" borderId="29" xfId="0" applyNumberFormat="1" applyFont="1" applyBorder="1"/>
    <xf numFmtId="43" fontId="29" fillId="0" borderId="38" xfId="1" applyFont="1" applyBorder="1"/>
    <xf numFmtId="43" fontId="20" fillId="2" borderId="0" xfId="1" applyFont="1" applyFill="1"/>
    <xf numFmtId="43" fontId="20" fillId="0" borderId="39" xfId="1" applyFont="1" applyBorder="1"/>
    <xf numFmtId="0" fontId="20" fillId="0" borderId="39" xfId="0" applyFont="1" applyBorder="1"/>
    <xf numFmtId="8" fontId="20" fillId="14" borderId="31" xfId="1" applyNumberFormat="1" applyFont="1" applyFill="1" applyBorder="1"/>
    <xf numFmtId="43" fontId="20" fillId="14" borderId="31" xfId="1" applyFont="1" applyFill="1" applyBorder="1"/>
    <xf numFmtId="8" fontId="20" fillId="14" borderId="32" xfId="1" applyNumberFormat="1" applyFont="1" applyFill="1" applyBorder="1"/>
    <xf numFmtId="43" fontId="20" fillId="14" borderId="32" xfId="1" applyFont="1" applyFill="1" applyBorder="1"/>
    <xf numFmtId="43" fontId="26" fillId="14" borderId="32" xfId="1" applyFont="1" applyFill="1" applyBorder="1"/>
    <xf numFmtId="43" fontId="26" fillId="14" borderId="31" xfId="1" applyFont="1" applyFill="1" applyBorder="1"/>
    <xf numFmtId="1" fontId="28" fillId="0" borderId="29" xfId="0" applyNumberFormat="1" applyFont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43" fontId="20" fillId="0" borderId="40" xfId="0" applyNumberFormat="1" applyFont="1" applyBorder="1"/>
    <xf numFmtId="1" fontId="28" fillId="2" borderId="29" xfId="0" applyNumberFormat="1" applyFont="1" applyFill="1" applyBorder="1" applyAlignment="1">
      <alignment horizontal="center"/>
    </xf>
    <xf numFmtId="0" fontId="20" fillId="2" borderId="38" xfId="0" applyFont="1" applyFill="1" applyBorder="1"/>
    <xf numFmtId="1" fontId="28" fillId="2" borderId="38" xfId="0" applyNumberFormat="1" applyFont="1" applyFill="1" applyBorder="1" applyAlignment="1">
      <alignment horizontal="center"/>
    </xf>
    <xf numFmtId="0" fontId="26" fillId="14" borderId="10" xfId="0" applyFont="1" applyFill="1" applyBorder="1" applyAlignment="1">
      <alignment vertical="center"/>
    </xf>
    <xf numFmtId="0" fontId="26" fillId="14" borderId="13" xfId="0" applyFont="1" applyFill="1" applyBorder="1" applyAlignment="1">
      <alignment vertical="center"/>
    </xf>
    <xf numFmtId="43" fontId="20" fillId="0" borderId="0" xfId="0" applyNumberFormat="1" applyFont="1" applyAlignment="1">
      <alignment vertical="center"/>
    </xf>
    <xf numFmtId="8" fontId="20" fillId="0" borderId="0" xfId="0" applyNumberFormat="1" applyFont="1" applyAlignment="1">
      <alignment vertical="center"/>
    </xf>
    <xf numFmtId="8" fontId="20" fillId="9" borderId="31" xfId="1" applyNumberFormat="1" applyFont="1" applyFill="1" applyBorder="1"/>
    <xf numFmtId="8" fontId="26" fillId="9" borderId="31" xfId="1" applyNumberFormat="1" applyFont="1" applyFill="1" applyBorder="1"/>
    <xf numFmtId="43" fontId="26" fillId="9" borderId="31" xfId="1" applyFont="1" applyFill="1" applyBorder="1"/>
    <xf numFmtId="8" fontId="29" fillId="0" borderId="17" xfId="0" applyNumberFormat="1" applyFont="1" applyBorder="1"/>
    <xf numFmtId="0" fontId="20" fillId="2" borderId="17" xfId="0" applyFont="1" applyFill="1" applyBorder="1" applyAlignment="1">
      <alignment vertical="center"/>
    </xf>
    <xf numFmtId="1" fontId="28" fillId="2" borderId="1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38" xfId="0" applyNumberFormat="1" applyFont="1" applyBorder="1"/>
    <xf numFmtId="43" fontId="20" fillId="0" borderId="17" xfId="0" applyNumberFormat="1" applyFont="1" applyBorder="1" applyAlignment="1">
      <alignment horizontal="right"/>
    </xf>
    <xf numFmtId="0" fontId="20" fillId="0" borderId="38" xfId="0" applyFont="1" applyBorder="1" applyAlignment="1">
      <alignment vertical="center"/>
    </xf>
    <xf numFmtId="1" fontId="28" fillId="0" borderId="38" xfId="0" applyNumberFormat="1" applyFont="1" applyBorder="1" applyAlignment="1">
      <alignment horizontal="center"/>
    </xf>
    <xf numFmtId="0" fontId="26" fillId="9" borderId="10" xfId="0" applyFont="1" applyFill="1" applyBorder="1" applyAlignment="1">
      <alignment vertical="center"/>
    </xf>
    <xf numFmtId="8" fontId="26" fillId="5" borderId="31" xfId="1" applyNumberFormat="1" applyFont="1" applyFill="1" applyBorder="1" applyAlignment="1">
      <alignment horizontal="right"/>
    </xf>
    <xf numFmtId="44" fontId="26" fillId="5" borderId="31" xfId="1" applyNumberFormat="1" applyFont="1" applyFill="1" applyBorder="1" applyAlignment="1">
      <alignment horizontal="right"/>
    </xf>
    <xf numFmtId="43" fontId="26" fillId="5" borderId="31" xfId="1" applyFont="1" applyFill="1" applyBorder="1" applyAlignment="1">
      <alignment horizontal="right"/>
    </xf>
    <xf numFmtId="43" fontId="20" fillId="0" borderId="29" xfId="1" applyFont="1" applyFill="1" applyBorder="1" applyAlignment="1">
      <alignment horizontal="right"/>
    </xf>
    <xf numFmtId="8" fontId="20" fillId="0" borderId="29" xfId="1" applyNumberFormat="1" applyFont="1" applyFill="1" applyBorder="1" applyAlignment="1">
      <alignment horizontal="right"/>
    </xf>
    <xf numFmtId="0" fontId="20" fillId="0" borderId="39" xfId="0" applyFont="1" applyBorder="1" applyAlignment="1">
      <alignment horizontal="center"/>
    </xf>
    <xf numFmtId="0" fontId="20" fillId="2" borderId="29" xfId="0" applyFont="1" applyFill="1" applyBorder="1" applyAlignment="1">
      <alignment vertical="center" wrapText="1"/>
    </xf>
    <xf numFmtId="43" fontId="26" fillId="3" borderId="17" xfId="1" applyFont="1" applyFill="1" applyBorder="1" applyAlignment="1">
      <alignment horizontal="right"/>
    </xf>
    <xf numFmtId="8" fontId="26" fillId="3" borderId="17" xfId="1" applyNumberFormat="1" applyFont="1" applyFill="1" applyBorder="1" applyAlignment="1">
      <alignment horizontal="right"/>
    </xf>
    <xf numFmtId="44" fontId="26" fillId="3" borderId="17" xfId="1" applyNumberFormat="1" applyFont="1" applyFill="1" applyBorder="1" applyAlignment="1">
      <alignment horizontal="right"/>
    </xf>
    <xf numFmtId="173" fontId="20" fillId="0" borderId="29" xfId="0" applyNumberFormat="1" applyFont="1" applyBorder="1"/>
    <xf numFmtId="8" fontId="20" fillId="0" borderId="17" xfId="1" applyNumberFormat="1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173" fontId="20" fillId="0" borderId="17" xfId="0" applyNumberFormat="1" applyFont="1" applyBorder="1"/>
    <xf numFmtId="0" fontId="20" fillId="0" borderId="17" xfId="0" applyFont="1" applyBorder="1" applyAlignment="1">
      <alignment horizontal="center"/>
    </xf>
    <xf numFmtId="8" fontId="26" fillId="5" borderId="17" xfId="0" applyNumberFormat="1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 wrapText="1"/>
    </xf>
    <xf numFmtId="8" fontId="26" fillId="17" borderId="4" xfId="0" applyNumberFormat="1" applyFont="1" applyFill="1" applyBorder="1"/>
    <xf numFmtId="0" fontId="20" fillId="17" borderId="4" xfId="0" applyFont="1" applyFill="1" applyBorder="1"/>
    <xf numFmtId="0" fontId="26" fillId="17" borderId="4" xfId="0" applyFont="1" applyFill="1" applyBorder="1" applyAlignment="1">
      <alignment horizontal="center" wrapText="1"/>
    </xf>
    <xf numFmtId="8" fontId="26" fillId="17" borderId="6" xfId="0" applyNumberFormat="1" applyFont="1" applyFill="1" applyBorder="1"/>
    <xf numFmtId="0" fontId="20" fillId="17" borderId="0" xfId="0" applyFont="1" applyFill="1"/>
    <xf numFmtId="0" fontId="26" fillId="17" borderId="0" xfId="0" applyFont="1" applyFill="1" applyAlignment="1">
      <alignment horizontal="center" wrapText="1"/>
    </xf>
    <xf numFmtId="8" fontId="20" fillId="0" borderId="17" xfId="1" applyNumberFormat="1" applyFont="1" applyFill="1" applyBorder="1"/>
    <xf numFmtId="8" fontId="20" fillId="0" borderId="40" xfId="1" applyNumberFormat="1" applyFont="1" applyBorder="1"/>
    <xf numFmtId="8" fontId="20" fillId="0" borderId="41" xfId="1" applyNumberFormat="1" applyFont="1" applyBorder="1"/>
    <xf numFmtId="8" fontId="25" fillId="0" borderId="0" xfId="1" applyNumberFormat="1" applyFont="1" applyFill="1"/>
    <xf numFmtId="8" fontId="26" fillId="5" borderId="17" xfId="1" applyNumberFormat="1" applyFont="1" applyFill="1" applyBorder="1" applyAlignment="1">
      <alignment horizontal="right"/>
    </xf>
    <xf numFmtId="8" fontId="26" fillId="5" borderId="18" xfId="1" applyNumberFormat="1" applyFont="1" applyFill="1" applyBorder="1" applyAlignment="1">
      <alignment horizontal="right"/>
    </xf>
    <xf numFmtId="8" fontId="26" fillId="0" borderId="17" xfId="1" applyNumberFormat="1" applyFont="1" applyBorder="1"/>
    <xf numFmtId="8" fontId="20" fillId="0" borderId="40" xfId="0" applyNumberFormat="1" applyFont="1" applyBorder="1"/>
    <xf numFmtId="8" fontId="32" fillId="2" borderId="41" xfId="1" applyNumberFormat="1" applyFont="1" applyFill="1" applyBorder="1"/>
    <xf numFmtId="8" fontId="32" fillId="2" borderId="38" xfId="1" applyNumberFormat="1" applyFont="1" applyFill="1" applyBorder="1"/>
    <xf numFmtId="43" fontId="32" fillId="2" borderId="38" xfId="1" applyFont="1" applyFill="1" applyBorder="1"/>
    <xf numFmtId="43" fontId="32" fillId="2" borderId="42" xfId="1" applyFont="1" applyFill="1" applyBorder="1"/>
    <xf numFmtId="43" fontId="32" fillId="2" borderId="17" xfId="1" applyFont="1" applyFill="1" applyBorder="1"/>
    <xf numFmtId="173" fontId="32" fillId="2" borderId="17" xfId="1" applyNumberFormat="1" applyFont="1" applyFill="1" applyBorder="1"/>
    <xf numFmtId="0" fontId="32" fillId="0" borderId="17" xfId="0" applyFont="1" applyBorder="1"/>
    <xf numFmtId="43" fontId="26" fillId="14" borderId="16" xfId="1" applyFont="1" applyFill="1" applyBorder="1"/>
    <xf numFmtId="43" fontId="26" fillId="14" borderId="43" xfId="1" applyFont="1" applyFill="1" applyBorder="1"/>
    <xf numFmtId="0" fontId="29" fillId="0" borderId="0" xfId="0" applyFont="1"/>
    <xf numFmtId="43" fontId="29" fillId="0" borderId="0" xfId="1" applyFont="1"/>
    <xf numFmtId="43" fontId="20" fillId="2" borderId="38" xfId="1" applyFont="1" applyFill="1" applyBorder="1"/>
    <xf numFmtId="0" fontId="20" fillId="0" borderId="0" xfId="0" applyFont="1" applyAlignment="1">
      <alignment horizontal="center" vertical="center" wrapText="1"/>
    </xf>
    <xf numFmtId="43" fontId="20" fillId="2" borderId="39" xfId="1" applyFont="1" applyFill="1" applyBorder="1"/>
    <xf numFmtId="8" fontId="20" fillId="2" borderId="39" xfId="1" applyNumberFormat="1" applyFont="1" applyFill="1" applyBorder="1"/>
    <xf numFmtId="8" fontId="20" fillId="0" borderId="39" xfId="1" applyNumberFormat="1" applyFont="1" applyFill="1" applyBorder="1"/>
    <xf numFmtId="0" fontId="26" fillId="14" borderId="31" xfId="0" applyFont="1" applyFill="1" applyBorder="1" applyAlignment="1">
      <alignment vertical="center"/>
    </xf>
    <xf numFmtId="174" fontId="20" fillId="0" borderId="0" xfId="0" applyNumberFormat="1" applyFont="1" applyAlignment="1">
      <alignment vertical="center"/>
    </xf>
    <xf numFmtId="174" fontId="26" fillId="9" borderId="10" xfId="1" applyNumberFormat="1" applyFont="1" applyFill="1" applyBorder="1" applyAlignment="1">
      <alignment vertical="center"/>
    </xf>
    <xf numFmtId="43" fontId="20" fillId="0" borderId="0" xfId="1" applyFont="1" applyFill="1" applyAlignment="1">
      <alignment vertical="center"/>
    </xf>
    <xf numFmtId="173" fontId="20" fillId="0" borderId="0" xfId="0" applyNumberFormat="1" applyFont="1"/>
    <xf numFmtId="173" fontId="32" fillId="5" borderId="31" xfId="1" applyNumberFormat="1" applyFont="1" applyFill="1" applyBorder="1" applyAlignment="1">
      <alignment horizontal="right"/>
    </xf>
    <xf numFmtId="0" fontId="20" fillId="0" borderId="38" xfId="0" applyFont="1" applyBorder="1" applyAlignment="1">
      <alignment horizontal="center"/>
    </xf>
    <xf numFmtId="0" fontId="20" fillId="2" borderId="38" xfId="0" applyFont="1" applyFill="1" applyBorder="1" applyAlignment="1">
      <alignment vertical="center" wrapText="1"/>
    </xf>
    <xf numFmtId="173" fontId="32" fillId="0" borderId="31" xfId="0" applyNumberFormat="1" applyFont="1" applyBorder="1"/>
    <xf numFmtId="8" fontId="32" fillId="0" borderId="31" xfId="0" applyNumberFormat="1" applyFont="1" applyBorder="1"/>
    <xf numFmtId="44" fontId="20" fillId="0" borderId="17" xfId="8" applyFont="1" applyFill="1" applyBorder="1"/>
    <xf numFmtId="0" fontId="26" fillId="0" borderId="0" xfId="0" applyFont="1"/>
    <xf numFmtId="43" fontId="26" fillId="0" borderId="0" xfId="1" applyFont="1" applyFill="1"/>
    <xf numFmtId="0" fontId="33" fillId="0" borderId="4" xfId="0" applyFont="1" applyBorder="1"/>
    <xf numFmtId="0" fontId="29" fillId="0" borderId="0" xfId="0" applyFont="1" applyAlignment="1">
      <alignment horizontal="left"/>
    </xf>
    <xf numFmtId="43" fontId="29" fillId="0" borderId="0" xfId="1" applyFont="1" applyFill="1" applyAlignment="1">
      <alignment horizontal="left"/>
    </xf>
    <xf numFmtId="0" fontId="33" fillId="0" borderId="0" xfId="0" applyFont="1" applyAlignment="1">
      <alignment vertical="center"/>
    </xf>
    <xf numFmtId="8" fontId="33" fillId="0" borderId="0" xfId="0" applyNumberFormat="1" applyFont="1"/>
    <xf numFmtId="0" fontId="33" fillId="0" borderId="0" xfId="0" applyFont="1"/>
    <xf numFmtId="8" fontId="29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4" fontId="18" fillId="0" borderId="4" xfId="1" applyNumberFormat="1" applyFont="1" applyFill="1" applyBorder="1" applyAlignment="1">
      <alignment horizontal="center" vertical="center"/>
    </xf>
    <xf numFmtId="171" fontId="0" fillId="0" borderId="0" xfId="1" applyNumberFormat="1" applyFont="1" applyFill="1"/>
    <xf numFmtId="0" fontId="18" fillId="0" borderId="0" xfId="0" applyFont="1" applyAlignment="1">
      <alignment wrapText="1"/>
    </xf>
    <xf numFmtId="171" fontId="18" fillId="0" borderId="0" xfId="1" applyNumberFormat="1" applyFont="1" applyFill="1"/>
    <xf numFmtId="10" fontId="0" fillId="0" borderId="0" xfId="7" applyNumberFormat="1" applyFont="1" applyFill="1"/>
    <xf numFmtId="0" fontId="0" fillId="0" borderId="0" xfId="0" applyAlignment="1">
      <alignment horizontal="left" wrapText="1"/>
    </xf>
    <xf numFmtId="171" fontId="0" fillId="0" borderId="0" xfId="7" applyNumberFormat="1" applyFont="1" applyFill="1"/>
    <xf numFmtId="0" fontId="18" fillId="0" borderId="0" xfId="0" applyFont="1" applyAlignment="1">
      <alignment horizontal="left" wrapText="1"/>
    </xf>
    <xf numFmtId="171" fontId="18" fillId="0" borderId="3" xfId="1" applyNumberFormat="1" applyFont="1" applyFill="1" applyBorder="1"/>
    <xf numFmtId="43" fontId="18" fillId="0" borderId="0" xfId="0" applyNumberFormat="1" applyFont="1"/>
    <xf numFmtId="8" fontId="0" fillId="0" borderId="0" xfId="7" applyNumberFormat="1" applyFont="1" applyFill="1"/>
    <xf numFmtId="10" fontId="18" fillId="0" borderId="3" xfId="7" applyNumberFormat="1" applyFont="1" applyFill="1" applyBorder="1" applyAlignment="1">
      <alignment horizontal="right" indent="1"/>
    </xf>
    <xf numFmtId="1" fontId="28" fillId="4" borderId="17" xfId="0" applyNumberFormat="1" applyFont="1" applyFill="1" applyBorder="1" applyAlignment="1">
      <alignment horizontal="center"/>
    </xf>
    <xf numFmtId="0" fontId="20" fillId="4" borderId="17" xfId="0" applyFont="1" applyFill="1" applyBorder="1" applyAlignment="1">
      <alignment vertical="center"/>
    </xf>
    <xf numFmtId="43" fontId="20" fillId="4" borderId="17" xfId="0" applyNumberFormat="1" applyFont="1" applyFill="1" applyBorder="1"/>
    <xf numFmtId="173" fontId="20" fillId="4" borderId="17" xfId="0" applyNumberFormat="1" applyFont="1" applyFill="1" applyBorder="1"/>
    <xf numFmtId="0" fontId="20" fillId="4" borderId="17" xfId="0" applyFont="1" applyFill="1" applyBorder="1"/>
    <xf numFmtId="8" fontId="20" fillId="2" borderId="38" xfId="1" applyNumberFormat="1" applyFont="1" applyFill="1" applyBorder="1"/>
    <xf numFmtId="8" fontId="20" fillId="2" borderId="41" xfId="1" applyNumberFormat="1" applyFont="1" applyFill="1" applyBorder="1"/>
    <xf numFmtId="173" fontId="20" fillId="2" borderId="17" xfId="1" applyNumberFormat="1" applyFont="1" applyFill="1" applyBorder="1"/>
    <xf numFmtId="8" fontId="26" fillId="14" borderId="32" xfId="1" applyNumberFormat="1" applyFont="1" applyFill="1" applyBorder="1"/>
    <xf numFmtId="8" fontId="26" fillId="14" borderId="16" xfId="1" applyNumberFormat="1" applyFont="1" applyFill="1" applyBorder="1"/>
    <xf numFmtId="8" fontId="20" fillId="14" borderId="11" xfId="1" applyNumberFormat="1" applyFont="1" applyFill="1" applyBorder="1"/>
    <xf numFmtId="173" fontId="32" fillId="2" borderId="41" xfId="1" applyNumberFormat="1" applyFont="1" applyFill="1" applyBorder="1"/>
    <xf numFmtId="8" fontId="32" fillId="2" borderId="17" xfId="1" applyNumberFormat="1" applyFont="1" applyFill="1" applyBorder="1"/>
    <xf numFmtId="8" fontId="20" fillId="0" borderId="34" xfId="0" applyNumberFormat="1" applyFont="1" applyBorder="1"/>
    <xf numFmtId="8" fontId="26" fillId="0" borderId="34" xfId="1" applyNumberFormat="1" applyFont="1" applyBorder="1"/>
    <xf numFmtId="8" fontId="26" fillId="5" borderId="10" xfId="1" applyNumberFormat="1" applyFont="1" applyFill="1" applyBorder="1" applyAlignment="1">
      <alignment horizontal="right"/>
    </xf>
    <xf numFmtId="8" fontId="20" fillId="0" borderId="34" xfId="1" applyNumberFormat="1" applyFont="1" applyBorder="1"/>
    <xf numFmtId="173" fontId="20" fillId="0" borderId="29" xfId="1" applyNumberFormat="1" applyFont="1" applyFill="1" applyBorder="1" applyAlignment="1">
      <alignment horizontal="right"/>
    </xf>
    <xf numFmtId="8" fontId="20" fillId="0" borderId="0" xfId="1" applyNumberFormat="1" applyFont="1" applyFill="1"/>
    <xf numFmtId="8" fontId="20" fillId="2" borderId="17" xfId="0" applyNumberFormat="1" applyFont="1" applyFill="1" applyBorder="1"/>
    <xf numFmtId="8" fontId="29" fillId="2" borderId="17" xfId="0" applyNumberFormat="1" applyFont="1" applyFill="1" applyBorder="1"/>
    <xf numFmtId="8" fontId="20" fillId="0" borderId="0" xfId="1" applyNumberFormat="1" applyFont="1" applyAlignment="1">
      <alignment vertical="center"/>
    </xf>
    <xf numFmtId="173" fontId="20" fillId="2" borderId="39" xfId="1" applyNumberFormat="1" applyFont="1" applyFill="1" applyBorder="1"/>
    <xf numFmtId="8" fontId="26" fillId="14" borderId="31" xfId="1" applyNumberFormat="1" applyFont="1" applyFill="1" applyBorder="1"/>
    <xf numFmtId="8" fontId="20" fillId="2" borderId="0" xfId="1" applyNumberFormat="1" applyFont="1" applyFill="1"/>
    <xf numFmtId="173" fontId="20" fillId="0" borderId="17" xfId="1" applyNumberFormat="1" applyFont="1" applyBorder="1"/>
    <xf numFmtId="8" fontId="20" fillId="0" borderId="29" xfId="1" applyNumberFormat="1" applyFont="1" applyBorder="1"/>
    <xf numFmtId="43" fontId="26" fillId="4" borderId="31" xfId="0" applyNumberFormat="1" applyFont="1" applyFill="1" applyBorder="1"/>
    <xf numFmtId="43" fontId="20" fillId="4" borderId="17" xfId="1" applyFont="1" applyFill="1" applyBorder="1"/>
    <xf numFmtId="8" fontId="25" fillId="4" borderId="29" xfId="0" applyNumberFormat="1" applyFont="1" applyFill="1" applyBorder="1"/>
    <xf numFmtId="8" fontId="20" fillId="4" borderId="17" xfId="0" applyNumberFormat="1" applyFont="1" applyFill="1" applyBorder="1"/>
    <xf numFmtId="8" fontId="18" fillId="0" borderId="0" xfId="0" applyNumberFormat="1" applyFont="1"/>
    <xf numFmtId="43" fontId="29" fillId="0" borderId="0" xfId="1" applyFont="1" applyFill="1"/>
    <xf numFmtId="43" fontId="26" fillId="2" borderId="0" xfId="1" applyFont="1" applyFill="1"/>
    <xf numFmtId="43" fontId="26" fillId="0" borderId="0" xfId="0" applyNumberFormat="1" applyFont="1" applyAlignment="1">
      <alignment vertical="center"/>
    </xf>
    <xf numFmtId="43" fontId="20" fillId="4" borderId="0" xfId="0" applyNumberFormat="1" applyFont="1" applyFill="1" applyAlignment="1">
      <alignment vertical="center"/>
    </xf>
    <xf numFmtId="170" fontId="18" fillId="0" borderId="0" xfId="1" applyNumberFormat="1" applyFont="1" applyFill="1"/>
    <xf numFmtId="170" fontId="18" fillId="0" borderId="0" xfId="0" applyNumberFormat="1" applyFont="1"/>
    <xf numFmtId="170" fontId="0" fillId="0" borderId="0" xfId="1" applyNumberFormat="1" applyFont="1" applyFill="1"/>
    <xf numFmtId="170" fontId="18" fillId="0" borderId="3" xfId="1" applyNumberFormat="1" applyFont="1" applyFill="1" applyBorder="1"/>
    <xf numFmtId="170" fontId="0" fillId="0" borderId="0" xfId="7" applyNumberFormat="1" applyFont="1" applyFill="1"/>
    <xf numFmtId="170" fontId="0" fillId="0" borderId="0" xfId="0" applyNumberFormat="1"/>
    <xf numFmtId="171" fontId="0" fillId="0" borderId="0" xfId="1" applyNumberFormat="1" applyFont="1" applyFill="1" applyBorder="1"/>
    <xf numFmtId="0" fontId="6" fillId="0" borderId="44" xfId="0" applyFont="1" applyBorder="1"/>
    <xf numFmtId="0" fontId="6" fillId="18" borderId="0" xfId="0" applyFont="1" applyFill="1" applyAlignment="1">
      <alignment horizontal="center" vertical="center"/>
    </xf>
    <xf numFmtId="0" fontId="6" fillId="18" borderId="0" xfId="0" applyFont="1" applyFill="1" applyAlignment="1">
      <alignment vertical="center"/>
    </xf>
    <xf numFmtId="0" fontId="7" fillId="18" borderId="1" xfId="0" applyFont="1" applyFill="1" applyBorder="1" applyAlignment="1">
      <alignment horizontal="right" vertical="center" wrapText="1"/>
    </xf>
    <xf numFmtId="0" fontId="12" fillId="18" borderId="19" xfId="0" applyFont="1" applyFill="1" applyBorder="1" applyAlignment="1">
      <alignment horizontal="right" vertical="center" wrapText="1"/>
    </xf>
    <xf numFmtId="0" fontId="7" fillId="18" borderId="45" xfId="0" applyFont="1" applyFill="1" applyBorder="1" applyAlignment="1">
      <alignment horizontal="right" vertical="center" wrapText="1"/>
    </xf>
    <xf numFmtId="170" fontId="6" fillId="18" borderId="5" xfId="0" applyNumberFormat="1" applyFont="1" applyFill="1" applyBorder="1" applyAlignment="1">
      <alignment horizontal="right" vertical="center" wrapText="1"/>
    </xf>
    <xf numFmtId="170" fontId="6" fillId="18" borderId="46" xfId="0" applyNumberFormat="1" applyFont="1" applyFill="1" applyBorder="1" applyAlignment="1">
      <alignment horizontal="right" vertical="center" wrapText="1"/>
    </xf>
    <xf numFmtId="170" fontId="6" fillId="18" borderId="0" xfId="0" applyNumberFormat="1" applyFont="1" applyFill="1" applyAlignment="1">
      <alignment horizontal="right" vertical="center" wrapText="1"/>
    </xf>
    <xf numFmtId="170" fontId="6" fillId="18" borderId="44" xfId="0" applyNumberFormat="1" applyFont="1" applyFill="1" applyBorder="1" applyAlignment="1">
      <alignment horizontal="right" vertical="center" wrapText="1"/>
    </xf>
    <xf numFmtId="170" fontId="6" fillId="18" borderId="1" xfId="0" applyNumberFormat="1" applyFont="1" applyFill="1" applyBorder="1" applyAlignment="1">
      <alignment horizontal="right" vertical="center" wrapText="1"/>
    </xf>
    <xf numFmtId="170" fontId="6" fillId="18" borderId="45" xfId="0" applyNumberFormat="1" applyFont="1" applyFill="1" applyBorder="1" applyAlignment="1">
      <alignment horizontal="right" vertical="center" wrapText="1"/>
    </xf>
    <xf numFmtId="0" fontId="12" fillId="18" borderId="0" xfId="0" applyFont="1" applyFill="1" applyAlignment="1">
      <alignment vertical="center"/>
    </xf>
    <xf numFmtId="170" fontId="12" fillId="18" borderId="0" xfId="0" applyNumberFormat="1" applyFont="1" applyFill="1" applyAlignment="1">
      <alignment horizontal="right" vertical="center" wrapText="1"/>
    </xf>
    <xf numFmtId="170" fontId="12" fillId="18" borderId="44" xfId="0" applyNumberFormat="1" applyFont="1" applyFill="1" applyBorder="1" applyAlignment="1">
      <alignment horizontal="right" vertical="center" wrapText="1"/>
    </xf>
    <xf numFmtId="171" fontId="6" fillId="18" borderId="0" xfId="0" applyNumberFormat="1" applyFont="1" applyFill="1" applyAlignment="1">
      <alignment horizontal="right" vertical="center" wrapText="1"/>
    </xf>
    <xf numFmtId="171" fontId="6" fillId="18" borderId="44" xfId="0" applyNumberFormat="1" applyFont="1" applyFill="1" applyBorder="1" applyAlignment="1">
      <alignment horizontal="right" vertical="center" wrapText="1"/>
    </xf>
    <xf numFmtId="0" fontId="12" fillId="18" borderId="0" xfId="0" applyFont="1" applyFill="1" applyAlignment="1">
      <alignment horizontal="right" vertical="center" wrapText="1"/>
    </xf>
    <xf numFmtId="0" fontId="12" fillId="18" borderId="44" xfId="0" applyFont="1" applyFill="1" applyBorder="1" applyAlignment="1">
      <alignment horizontal="right" vertical="center" wrapText="1"/>
    </xf>
    <xf numFmtId="9" fontId="12" fillId="18" borderId="0" xfId="0" applyNumberFormat="1" applyFont="1" applyFill="1" applyAlignment="1">
      <alignment horizontal="right" vertical="center" wrapText="1"/>
    </xf>
    <xf numFmtId="0" fontId="12" fillId="18" borderId="1" xfId="0" applyFont="1" applyFill="1" applyBorder="1" applyAlignment="1">
      <alignment horizontal="right" vertical="center" wrapText="1"/>
    </xf>
    <xf numFmtId="0" fontId="12" fillId="18" borderId="45" xfId="0" applyFont="1" applyFill="1" applyBorder="1" applyAlignment="1">
      <alignment horizontal="right" vertical="center" wrapText="1"/>
    </xf>
    <xf numFmtId="170" fontId="12" fillId="18" borderId="1" xfId="0" applyNumberFormat="1" applyFont="1" applyFill="1" applyBorder="1" applyAlignment="1">
      <alignment horizontal="right" vertical="center" wrapText="1"/>
    </xf>
    <xf numFmtId="170" fontId="12" fillId="18" borderId="45" xfId="0" applyNumberFormat="1" applyFont="1" applyFill="1" applyBorder="1" applyAlignment="1">
      <alignment horizontal="right" vertical="center" wrapText="1"/>
    </xf>
    <xf numFmtId="14" fontId="0" fillId="4" borderId="0" xfId="0" applyNumberFormat="1" applyFill="1"/>
    <xf numFmtId="4" fontId="0" fillId="4" borderId="0" xfId="0" applyNumberFormat="1" applyFill="1"/>
    <xf numFmtId="0" fontId="0" fillId="19" borderId="0" xfId="0" applyFill="1"/>
    <xf numFmtId="4" fontId="0" fillId="19" borderId="0" xfId="0" applyNumberFormat="1" applyFill="1"/>
    <xf numFmtId="0" fontId="18" fillId="19" borderId="0" xfId="0" applyFont="1" applyFill="1"/>
    <xf numFmtId="4" fontId="18" fillId="4" borderId="0" xfId="0" applyNumberFormat="1" applyFont="1" applyFill="1"/>
    <xf numFmtId="4" fontId="18" fillId="19" borderId="0" xfId="0" applyNumberFormat="1" applyFont="1" applyFill="1"/>
    <xf numFmtId="43" fontId="0" fillId="4" borderId="0" xfId="0" applyNumberFormat="1" applyFill="1"/>
    <xf numFmtId="14" fontId="0" fillId="13" borderId="0" xfId="0" applyNumberFormat="1" applyFill="1"/>
    <xf numFmtId="4" fontId="0" fillId="13" borderId="0" xfId="0" applyNumberFormat="1" applyFill="1"/>
    <xf numFmtId="43" fontId="0" fillId="13" borderId="0" xfId="0" applyNumberFormat="1" applyFill="1"/>
    <xf numFmtId="164" fontId="5" fillId="0" borderId="7" xfId="4" applyNumberFormat="1" applyFont="1" applyBorder="1" applyAlignment="1">
      <alignment horizontal="right" wrapText="1"/>
    </xf>
    <xf numFmtId="14" fontId="0" fillId="20" borderId="0" xfId="0" applyNumberFormat="1" applyFill="1"/>
    <xf numFmtId="0" fontId="0" fillId="20" borderId="0" xfId="0" applyFill="1"/>
    <xf numFmtId="4" fontId="0" fillId="20" borderId="0" xfId="0" applyNumberFormat="1" applyFill="1"/>
    <xf numFmtId="4" fontId="0" fillId="12" borderId="0" xfId="0" applyNumberFormat="1" applyFill="1"/>
    <xf numFmtId="0" fontId="0" fillId="21" borderId="0" xfId="0" applyFill="1"/>
    <xf numFmtId="4" fontId="0" fillId="21" borderId="0" xfId="0" applyNumberFormat="1" applyFill="1"/>
    <xf numFmtId="9" fontId="0" fillId="0" borderId="0" xfId="0" applyNumberFormat="1"/>
    <xf numFmtId="0" fontId="18" fillId="3" borderId="0" xfId="0" applyFont="1" applyFill="1"/>
    <xf numFmtId="11" fontId="0" fillId="0" borderId="0" xfId="0" applyNumberFormat="1" applyAlignment="1">
      <alignment horizontal="left"/>
    </xf>
    <xf numFmtId="43" fontId="14" fillId="0" borderId="0" xfId="0" applyNumberFormat="1" applyFont="1"/>
    <xf numFmtId="43" fontId="13" fillId="0" borderId="0" xfId="0" applyNumberFormat="1" applyFont="1"/>
    <xf numFmtId="166" fontId="3" fillId="0" borderId="4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71" fontId="0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0" fillId="21" borderId="0" xfId="0" applyFill="1" applyAlignment="1">
      <alignment horizontal="left"/>
    </xf>
    <xf numFmtId="43" fontId="0" fillId="21" borderId="0" xfId="1" applyFont="1" applyFill="1"/>
    <xf numFmtId="43" fontId="13" fillId="21" borderId="0" xfId="0" applyNumberFormat="1" applyFont="1" applyFill="1"/>
    <xf numFmtId="0" fontId="18" fillId="21" borderId="0" xfId="0" applyFont="1" applyFill="1"/>
    <xf numFmtId="0" fontId="18" fillId="21" borderId="0" xfId="0" applyFont="1" applyFill="1" applyAlignment="1">
      <alignment horizontal="left"/>
    </xf>
    <xf numFmtId="43" fontId="18" fillId="21" borderId="0" xfId="1" applyFont="1" applyFill="1"/>
    <xf numFmtId="43" fontId="14" fillId="21" borderId="0" xfId="0" applyNumberFormat="1" applyFont="1" applyFill="1"/>
    <xf numFmtId="0" fontId="8" fillId="0" borderId="32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7" fillId="0" borderId="47" xfId="0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3" fontId="8" fillId="0" borderId="48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3" fontId="8" fillId="0" borderId="50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51" xfId="0" applyNumberFormat="1" applyFont="1" applyBorder="1" applyAlignment="1">
      <alignment horizontal="right" vertical="center"/>
    </xf>
    <xf numFmtId="43" fontId="20" fillId="2" borderId="17" xfId="1" applyNumberFormat="1" applyFont="1" applyFill="1" applyBorder="1"/>
    <xf numFmtId="14" fontId="18" fillId="0" borderId="0" xfId="1" applyNumberFormat="1" applyFont="1" applyFill="1" applyBorder="1" applyAlignment="1">
      <alignment horizontal="center" vertical="center"/>
    </xf>
    <xf numFmtId="171" fontId="18" fillId="0" borderId="0" xfId="1" applyNumberFormat="1" applyFont="1" applyFill="1" applyBorder="1"/>
    <xf numFmtId="10" fontId="18" fillId="0" borderId="0" xfId="7" applyNumberFormat="1" applyFont="1" applyFill="1" applyBorder="1" applyAlignment="1">
      <alignment horizontal="right" indent="1"/>
    </xf>
    <xf numFmtId="170" fontId="18" fillId="0" borderId="0" xfId="1" applyNumberFormat="1" applyFont="1" applyFill="1" applyBorder="1"/>
    <xf numFmtId="171" fontId="18" fillId="22" borderId="0" xfId="1" applyNumberFormat="1" applyFont="1" applyFill="1"/>
    <xf numFmtId="171" fontId="0" fillId="22" borderId="0" xfId="1" applyNumberFormat="1" applyFont="1" applyFill="1"/>
    <xf numFmtId="0" fontId="0" fillId="0" borderId="0" xfId="0" applyFill="1"/>
    <xf numFmtId="43" fontId="26" fillId="12" borderId="0" xfId="1" applyFont="1" applyFill="1"/>
    <xf numFmtId="43" fontId="26" fillId="12" borderId="0" xfId="1" applyFont="1" applyFill="1" applyAlignment="1">
      <alignment vertical="center"/>
    </xf>
    <xf numFmtId="43" fontId="20" fillId="12" borderId="17" xfId="0" applyNumberFormat="1" applyFont="1" applyFill="1" applyBorder="1"/>
    <xf numFmtId="170" fontId="18" fillId="12" borderId="0" xfId="1" applyNumberFormat="1" applyFont="1" applyFill="1"/>
    <xf numFmtId="170" fontId="0" fillId="12" borderId="0" xfId="1" applyNumberFormat="1" applyFont="1" applyFill="1"/>
    <xf numFmtId="170" fontId="6" fillId="12" borderId="44" xfId="0" applyNumberFormat="1" applyFont="1" applyFill="1" applyBorder="1" applyAlignment="1">
      <alignment horizontal="right" vertical="center" wrapText="1"/>
    </xf>
    <xf numFmtId="170" fontId="12" fillId="12" borderId="0" xfId="0" applyNumberFormat="1" applyFont="1" applyFill="1" applyAlignment="1">
      <alignment horizontal="right" vertical="center" wrapText="1"/>
    </xf>
    <xf numFmtId="170" fontId="6" fillId="12" borderId="0" xfId="0" applyNumberFormat="1" applyFont="1" applyFill="1" applyAlignment="1">
      <alignment horizontal="right" vertical="center" wrapText="1"/>
    </xf>
    <xf numFmtId="170" fontId="18" fillId="12" borderId="0" xfId="0" applyNumberFormat="1" applyFont="1" applyFill="1"/>
    <xf numFmtId="171" fontId="0" fillId="12" borderId="0" xfId="7" applyNumberFormat="1" applyFont="1" applyFill="1"/>
    <xf numFmtId="171" fontId="18" fillId="12" borderId="0" xfId="1" applyNumberFormat="1" applyFont="1" applyFill="1"/>
    <xf numFmtId="170" fontId="0" fillId="3" borderId="0" xfId="1" applyNumberFormat="1" applyFont="1" applyFill="1"/>
    <xf numFmtId="171" fontId="0" fillId="3" borderId="0" xfId="7" applyNumberFormat="1" applyFont="1" applyFill="1"/>
    <xf numFmtId="4" fontId="34" fillId="0" borderId="0" xfId="0" applyNumberFormat="1" applyFont="1"/>
    <xf numFmtId="0" fontId="34" fillId="0" borderId="0" xfId="0" applyFont="1"/>
    <xf numFmtId="14" fontId="34" fillId="0" borderId="0" xfId="0" applyNumberFormat="1" applyFont="1"/>
    <xf numFmtId="0" fontId="0" fillId="23" borderId="0" xfId="0" applyFill="1" applyAlignment="1">
      <alignment horizontal="left"/>
    </xf>
    <xf numFmtId="0" fontId="0" fillId="23" borderId="0" xfId="0" applyFill="1"/>
    <xf numFmtId="43" fontId="0" fillId="23" borderId="0" xfId="1" applyFont="1" applyFill="1"/>
    <xf numFmtId="43" fontId="13" fillId="23" borderId="0" xfId="0" applyNumberFormat="1" applyFont="1" applyFill="1"/>
    <xf numFmtId="0" fontId="13" fillId="23" borderId="0" xfId="0" applyFont="1" applyFill="1"/>
    <xf numFmtId="0" fontId="18" fillId="23" borderId="0" xfId="0" applyFont="1" applyFill="1" applyAlignment="1">
      <alignment horizontal="left"/>
    </xf>
    <xf numFmtId="0" fontId="18" fillId="23" borderId="0" xfId="0" applyFont="1" applyFill="1"/>
    <xf numFmtId="43" fontId="18" fillId="23" borderId="0" xfId="1" applyFont="1" applyFill="1"/>
    <xf numFmtId="43" fontId="14" fillId="23" borderId="0" xfId="0" applyNumberFormat="1" applyFont="1" applyFill="1"/>
    <xf numFmtId="0" fontId="34" fillId="0" borderId="0" xfId="0" applyFont="1" applyAlignment="1">
      <alignment horizontal="left"/>
    </xf>
    <xf numFmtId="43" fontId="34" fillId="0" borderId="0" xfId="1" applyFont="1" applyFill="1"/>
    <xf numFmtId="43" fontId="35" fillId="0" borderId="0" xfId="0" applyNumberFormat="1" applyFont="1"/>
    <xf numFmtId="0" fontId="34" fillId="21" borderId="0" xfId="0" applyFont="1" applyFill="1" applyAlignment="1">
      <alignment horizontal="left"/>
    </xf>
    <xf numFmtId="0" fontId="34" fillId="21" borderId="0" xfId="0" applyFont="1" applyFill="1"/>
    <xf numFmtId="43" fontId="34" fillId="21" borderId="0" xfId="1" applyFont="1" applyFill="1"/>
    <xf numFmtId="43" fontId="35" fillId="21" borderId="0" xfId="0" applyNumberFormat="1" applyFont="1" applyFill="1"/>
    <xf numFmtId="0" fontId="36" fillId="21" borderId="0" xfId="0" applyFont="1" applyFill="1"/>
    <xf numFmtId="0" fontId="18" fillId="14" borderId="0" xfId="0" applyFont="1" applyFill="1"/>
    <xf numFmtId="0" fontId="0" fillId="24" borderId="0" xfId="0" applyFill="1"/>
    <xf numFmtId="14" fontId="0" fillId="24" borderId="0" xfId="0" applyNumberFormat="1" applyFill="1"/>
    <xf numFmtId="4" fontId="0" fillId="24" borderId="0" xfId="0" applyNumberFormat="1" applyFill="1"/>
    <xf numFmtId="4" fontId="0" fillId="0" borderId="0" xfId="0" applyNumberForma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6" fillId="11" borderId="18" xfId="0" applyFont="1" applyFill="1" applyBorder="1" applyAlignment="1">
      <alignment horizontal="center"/>
    </xf>
    <xf numFmtId="0" fontId="26" fillId="11" borderId="19" xfId="0" applyFont="1" applyFill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0" fontId="5" fillId="0" borderId="36" xfId="3" applyFont="1" applyBorder="1" applyAlignment="1" applyProtection="1">
      <alignment horizontal="center"/>
      <protection hidden="1"/>
    </xf>
    <xf numFmtId="0" fontId="5" fillId="0" borderId="8" xfId="3" applyFont="1" applyBorder="1" applyAlignment="1" applyProtection="1">
      <alignment horizontal="center"/>
      <protection hidden="1"/>
    </xf>
    <xf numFmtId="0" fontId="26" fillId="2" borderId="18" xfId="0" applyFont="1" applyFill="1" applyBorder="1" applyAlignment="1">
      <alignment horizontal="left"/>
    </xf>
    <xf numFmtId="0" fontId="26" fillId="2" borderId="19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26" fillId="11" borderId="10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center"/>
    </xf>
    <xf numFmtId="0" fontId="26" fillId="5" borderId="19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6" fillId="14" borderId="16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center" vertical="center"/>
    </xf>
    <xf numFmtId="0" fontId="26" fillId="14" borderId="18" xfId="0" applyFont="1" applyFill="1" applyBorder="1" applyAlignment="1">
      <alignment horizontal="center" vertical="center"/>
    </xf>
    <xf numFmtId="0" fontId="26" fillId="14" borderId="19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171" fontId="0" fillId="0" borderId="4" xfId="1" applyNumberFormat="1" applyFont="1" applyFill="1" applyBorder="1" applyAlignment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  <xf numFmtId="14" fontId="12" fillId="18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14" fontId="12" fillId="18" borderId="4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12" fillId="0" borderId="0" xfId="1" applyFont="1" applyFill="1" applyAlignment="1">
      <alignment horizontal="center" vertical="center" wrapText="1"/>
    </xf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horizontal="right" vertical="center"/>
    </xf>
    <xf numFmtId="0" fontId="19" fillId="5" borderId="0" xfId="0" applyFont="1" applyFill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</cellXfs>
  <cellStyles count="11">
    <cellStyle name="Moeda" xfId="8" builtinId="4"/>
    <cellStyle name="Normal" xfId="0" builtinId="0"/>
    <cellStyle name="Normal 2" xfId="3"/>
    <cellStyle name="Normal 4" xfId="4"/>
    <cellStyle name="Porcentagem" xfId="7" builtinId="5"/>
    <cellStyle name="Vírgula" xfId="1" builtinId="3"/>
    <cellStyle name="Vírgula 2" xfId="5"/>
    <cellStyle name="Vírgula 2 2" xfId="2"/>
    <cellStyle name="Vírgula 2 2 2" xfId="6"/>
    <cellStyle name="Vírgula 2 2 3" xfId="10"/>
    <cellStyle name="Vírgula 2 3" xfId="9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814916</xdr:colOff>
      <xdr:row>1</xdr:row>
      <xdr:rowOff>31751</xdr:rowOff>
    </xdr:from>
    <xdr:ext cx="1164167" cy="422578"/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" y="222251"/>
          <a:ext cx="1164167" cy="42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814916</xdr:colOff>
      <xdr:row>1</xdr:row>
      <xdr:rowOff>31751</xdr:rowOff>
    </xdr:from>
    <xdr:to>
      <xdr:col>0</xdr:col>
      <xdr:colOff>1979083</xdr:colOff>
      <xdr:row>2</xdr:row>
      <xdr:rowOff>193525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6" y="250826"/>
          <a:ext cx="1164167" cy="41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Atuais/EPE/2023/Contabil/Demonstra&#231;&#245;es%20Financeiras/2%20-%20Trimestral/1&#186;%20Trimestre%202023/Material%20de%20apoio/C&#243;pia%20de%204Q.2023_Quadros%20DF%20-%20EPE_09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Atuais/EPE/2023/Contabil/Analise/6.Junho/Apura&#231;&#227;o%20de%20IRPJ%20e%20CSLL/363-IRPJAP-06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sael\Downloads\363-CSLLAP-09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Atuais/EPE/2022/Contabil/Demonstra&#231;&#245;es%20Financeiras/02%20-%20Trimestrais/3&#186;%20Trim/Relat&#243;rios%20cont&#225;beis%20de%20report/C&#243;pia%20de%203Q.2022_Quadros%20DF%20-%20EPE_09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PL"/>
      <sheetName val="Balancete 03.2023"/>
      <sheetName val="BP"/>
      <sheetName val="DRE"/>
      <sheetName val="DMPL"/>
      <sheetName val="DRA"/>
      <sheetName val="DVA "/>
      <sheetName val="DFC"/>
      <sheetName val="DF's"/>
      <sheetName val="Mov imob"/>
      <sheetName val="Depósitos judiciais"/>
      <sheetName val="Impostos a recuperar"/>
      <sheetName val="Instrumentos financeiros "/>
      <sheetName val="Razão Provisões p. Contigências"/>
      <sheetName val="Depositos judiciais"/>
    </sheetNames>
    <sheetDataSet>
      <sheetData sheetId="0" refreshError="1"/>
      <sheetData sheetId="1" refreshError="1"/>
      <sheetData sheetId="2">
        <row r="1408">
          <cell r="H1408">
            <v>0</v>
          </cell>
        </row>
        <row r="1415">
          <cell r="H1415">
            <v>0</v>
          </cell>
        </row>
      </sheetData>
      <sheetData sheetId="3">
        <row r="2">
          <cell r="B2" t="str">
            <v>Empresa de Pesquisa Energética - EPE</v>
          </cell>
        </row>
        <row r="3">
          <cell r="B3" t="str">
            <v>CNPJ 06.977.747/0001-80</v>
          </cell>
        </row>
        <row r="5">
          <cell r="B5" t="str">
            <v>(em milhares de reais)</v>
          </cell>
        </row>
        <row r="54">
          <cell r="B54" t="str">
            <v>As Notas Explicativas são parte integrante das Demonstrações Financeiras intermediáriais.</v>
          </cell>
        </row>
      </sheetData>
      <sheetData sheetId="4">
        <row r="56">
          <cell r="E56">
            <v>2100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lanilha1"/>
      <sheetName val="IRPJ_CSLL_2021"/>
      <sheetName val="12.2021"/>
      <sheetName val="11.2021"/>
      <sheetName val="10.2021"/>
      <sheetName val="01.2022"/>
      <sheetName val="02.2022"/>
      <sheetName val="EPE (2)"/>
      <sheetName val="IRPJ_CSLL_2022"/>
      <sheetName val="IRPJ_CSLL_2023"/>
      <sheetName val="06.2023"/>
      <sheetName val="EPE (3)"/>
      <sheetName val="05.2023"/>
      <sheetName val="04.2023"/>
      <sheetName val="03.2023"/>
      <sheetName val="02.2023"/>
      <sheetName val="01.2023"/>
      <sheetName val="12.2022"/>
      <sheetName val="11.2022"/>
      <sheetName val="10.2022"/>
      <sheetName val="09.2022"/>
      <sheetName val="08.2022"/>
      <sheetName val="07.2022"/>
      <sheetName val="06.2022"/>
      <sheetName val="05.2022"/>
      <sheetName val="07.2020"/>
      <sheetName val="08.2020"/>
      <sheetName val="Plan1"/>
      <sheetName val="03.2022"/>
      <sheetName val="04.2022"/>
      <sheetName val="06.2021"/>
      <sheetName val="07.2021"/>
      <sheetName val="08.2021"/>
      <sheetName val="09.2021"/>
    </sheetNames>
    <sheetDataSet>
      <sheetData sheetId="0"/>
      <sheetData sheetId="1">
        <row r="19">
          <cell r="C19">
            <v>-3294139.71</v>
          </cell>
        </row>
      </sheetData>
      <sheetData sheetId="2"/>
      <sheetData sheetId="3">
        <row r="210">
          <cell r="G210"/>
        </row>
      </sheetData>
      <sheetData sheetId="4"/>
      <sheetData sheetId="5"/>
      <sheetData sheetId="6">
        <row r="1348">
          <cell r="G1348">
            <v>-9473052.0600000005</v>
          </cell>
        </row>
        <row r="1398">
          <cell r="G1398">
            <v>0</v>
          </cell>
        </row>
        <row r="1399">
          <cell r="G1399">
            <v>0</v>
          </cell>
        </row>
        <row r="1400">
          <cell r="G1400">
            <v>0</v>
          </cell>
        </row>
        <row r="1427">
          <cell r="G1427">
            <v>8384058.8799999999</v>
          </cell>
        </row>
        <row r="1441">
          <cell r="G1441">
            <v>0</v>
          </cell>
        </row>
        <row r="1442">
          <cell r="G1442">
            <v>2089.2199999999998</v>
          </cell>
        </row>
        <row r="1443">
          <cell r="G1443">
            <v>0</v>
          </cell>
        </row>
        <row r="1455">
          <cell r="G1455">
            <v>149383.69</v>
          </cell>
        </row>
        <row r="1463">
          <cell r="G1463">
            <v>438</v>
          </cell>
        </row>
        <row r="1557">
          <cell r="G1557">
            <v>0</v>
          </cell>
        </row>
        <row r="1580">
          <cell r="G1580">
            <v>0</v>
          </cell>
        </row>
        <row r="1581">
          <cell r="G1581">
            <v>0</v>
          </cell>
        </row>
        <row r="1595">
          <cell r="G1595">
            <v>67552.81</v>
          </cell>
        </row>
        <row r="1603">
          <cell r="G1603">
            <v>663</v>
          </cell>
        </row>
        <row r="1673">
          <cell r="G1673">
            <v>0</v>
          </cell>
        </row>
        <row r="1674">
          <cell r="G1674">
            <v>0</v>
          </cell>
        </row>
        <row r="1675">
          <cell r="G1675">
            <v>0</v>
          </cell>
        </row>
        <row r="1711">
          <cell r="G1711">
            <v>20649</v>
          </cell>
        </row>
        <row r="1728">
          <cell r="G1728">
            <v>134429.18</v>
          </cell>
        </row>
        <row r="1729">
          <cell r="G1729">
            <v>0</v>
          </cell>
        </row>
      </sheetData>
      <sheetData sheetId="7">
        <row r="1355">
          <cell r="G1355">
            <v>-19581925.629999999</v>
          </cell>
        </row>
        <row r="1405">
          <cell r="G1405">
            <v>0</v>
          </cell>
        </row>
        <row r="1406">
          <cell r="G1406">
            <v>0</v>
          </cell>
        </row>
        <row r="1407">
          <cell r="G1407">
            <v>0</v>
          </cell>
        </row>
        <row r="1434">
          <cell r="G1434">
            <v>17552573.829999998</v>
          </cell>
        </row>
        <row r="1448">
          <cell r="G1448">
            <v>0</v>
          </cell>
        </row>
        <row r="1449">
          <cell r="G1449">
            <v>16283.03</v>
          </cell>
        </row>
        <row r="1450">
          <cell r="G1450">
            <v>0</v>
          </cell>
        </row>
        <row r="1462">
          <cell r="G1462">
            <v>297940.8</v>
          </cell>
        </row>
        <row r="1470">
          <cell r="G1470">
            <v>876</v>
          </cell>
        </row>
        <row r="1564">
          <cell r="G1564">
            <v>0</v>
          </cell>
        </row>
        <row r="1587">
          <cell r="G1587">
            <v>0</v>
          </cell>
        </row>
        <row r="1588">
          <cell r="G1588">
            <v>0</v>
          </cell>
        </row>
        <row r="1602">
          <cell r="G1602">
            <v>135105.62</v>
          </cell>
        </row>
        <row r="1610">
          <cell r="G1610">
            <v>1326</v>
          </cell>
        </row>
        <row r="1671">
          <cell r="G1671">
            <v>208943.06</v>
          </cell>
        </row>
        <row r="1674">
          <cell r="G1674">
            <v>78577.48</v>
          </cell>
        </row>
        <row r="1680">
          <cell r="G1680">
            <v>0</v>
          </cell>
        </row>
        <row r="1681">
          <cell r="G1681">
            <v>0</v>
          </cell>
        </row>
        <row r="1682">
          <cell r="G1682">
            <v>0</v>
          </cell>
        </row>
        <row r="1718">
          <cell r="G1718">
            <v>20649</v>
          </cell>
        </row>
        <row r="1735">
          <cell r="G1735">
            <v>268858.34999999998</v>
          </cell>
        </row>
        <row r="1736">
          <cell r="G1736">
            <v>0</v>
          </cell>
        </row>
      </sheetData>
      <sheetData sheetId="8"/>
      <sheetData sheetId="9">
        <row r="78">
          <cell r="O78">
            <v>-1109016.4300000023</v>
          </cell>
        </row>
        <row r="92">
          <cell r="F92">
            <v>16346.272046000007</v>
          </cell>
          <cell r="I92">
            <v>98187.756895999992</v>
          </cell>
        </row>
        <row r="103">
          <cell r="O103">
            <v>3294139.71</v>
          </cell>
        </row>
      </sheetData>
      <sheetData sheetId="10"/>
      <sheetData sheetId="11">
        <row r="195">
          <cell r="H195">
            <v>-65865984.630000003</v>
          </cell>
        </row>
        <row r="209">
          <cell r="H209">
            <v>63665392.030000001</v>
          </cell>
        </row>
        <row r="217">
          <cell r="H217">
            <v>51621.279999999999</v>
          </cell>
        </row>
        <row r="228">
          <cell r="H228">
            <v>779436.96</v>
          </cell>
        </row>
        <row r="232">
          <cell r="H232">
            <v>2030</v>
          </cell>
        </row>
        <row r="271">
          <cell r="H271">
            <v>22715.26</v>
          </cell>
        </row>
        <row r="272">
          <cell r="H272">
            <v>7573.41</v>
          </cell>
        </row>
        <row r="282">
          <cell r="H282">
            <v>357713.39</v>
          </cell>
        </row>
        <row r="287">
          <cell r="H287">
            <v>3751</v>
          </cell>
        </row>
        <row r="314">
          <cell r="H314">
            <v>613430</v>
          </cell>
        </row>
        <row r="316">
          <cell r="H316">
            <v>260904.08</v>
          </cell>
        </row>
      </sheetData>
      <sheetData sheetId="12"/>
      <sheetData sheetId="13">
        <row r="201">
          <cell r="H201">
            <v>-54608222.600000001</v>
          </cell>
        </row>
        <row r="215">
          <cell r="H215">
            <v>54450696.380000003</v>
          </cell>
        </row>
        <row r="223">
          <cell r="H223">
            <v>45057.66</v>
          </cell>
        </row>
        <row r="233">
          <cell r="H233">
            <v>629009.09</v>
          </cell>
        </row>
        <row r="237">
          <cell r="H237">
            <v>1700</v>
          </cell>
        </row>
        <row r="276">
          <cell r="H276">
            <v>22715.26</v>
          </cell>
        </row>
        <row r="277">
          <cell r="H277">
            <v>7573.41</v>
          </cell>
        </row>
        <row r="287">
          <cell r="H287">
            <v>288540.13</v>
          </cell>
        </row>
        <row r="292">
          <cell r="H292">
            <v>3128</v>
          </cell>
        </row>
        <row r="319">
          <cell r="H319">
            <v>842004.23</v>
          </cell>
        </row>
        <row r="321">
          <cell r="H321">
            <v>335274.46000000002</v>
          </cell>
        </row>
        <row r="348">
          <cell r="H348">
            <v>1581295.32</v>
          </cell>
        </row>
      </sheetData>
      <sheetData sheetId="14">
        <row r="190">
          <cell r="H190">
            <v>-46564886.689999998</v>
          </cell>
        </row>
        <row r="204">
          <cell r="H204">
            <v>43920399.100000001</v>
          </cell>
        </row>
        <row r="212">
          <cell r="H212">
            <v>28673.42</v>
          </cell>
        </row>
        <row r="222">
          <cell r="H222">
            <v>476365.6</v>
          </cell>
        </row>
        <row r="226">
          <cell r="H226">
            <v>1360</v>
          </cell>
        </row>
        <row r="265">
          <cell r="H265">
            <v>22715.26</v>
          </cell>
        </row>
        <row r="266">
          <cell r="H266">
            <v>7573.41</v>
          </cell>
        </row>
        <row r="276">
          <cell r="H276">
            <v>218348.03</v>
          </cell>
        </row>
        <row r="281">
          <cell r="H281">
            <v>2502</v>
          </cell>
        </row>
        <row r="307">
          <cell r="H307">
            <v>765301.2</v>
          </cell>
        </row>
        <row r="309">
          <cell r="H309">
            <v>297525.46000000002</v>
          </cell>
        </row>
        <row r="336">
          <cell r="H336">
            <v>1551678.52</v>
          </cell>
        </row>
      </sheetData>
      <sheetData sheetId="15">
        <row r="194">
          <cell r="H194">
            <v>-36035568.840000004</v>
          </cell>
        </row>
        <row r="208">
          <cell r="H208">
            <v>33776380.299999997</v>
          </cell>
        </row>
        <row r="216">
          <cell r="H216">
            <v>5034.72</v>
          </cell>
        </row>
        <row r="226">
          <cell r="H226">
            <v>323722.11</v>
          </cell>
        </row>
        <row r="230">
          <cell r="H230">
            <v>1020</v>
          </cell>
        </row>
        <row r="269">
          <cell r="H269">
            <v>22715.26</v>
          </cell>
        </row>
        <row r="270">
          <cell r="H270">
            <v>7573.41</v>
          </cell>
        </row>
        <row r="280">
          <cell r="H280">
            <v>77794.039999999994</v>
          </cell>
        </row>
        <row r="285">
          <cell r="H285">
            <v>1876</v>
          </cell>
        </row>
        <row r="311">
          <cell r="H311">
            <v>652592.43000000005</v>
          </cell>
        </row>
        <row r="313">
          <cell r="H313">
            <v>250564.31</v>
          </cell>
        </row>
        <row r="334">
          <cell r="H334">
            <v>0</v>
          </cell>
        </row>
        <row r="340">
          <cell r="H340">
            <v>1522061.72</v>
          </cell>
        </row>
      </sheetData>
      <sheetData sheetId="16">
        <row r="191">
          <cell r="H191">
            <v>25385208.739999998</v>
          </cell>
        </row>
        <row r="205">
          <cell r="H205">
            <v>21832221.059999999</v>
          </cell>
        </row>
        <row r="222">
          <cell r="H222">
            <v>170709.37</v>
          </cell>
        </row>
        <row r="226">
          <cell r="H226">
            <v>680</v>
          </cell>
        </row>
        <row r="264">
          <cell r="H264">
            <v>22715.26</v>
          </cell>
        </row>
        <row r="274">
          <cell r="H274">
            <v>77794.039999999994</v>
          </cell>
        </row>
        <row r="279">
          <cell r="H279">
            <v>1250</v>
          </cell>
        </row>
        <row r="305">
          <cell r="H305">
            <v>252568.44</v>
          </cell>
        </row>
        <row r="307">
          <cell r="H307">
            <v>100558.09</v>
          </cell>
        </row>
        <row r="326">
          <cell r="H326">
            <v>4980.5</v>
          </cell>
        </row>
        <row r="332">
          <cell r="H332">
            <v>41471.300000000003</v>
          </cell>
        </row>
      </sheetData>
      <sheetData sheetId="17">
        <row r="187">
          <cell r="H187">
            <v>11891006.949999999</v>
          </cell>
        </row>
        <row r="199">
          <cell r="H199">
            <v>10339582.65</v>
          </cell>
        </row>
        <row r="216">
          <cell r="H216">
            <v>18143.32</v>
          </cell>
        </row>
        <row r="220">
          <cell r="H220">
            <v>340</v>
          </cell>
        </row>
        <row r="253">
          <cell r="H253">
            <v>18055.72</v>
          </cell>
        </row>
        <row r="263">
          <cell r="H263">
            <v>7947.77</v>
          </cell>
        </row>
        <row r="268">
          <cell r="H268">
            <v>624</v>
          </cell>
        </row>
        <row r="304">
          <cell r="H304">
            <v>4980.5</v>
          </cell>
        </row>
        <row r="310">
          <cell r="H310">
            <v>20735.650000000001</v>
          </cell>
        </row>
      </sheetData>
      <sheetData sheetId="18">
        <row r="263">
          <cell r="H263">
            <v>1886772.51</v>
          </cell>
        </row>
        <row r="318">
          <cell r="H318">
            <v>866557.95</v>
          </cell>
        </row>
      </sheetData>
      <sheetData sheetId="19">
        <row r="1">
          <cell r="B1" t="str">
            <v>Balancete Contábil Analítico</v>
          </cell>
          <cell r="C1" t="str">
            <v xml:space="preserve"> </v>
          </cell>
          <cell r="D1" t="str">
            <v xml:space="preserve">  </v>
          </cell>
          <cell r="E1" t="str">
            <v xml:space="preserve">   </v>
          </cell>
          <cell r="F1" t="str">
            <v xml:space="preserve">    </v>
          </cell>
          <cell r="G1" t="str">
            <v xml:space="preserve">     </v>
          </cell>
        </row>
        <row r="7">
          <cell r="B7" t="str">
            <v>Reduzido</v>
          </cell>
          <cell r="C7" t="str">
            <v>Descrição</v>
          </cell>
          <cell r="D7" t="str">
            <v>Anterior</v>
          </cell>
          <cell r="E7" t="str">
            <v>Débitos</v>
          </cell>
          <cell r="F7" t="str">
            <v>Créditos</v>
          </cell>
          <cell r="G7" t="str">
            <v>Saldo Atual</v>
          </cell>
        </row>
        <row r="8">
          <cell r="B8">
            <v>1</v>
          </cell>
          <cell r="C8" t="str">
            <v>Ativo</v>
          </cell>
          <cell r="D8">
            <v>56914289.880000003</v>
          </cell>
          <cell r="E8">
            <v>10415476.65</v>
          </cell>
          <cell r="F8">
            <v>-10900099.51</v>
          </cell>
          <cell r="G8">
            <v>56429667.020000003</v>
          </cell>
        </row>
        <row r="9">
          <cell r="B9">
            <v>11</v>
          </cell>
          <cell r="C9" t="str">
            <v>Circulante</v>
          </cell>
          <cell r="D9">
            <v>43189518.880000003</v>
          </cell>
          <cell r="E9">
            <v>9579223.5899999999</v>
          </cell>
          <cell r="F9">
            <v>-10122354.76</v>
          </cell>
          <cell r="G9">
            <v>42646387.710000001</v>
          </cell>
        </row>
        <row r="10">
          <cell r="B10">
            <v>111</v>
          </cell>
          <cell r="C10" t="str">
            <v>Disponibilidades</v>
          </cell>
          <cell r="D10">
            <v>38435775.770000003</v>
          </cell>
          <cell r="E10">
            <v>9036011.8499999996</v>
          </cell>
          <cell r="F10">
            <v>-9347862.8100000005</v>
          </cell>
          <cell r="G10">
            <v>38123924.810000002</v>
          </cell>
        </row>
        <row r="11">
          <cell r="B11">
            <v>1112</v>
          </cell>
          <cell r="C11" t="str">
            <v>Bancos</v>
          </cell>
          <cell r="D11">
            <v>38435775.770000003</v>
          </cell>
          <cell r="E11">
            <v>9036011.8499999996</v>
          </cell>
          <cell r="F11">
            <v>-9347862.8100000005</v>
          </cell>
          <cell r="G11">
            <v>38123924.810000002</v>
          </cell>
        </row>
        <row r="12">
          <cell r="B12" t="str">
            <v>BB</v>
          </cell>
          <cell r="C12" t="str">
            <v>Banco do Brasil conta única União</v>
          </cell>
          <cell r="D12">
            <v>38435775.770000003</v>
          </cell>
          <cell r="E12">
            <v>6619781.0700000003</v>
          </cell>
          <cell r="F12">
            <v>-6931632.0300000003</v>
          </cell>
          <cell r="G12">
            <v>38123924.810000002</v>
          </cell>
        </row>
        <row r="13">
          <cell r="B13" t="str">
            <v>CO</v>
          </cell>
          <cell r="C13" t="str">
            <v>Receita Cota Orçamentária</v>
          </cell>
          <cell r="D13">
            <v>0</v>
          </cell>
          <cell r="E13">
            <v>2416230.7799999998</v>
          </cell>
          <cell r="F13">
            <v>-2416230.7799999998</v>
          </cell>
          <cell r="G13">
            <v>0</v>
          </cell>
        </row>
        <row r="14">
          <cell r="B14">
            <v>112</v>
          </cell>
          <cell r="C14" t="str">
            <v>Créditos, Direitos e Bens</v>
          </cell>
          <cell r="D14">
            <v>3197439.84</v>
          </cell>
          <cell r="E14">
            <v>407692.64</v>
          </cell>
          <cell r="F14">
            <v>-424001.24</v>
          </cell>
          <cell r="G14">
            <v>3181131.24</v>
          </cell>
        </row>
        <row r="15">
          <cell r="B15">
            <v>1123</v>
          </cell>
          <cell r="C15" t="str">
            <v>Tributos a Recuperar ou Compensáveis</v>
          </cell>
          <cell r="D15">
            <v>931000.26</v>
          </cell>
          <cell r="E15">
            <v>3913.04</v>
          </cell>
          <cell r="F15">
            <v>0</v>
          </cell>
          <cell r="G15">
            <v>934913.3</v>
          </cell>
        </row>
        <row r="16">
          <cell r="B16">
            <v>11239</v>
          </cell>
          <cell r="C16" t="str">
            <v>COFINS a Recuperar</v>
          </cell>
          <cell r="D16">
            <v>1456.05</v>
          </cell>
          <cell r="E16">
            <v>14.86</v>
          </cell>
          <cell r="F16">
            <v>0</v>
          </cell>
          <cell r="G16">
            <v>1470.91</v>
          </cell>
        </row>
        <row r="17">
          <cell r="B17">
            <v>112316</v>
          </cell>
          <cell r="C17" t="str">
            <v>IRPJ Estimativa</v>
          </cell>
          <cell r="D17">
            <v>452456.78</v>
          </cell>
          <cell r="E17">
            <v>0</v>
          </cell>
          <cell r="F17">
            <v>0</v>
          </cell>
          <cell r="G17">
            <v>452456.78</v>
          </cell>
        </row>
        <row r="18">
          <cell r="B18">
            <v>112317</v>
          </cell>
          <cell r="C18" t="str">
            <v>CSLL Estimativa</v>
          </cell>
          <cell r="D18">
            <v>57144.98</v>
          </cell>
          <cell r="E18">
            <v>0</v>
          </cell>
          <cell r="F18">
            <v>0</v>
          </cell>
          <cell r="G18">
            <v>57144.98</v>
          </cell>
        </row>
        <row r="19">
          <cell r="B19">
            <v>112323</v>
          </cell>
          <cell r="C19" t="str">
            <v>IRRF a Compensar</v>
          </cell>
          <cell r="D19">
            <v>6115.24</v>
          </cell>
          <cell r="E19">
            <v>44.98</v>
          </cell>
          <cell r="F19">
            <v>0</v>
          </cell>
          <cell r="G19">
            <v>6160.22</v>
          </cell>
        </row>
        <row r="20">
          <cell r="B20">
            <v>112327</v>
          </cell>
          <cell r="C20" t="str">
            <v>PIS a Restituir</v>
          </cell>
          <cell r="D20">
            <v>234.63</v>
          </cell>
          <cell r="E20">
            <v>2.1</v>
          </cell>
          <cell r="F20">
            <v>0</v>
          </cell>
          <cell r="G20">
            <v>236.73</v>
          </cell>
        </row>
        <row r="21">
          <cell r="B21">
            <v>112332</v>
          </cell>
          <cell r="C21" t="str">
            <v>IRPJ Saldo negativo 2021</v>
          </cell>
          <cell r="D21">
            <v>297645.21000000002</v>
          </cell>
          <cell r="E21">
            <v>2770.31</v>
          </cell>
          <cell r="F21">
            <v>0</v>
          </cell>
          <cell r="G21">
            <v>300415.52</v>
          </cell>
        </row>
        <row r="22">
          <cell r="B22">
            <v>112333</v>
          </cell>
          <cell r="C22" t="str">
            <v>CSLL Saldo negativo 2021</v>
          </cell>
          <cell r="D22">
            <v>114092.02</v>
          </cell>
          <cell r="E22">
            <v>1061.9100000000001</v>
          </cell>
          <cell r="F22">
            <v>0</v>
          </cell>
          <cell r="G22">
            <v>115153.93</v>
          </cell>
        </row>
        <row r="23">
          <cell r="B23">
            <v>112334</v>
          </cell>
          <cell r="C23" t="str">
            <v>COSIRF a restituir</v>
          </cell>
          <cell r="D23">
            <v>1855.35</v>
          </cell>
          <cell r="E23">
            <v>18.88</v>
          </cell>
          <cell r="F23">
            <v>0</v>
          </cell>
          <cell r="G23">
            <v>1874.23</v>
          </cell>
        </row>
        <row r="24">
          <cell r="B24">
            <v>1124</v>
          </cell>
          <cell r="C24" t="str">
            <v>Adiantamentos a Empregados</v>
          </cell>
          <cell r="D24">
            <v>2266307.6</v>
          </cell>
          <cell r="E24">
            <v>380248.59</v>
          </cell>
          <cell r="F24">
            <v>-400470.23</v>
          </cell>
          <cell r="G24">
            <v>2246085.96</v>
          </cell>
        </row>
        <row r="25">
          <cell r="B25">
            <v>11241</v>
          </cell>
          <cell r="C25" t="str">
            <v>Adiantamento de Férias</v>
          </cell>
          <cell r="D25">
            <v>147928.82999999999</v>
          </cell>
          <cell r="E25">
            <v>315655.18</v>
          </cell>
          <cell r="F25">
            <v>-335876.82</v>
          </cell>
          <cell r="G25">
            <v>127707.19</v>
          </cell>
        </row>
        <row r="26">
          <cell r="B26">
            <v>11242</v>
          </cell>
          <cell r="C26" t="str">
            <v>Adiantamento de 13º Salário</v>
          </cell>
          <cell r="D26">
            <v>2118378.77</v>
          </cell>
          <cell r="E26">
            <v>0</v>
          </cell>
          <cell r="F26">
            <v>0</v>
          </cell>
          <cell r="G26">
            <v>2118378.77</v>
          </cell>
        </row>
        <row r="27">
          <cell r="B27">
            <v>112424</v>
          </cell>
          <cell r="C27" t="str">
            <v>Empréstimo a funcionários</v>
          </cell>
          <cell r="D27">
            <v>0</v>
          </cell>
          <cell r="E27">
            <v>59389.47</v>
          </cell>
          <cell r="F27">
            <v>-59389.47</v>
          </cell>
          <cell r="G27">
            <v>0</v>
          </cell>
        </row>
        <row r="28">
          <cell r="B28">
            <v>112425</v>
          </cell>
          <cell r="C28" t="str">
            <v>Mensalidade AEPE</v>
          </cell>
          <cell r="D28">
            <v>0</v>
          </cell>
          <cell r="E28">
            <v>5203.9399999999996</v>
          </cell>
          <cell r="F28">
            <v>-5203.9399999999996</v>
          </cell>
          <cell r="G28">
            <v>0</v>
          </cell>
        </row>
        <row r="29">
          <cell r="B29">
            <v>11299</v>
          </cell>
          <cell r="C29" t="str">
            <v>Outros Créditos</v>
          </cell>
          <cell r="D29">
            <v>131.97999999999999</v>
          </cell>
          <cell r="E29">
            <v>23531.01</v>
          </cell>
          <cell r="F29">
            <v>-23531.01</v>
          </cell>
          <cell r="G29">
            <v>131.97999999999999</v>
          </cell>
        </row>
        <row r="30">
          <cell r="B30">
            <v>112995</v>
          </cell>
          <cell r="C30" t="str">
            <v>Ressarcimento de Cedidos</v>
          </cell>
          <cell r="D30">
            <v>0</v>
          </cell>
          <cell r="E30">
            <v>23531.01</v>
          </cell>
          <cell r="F30">
            <v>-23531.01</v>
          </cell>
          <cell r="G30">
            <v>0</v>
          </cell>
        </row>
        <row r="31">
          <cell r="B31">
            <v>11299999</v>
          </cell>
          <cell r="C31" t="str">
            <v>Créditos Diversos</v>
          </cell>
          <cell r="D31">
            <v>131.97999999999999</v>
          </cell>
          <cell r="E31">
            <v>0</v>
          </cell>
          <cell r="F31">
            <v>0</v>
          </cell>
          <cell r="G31">
            <v>131.97999999999999</v>
          </cell>
        </row>
        <row r="32">
          <cell r="B32">
            <v>113</v>
          </cell>
          <cell r="C32" t="str">
            <v>Despesas Antecipadas</v>
          </cell>
          <cell r="D32">
            <v>1556303.27</v>
          </cell>
          <cell r="E32">
            <v>135519.1</v>
          </cell>
          <cell r="F32">
            <v>-350490.71</v>
          </cell>
          <cell r="G32">
            <v>1341331.6599999999</v>
          </cell>
        </row>
        <row r="33">
          <cell r="B33">
            <v>1131</v>
          </cell>
          <cell r="C33" t="str">
            <v>Despesas Antecipadas</v>
          </cell>
          <cell r="D33">
            <v>1556303.27</v>
          </cell>
          <cell r="E33">
            <v>135519.1</v>
          </cell>
          <cell r="F33">
            <v>-350490.71</v>
          </cell>
          <cell r="G33">
            <v>1341331.6599999999</v>
          </cell>
        </row>
        <row r="34">
          <cell r="B34">
            <v>11311</v>
          </cell>
          <cell r="C34" t="str">
            <v>Prêmio de Seguros Pagos Antecipadamente</v>
          </cell>
          <cell r="D34">
            <v>21331.72</v>
          </cell>
          <cell r="E34">
            <v>0</v>
          </cell>
          <cell r="F34">
            <v>-15998.79</v>
          </cell>
          <cell r="G34">
            <v>5332.93</v>
          </cell>
        </row>
        <row r="35">
          <cell r="B35">
            <v>11312</v>
          </cell>
          <cell r="C35" t="str">
            <v>Assinaturas e Anuidades</v>
          </cell>
          <cell r="D35">
            <v>196142.52</v>
          </cell>
          <cell r="E35">
            <v>24454.11</v>
          </cell>
          <cell r="F35">
            <v>-76842.720000000001</v>
          </cell>
          <cell r="G35">
            <v>143753.91</v>
          </cell>
        </row>
        <row r="36">
          <cell r="B36">
            <v>11313</v>
          </cell>
          <cell r="C36" t="str">
            <v>Provedores de Informações</v>
          </cell>
          <cell r="D36">
            <v>41665.72</v>
          </cell>
          <cell r="E36">
            <v>19923.599999999999</v>
          </cell>
          <cell r="F36">
            <v>-13692.3</v>
          </cell>
          <cell r="G36">
            <v>47897.02</v>
          </cell>
        </row>
        <row r="37">
          <cell r="B37">
            <v>11315</v>
          </cell>
          <cell r="C37" t="str">
            <v>Iptu a Apropriar</v>
          </cell>
          <cell r="D37">
            <v>67854.850000000006</v>
          </cell>
          <cell r="E37">
            <v>0</v>
          </cell>
          <cell r="F37">
            <v>-32832.99</v>
          </cell>
          <cell r="G37">
            <v>35021.86</v>
          </cell>
        </row>
        <row r="38">
          <cell r="B38">
            <v>11316</v>
          </cell>
          <cell r="C38" t="str">
            <v>Manutenção de Software</v>
          </cell>
          <cell r="D38">
            <v>1190461.51</v>
          </cell>
          <cell r="E38">
            <v>91141.39</v>
          </cell>
          <cell r="F38">
            <v>-189726.84</v>
          </cell>
          <cell r="G38">
            <v>1091876.06</v>
          </cell>
        </row>
        <row r="39">
          <cell r="B39">
            <v>1131999</v>
          </cell>
          <cell r="C39" t="str">
            <v>Outras Despesas Antecipadas</v>
          </cell>
          <cell r="D39">
            <v>38846.949999999997</v>
          </cell>
          <cell r="E39">
            <v>0</v>
          </cell>
          <cell r="F39">
            <v>-21397.07</v>
          </cell>
          <cell r="G39">
            <v>17449.88</v>
          </cell>
        </row>
        <row r="40">
          <cell r="B40">
            <v>12</v>
          </cell>
          <cell r="C40" t="str">
            <v>Ativo Não Circulante</v>
          </cell>
          <cell r="D40">
            <v>13724771</v>
          </cell>
          <cell r="E40">
            <v>836253.06</v>
          </cell>
          <cell r="F40">
            <v>-777744.75</v>
          </cell>
          <cell r="G40">
            <v>13783279.310000001</v>
          </cell>
        </row>
        <row r="41">
          <cell r="B41">
            <v>121</v>
          </cell>
          <cell r="C41" t="str">
            <v>Realizavel a Longo Prazo</v>
          </cell>
          <cell r="D41">
            <v>4519255.16</v>
          </cell>
          <cell r="E41">
            <v>17484.03</v>
          </cell>
          <cell r="F41">
            <v>0</v>
          </cell>
          <cell r="G41">
            <v>4536739.1900000004</v>
          </cell>
        </row>
        <row r="42">
          <cell r="B42">
            <v>1213</v>
          </cell>
          <cell r="C42" t="str">
            <v>Tributos a Recuperar ou Compensáveis</v>
          </cell>
          <cell r="D42">
            <v>160844.82</v>
          </cell>
          <cell r="E42">
            <v>1378.1</v>
          </cell>
          <cell r="F42">
            <v>0</v>
          </cell>
          <cell r="G42">
            <v>162222.92000000001</v>
          </cell>
        </row>
        <row r="43">
          <cell r="B43">
            <v>12131</v>
          </cell>
          <cell r="C43" t="str">
            <v>IRPJ a Compensar</v>
          </cell>
          <cell r="D43">
            <v>20949.830000000002</v>
          </cell>
          <cell r="E43">
            <v>176.52</v>
          </cell>
          <cell r="F43">
            <v>0</v>
          </cell>
          <cell r="G43">
            <v>21126.35</v>
          </cell>
        </row>
        <row r="44">
          <cell r="B44">
            <v>12134</v>
          </cell>
          <cell r="C44" t="str">
            <v>ISS a Restituir</v>
          </cell>
          <cell r="D44">
            <v>4640.58</v>
          </cell>
          <cell r="E44">
            <v>0</v>
          </cell>
          <cell r="F44">
            <v>0</v>
          </cell>
          <cell r="G44">
            <v>4640.58</v>
          </cell>
        </row>
        <row r="45">
          <cell r="B45">
            <v>12135</v>
          </cell>
          <cell r="C45" t="str">
            <v>CSLL a Compensar</v>
          </cell>
          <cell r="D45">
            <v>135254.41</v>
          </cell>
          <cell r="E45">
            <v>1201.58</v>
          </cell>
          <cell r="F45">
            <v>0</v>
          </cell>
          <cell r="G45">
            <v>136455.99</v>
          </cell>
        </row>
        <row r="46">
          <cell r="B46">
            <v>1217</v>
          </cell>
          <cell r="C46" t="str">
            <v>Títulos e Valores Mobiliários</v>
          </cell>
          <cell r="D46">
            <v>164.56</v>
          </cell>
          <cell r="E46">
            <v>0</v>
          </cell>
          <cell r="F46">
            <v>0</v>
          </cell>
          <cell r="G46">
            <v>164.56</v>
          </cell>
        </row>
        <row r="47">
          <cell r="B47">
            <v>12171</v>
          </cell>
          <cell r="C47" t="str">
            <v>Ações - Preço de Aquisição</v>
          </cell>
          <cell r="D47">
            <v>164.56</v>
          </cell>
          <cell r="E47">
            <v>0</v>
          </cell>
          <cell r="F47">
            <v>0</v>
          </cell>
          <cell r="G47">
            <v>164.56</v>
          </cell>
        </row>
        <row r="48">
          <cell r="B48">
            <v>1218</v>
          </cell>
          <cell r="C48" t="str">
            <v>Depósitos Judiciais</v>
          </cell>
          <cell r="D48">
            <v>4358245.78</v>
          </cell>
          <cell r="E48">
            <v>16105.93</v>
          </cell>
          <cell r="F48">
            <v>0</v>
          </cell>
          <cell r="G48">
            <v>4374351.71</v>
          </cell>
        </row>
        <row r="49">
          <cell r="B49">
            <v>12181</v>
          </cell>
          <cell r="C49" t="str">
            <v>Depósitos Judiciais - Previdenciários</v>
          </cell>
          <cell r="D49">
            <v>3893878.5</v>
          </cell>
          <cell r="E49">
            <v>12655.39</v>
          </cell>
          <cell r="F49">
            <v>0</v>
          </cell>
          <cell r="G49">
            <v>3906533.89</v>
          </cell>
        </row>
        <row r="50">
          <cell r="B50">
            <v>12182</v>
          </cell>
          <cell r="C50" t="str">
            <v>Depósitos Judiciais - Trabalhistas</v>
          </cell>
          <cell r="D50">
            <v>305307.76</v>
          </cell>
          <cell r="E50">
            <v>2040.33</v>
          </cell>
          <cell r="F50">
            <v>0</v>
          </cell>
          <cell r="G50">
            <v>307348.09000000003</v>
          </cell>
        </row>
        <row r="51">
          <cell r="B51">
            <v>12183</v>
          </cell>
          <cell r="C51" t="str">
            <v>Depósitos Judiciais - Cíveis</v>
          </cell>
          <cell r="D51">
            <v>159059.51999999999</v>
          </cell>
          <cell r="E51">
            <v>1410.21</v>
          </cell>
          <cell r="F51">
            <v>0</v>
          </cell>
          <cell r="G51">
            <v>160469.73000000001</v>
          </cell>
        </row>
        <row r="52">
          <cell r="B52">
            <v>123</v>
          </cell>
          <cell r="C52" t="str">
            <v>Imobilizado</v>
          </cell>
          <cell r="D52">
            <v>5842513.3099999996</v>
          </cell>
          <cell r="E52">
            <v>818769.03</v>
          </cell>
          <cell r="F52">
            <v>-665827.54</v>
          </cell>
          <cell r="G52">
            <v>5995454.7999999998</v>
          </cell>
        </row>
        <row r="53">
          <cell r="B53">
            <v>1231</v>
          </cell>
          <cell r="C53" t="str">
            <v>Bens em Operação</v>
          </cell>
          <cell r="D53">
            <v>15681822.18</v>
          </cell>
          <cell r="E53">
            <v>728385.4</v>
          </cell>
          <cell r="F53">
            <v>-537682.03</v>
          </cell>
          <cell r="G53">
            <v>15872525.550000001</v>
          </cell>
        </row>
        <row r="54">
          <cell r="B54">
            <v>12313</v>
          </cell>
          <cell r="C54" t="str">
            <v>Instalações</v>
          </cell>
          <cell r="D54">
            <v>2490440.14</v>
          </cell>
          <cell r="E54">
            <v>0</v>
          </cell>
          <cell r="F54">
            <v>-90383.63</v>
          </cell>
          <cell r="G54">
            <v>2400056.5099999998</v>
          </cell>
        </row>
        <row r="55">
          <cell r="B55">
            <v>12314</v>
          </cell>
          <cell r="C55" t="str">
            <v>Máquinas e Equipamentos</v>
          </cell>
          <cell r="D55">
            <v>791662.23</v>
          </cell>
          <cell r="E55">
            <v>0</v>
          </cell>
          <cell r="F55">
            <v>0</v>
          </cell>
          <cell r="G55">
            <v>791662.23</v>
          </cell>
        </row>
        <row r="56">
          <cell r="B56">
            <v>12315</v>
          </cell>
          <cell r="C56" t="str">
            <v>Equipamentos de Informática</v>
          </cell>
          <cell r="D56">
            <v>10213891.5</v>
          </cell>
          <cell r="E56">
            <v>700987</v>
          </cell>
          <cell r="F56">
            <v>-419900</v>
          </cell>
          <cell r="G56">
            <v>10494978.5</v>
          </cell>
        </row>
        <row r="57">
          <cell r="B57">
            <v>12317</v>
          </cell>
          <cell r="C57" t="str">
            <v>Móveis e Utensílios</v>
          </cell>
          <cell r="D57">
            <v>2185828.31</v>
          </cell>
          <cell r="E57">
            <v>27398.400000000001</v>
          </cell>
          <cell r="F57">
            <v>-27398.400000000001</v>
          </cell>
          <cell r="G57">
            <v>2185828.31</v>
          </cell>
        </row>
        <row r="58">
          <cell r="B58">
            <v>12398</v>
          </cell>
          <cell r="C58" t="str">
            <v>(-) Depreciação, Amortização e Exaustão</v>
          </cell>
          <cell r="D58">
            <v>-9839308.8699999992</v>
          </cell>
          <cell r="E58">
            <v>90383.63</v>
          </cell>
          <cell r="F58">
            <v>-128145.51</v>
          </cell>
          <cell r="G58">
            <v>9877070.75</v>
          </cell>
        </row>
        <row r="59">
          <cell r="B59">
            <v>123982</v>
          </cell>
          <cell r="C59" t="str">
            <v>(-) Instalações</v>
          </cell>
          <cell r="D59">
            <v>-529593.43999999994</v>
          </cell>
          <cell r="E59">
            <v>90383.63</v>
          </cell>
          <cell r="F59">
            <v>-20000.46</v>
          </cell>
          <cell r="G59">
            <v>459210.27</v>
          </cell>
        </row>
        <row r="60">
          <cell r="B60">
            <v>123983</v>
          </cell>
          <cell r="C60" t="str">
            <v>(-) Máquinas e Equipamentos</v>
          </cell>
          <cell r="D60">
            <v>-711634.57</v>
          </cell>
          <cell r="E60">
            <v>0</v>
          </cell>
          <cell r="F60">
            <v>-1779</v>
          </cell>
          <cell r="G60">
            <v>713413.57</v>
          </cell>
        </row>
        <row r="61">
          <cell r="B61">
            <v>123984</v>
          </cell>
          <cell r="C61" t="str">
            <v>(-) Equipamentos de Informática</v>
          </cell>
          <cell r="D61">
            <v>-6608370.2599999998</v>
          </cell>
          <cell r="E61">
            <v>0</v>
          </cell>
          <cell r="F61">
            <v>-103050.38</v>
          </cell>
          <cell r="G61">
            <v>6711420.6399999997</v>
          </cell>
        </row>
        <row r="62">
          <cell r="B62">
            <v>123986</v>
          </cell>
          <cell r="C62" t="str">
            <v>(-) Móveis e Utensílios</v>
          </cell>
          <cell r="D62">
            <v>-1989710.6</v>
          </cell>
          <cell r="E62">
            <v>0</v>
          </cell>
          <cell r="F62">
            <v>-3315.67</v>
          </cell>
          <cell r="G62">
            <v>1993026.27</v>
          </cell>
        </row>
        <row r="63">
          <cell r="B63">
            <v>124</v>
          </cell>
          <cell r="C63" t="str">
            <v>Intangível</v>
          </cell>
          <cell r="D63">
            <v>3363002.53</v>
          </cell>
          <cell r="E63">
            <v>0</v>
          </cell>
          <cell r="F63">
            <v>-111917.21</v>
          </cell>
          <cell r="G63">
            <v>3251085.32</v>
          </cell>
        </row>
        <row r="64">
          <cell r="B64">
            <v>1241</v>
          </cell>
          <cell r="C64" t="str">
            <v>Software</v>
          </cell>
          <cell r="D64">
            <v>11738715.48</v>
          </cell>
          <cell r="E64">
            <v>0</v>
          </cell>
          <cell r="F64">
            <v>0</v>
          </cell>
          <cell r="G64">
            <v>11738715.48</v>
          </cell>
        </row>
        <row r="65">
          <cell r="B65">
            <v>124101</v>
          </cell>
          <cell r="C65" t="str">
            <v>Software</v>
          </cell>
          <cell r="D65">
            <v>11738715.48</v>
          </cell>
          <cell r="E65">
            <v>0</v>
          </cell>
          <cell r="F65">
            <v>0</v>
          </cell>
          <cell r="G65">
            <v>11738715.48</v>
          </cell>
        </row>
        <row r="66">
          <cell r="B66">
            <v>12498</v>
          </cell>
          <cell r="C66" t="str">
            <v>( - ) Amortização</v>
          </cell>
          <cell r="D66">
            <v>-8375712.9500000002</v>
          </cell>
          <cell r="E66">
            <v>0</v>
          </cell>
          <cell r="F66">
            <v>-111917.21</v>
          </cell>
          <cell r="G66">
            <v>8487630.1600000001</v>
          </cell>
        </row>
        <row r="67">
          <cell r="B67">
            <v>1242</v>
          </cell>
          <cell r="C67" t="str">
            <v>( - ) Amortização Software</v>
          </cell>
          <cell r="D67">
            <v>-8375712.9500000002</v>
          </cell>
          <cell r="E67">
            <v>0</v>
          </cell>
          <cell r="F67">
            <v>-111917.21</v>
          </cell>
          <cell r="G67">
            <v>8487630.1600000001</v>
          </cell>
        </row>
        <row r="68">
          <cell r="B68">
            <v>2</v>
          </cell>
          <cell r="C68" t="str">
            <v>Passivo</v>
          </cell>
          <cell r="D68">
            <v>-56914289.880000003</v>
          </cell>
          <cell r="E68">
            <v>15143513.66</v>
          </cell>
          <cell r="F68">
            <v>-14658890.800000001</v>
          </cell>
          <cell r="G68">
            <v>56429667.020000003</v>
          </cell>
        </row>
        <row r="69">
          <cell r="B69">
            <v>21</v>
          </cell>
          <cell r="C69" t="str">
            <v>Circulante</v>
          </cell>
          <cell r="D69">
            <v>-22238886.18</v>
          </cell>
          <cell r="E69">
            <v>12192373.449999999</v>
          </cell>
          <cell r="F69">
            <v>-14177942.9</v>
          </cell>
          <cell r="G69">
            <v>24224455.629999999</v>
          </cell>
        </row>
        <row r="70">
          <cell r="B70">
            <v>211</v>
          </cell>
          <cell r="C70" t="str">
            <v>Obrigações de Curto Prazo</v>
          </cell>
          <cell r="D70">
            <v>-22238886.18</v>
          </cell>
          <cell r="E70">
            <v>12192373.449999999</v>
          </cell>
          <cell r="F70">
            <v>-14177942.9</v>
          </cell>
          <cell r="G70">
            <v>24224455.629999999</v>
          </cell>
        </row>
        <row r="71">
          <cell r="B71">
            <v>2114</v>
          </cell>
          <cell r="C71" t="str">
            <v>Fornecedores Nacionais</v>
          </cell>
          <cell r="D71">
            <v>-764659.32</v>
          </cell>
          <cell r="E71">
            <v>3116712.34</v>
          </cell>
          <cell r="F71">
            <v>-4761210.6900000004</v>
          </cell>
          <cell r="G71">
            <v>2409157.67</v>
          </cell>
        </row>
        <row r="72">
          <cell r="B72">
            <v>60444400000000</v>
          </cell>
          <cell r="C72" t="str">
            <v>LIGHT SERVICOS DE ELETRICIDADE S.A</v>
          </cell>
          <cell r="D72">
            <v>-30000</v>
          </cell>
          <cell r="E72">
            <v>43676.24</v>
          </cell>
          <cell r="F72">
            <v>-43676.24</v>
          </cell>
          <cell r="G72">
            <v>30000</v>
          </cell>
        </row>
        <row r="73">
          <cell r="B73">
            <v>34028300000000</v>
          </cell>
          <cell r="C73" t="str">
            <v>EMPRESA BRASILEIRA DE CORREIOS E TELEGRA</v>
          </cell>
          <cell r="D73">
            <v>0</v>
          </cell>
          <cell r="E73">
            <v>188.7</v>
          </cell>
          <cell r="F73">
            <v>-188.7</v>
          </cell>
          <cell r="G73">
            <v>0</v>
          </cell>
        </row>
        <row r="74">
          <cell r="B74" t="str">
            <v>33641663/0001-44</v>
          </cell>
          <cell r="C74" t="str">
            <v>FUNDACAO GETULIO VARGAS</v>
          </cell>
          <cell r="D74">
            <v>0</v>
          </cell>
          <cell r="E74">
            <v>1960</v>
          </cell>
          <cell r="F74">
            <v>-1960</v>
          </cell>
          <cell r="G74">
            <v>0</v>
          </cell>
        </row>
        <row r="75">
          <cell r="B75" t="str">
            <v>09305983/0001-49</v>
          </cell>
          <cell r="C75" t="str">
            <v>PSR SOLUCOES E CONSULTORIA EM ENERGIA LT</v>
          </cell>
          <cell r="D75">
            <v>0</v>
          </cell>
          <cell r="E75">
            <v>5080.13</v>
          </cell>
          <cell r="F75">
            <v>-5080.13</v>
          </cell>
          <cell r="G75">
            <v>0</v>
          </cell>
        </row>
        <row r="76">
          <cell r="B76" t="str">
            <v>69034668/0001-56</v>
          </cell>
          <cell r="C76" t="str">
            <v>SODEXO PASS DO BRASIL SERVC. E COMERCIO</v>
          </cell>
          <cell r="D76">
            <v>0</v>
          </cell>
          <cell r="E76">
            <v>208670.82</v>
          </cell>
          <cell r="F76">
            <v>-208670.82</v>
          </cell>
          <cell r="G76">
            <v>0</v>
          </cell>
        </row>
        <row r="77">
          <cell r="B77" t="str">
            <v>33661745/0001-50</v>
          </cell>
          <cell r="C77" t="str">
            <v>CIEE</v>
          </cell>
          <cell r="D77">
            <v>-1036.6099999999999</v>
          </cell>
          <cell r="E77">
            <v>1036.6099999999999</v>
          </cell>
          <cell r="F77">
            <v>0</v>
          </cell>
          <cell r="G77">
            <v>0</v>
          </cell>
        </row>
        <row r="78">
          <cell r="B78" t="str">
            <v>67393181/0001-34</v>
          </cell>
          <cell r="C78" t="str">
            <v>IMAGEM GEOSISTEMAS E COMERCIO</v>
          </cell>
          <cell r="D78">
            <v>0</v>
          </cell>
          <cell r="E78">
            <v>0</v>
          </cell>
          <cell r="F78">
            <v>-16800</v>
          </cell>
          <cell r="G78">
            <v>16800</v>
          </cell>
        </row>
        <row r="79">
          <cell r="B79" t="str">
            <v>61797924/0007-40</v>
          </cell>
          <cell r="C79" t="str">
            <v>HEWLETT PACKARD DO BRASIL LTDA</v>
          </cell>
          <cell r="D79">
            <v>-8454.1200000000008</v>
          </cell>
          <cell r="E79">
            <v>8454.1200000000008</v>
          </cell>
          <cell r="F79">
            <v>-8454.1200000000008</v>
          </cell>
          <cell r="G79">
            <v>8454.1200000000008</v>
          </cell>
        </row>
        <row r="80">
          <cell r="B80" t="str">
            <v>71208516/0001-74</v>
          </cell>
          <cell r="C80" t="str">
            <v>ALGAR SERVICO E TELECOMUNICACOES</v>
          </cell>
          <cell r="D80">
            <v>-1453.83</v>
          </cell>
          <cell r="E80">
            <v>791.68</v>
          </cell>
          <cell r="F80">
            <v>-676.15</v>
          </cell>
          <cell r="G80">
            <v>1338.3</v>
          </cell>
        </row>
        <row r="81">
          <cell r="B81" t="str">
            <v>33402892/0002-97</v>
          </cell>
          <cell r="C81" t="str">
            <v>ASSOCIAÇÃO BRASILEIRA DE NORMAS TECNICAS</v>
          </cell>
          <cell r="D81">
            <v>-1458.33</v>
          </cell>
          <cell r="E81">
            <v>1458.33</v>
          </cell>
          <cell r="F81">
            <v>-1458.33</v>
          </cell>
          <cell r="G81">
            <v>1458.33</v>
          </cell>
        </row>
        <row r="82">
          <cell r="B82">
            <v>30033800000000</v>
          </cell>
          <cell r="C82" t="str">
            <v>COMITE NAC. BRASILEIRO PROD. TRANS. ENER</v>
          </cell>
          <cell r="D82">
            <v>-1050</v>
          </cell>
          <cell r="E82">
            <v>1050</v>
          </cell>
          <cell r="F82">
            <v>0</v>
          </cell>
          <cell r="G82">
            <v>0</v>
          </cell>
        </row>
        <row r="83">
          <cell r="B83" t="str">
            <v>53113791/0001-22</v>
          </cell>
          <cell r="C83" t="str">
            <v>TOTVS SA</v>
          </cell>
          <cell r="D83">
            <v>0</v>
          </cell>
          <cell r="E83">
            <v>6898.03</v>
          </cell>
          <cell r="F83">
            <v>-51357.77</v>
          </cell>
          <cell r="G83">
            <v>44459.74</v>
          </cell>
        </row>
        <row r="84">
          <cell r="B84" t="str">
            <v>42288886/0001-60</v>
          </cell>
          <cell r="C84" t="str">
            <v>CENTRO DE PESQ DE ENERGIA ELETRICA CEPEL</v>
          </cell>
          <cell r="D84">
            <v>0</v>
          </cell>
          <cell r="E84">
            <v>12281.11</v>
          </cell>
          <cell r="F84">
            <v>-12281.11</v>
          </cell>
          <cell r="G84">
            <v>0</v>
          </cell>
        </row>
        <row r="85">
          <cell r="B85">
            <v>32578400000000</v>
          </cell>
          <cell r="C85" t="str">
            <v>UNITECH-RIO COM. E SERV. LTDA</v>
          </cell>
          <cell r="D85">
            <v>-419900</v>
          </cell>
          <cell r="E85">
            <v>0</v>
          </cell>
          <cell r="F85">
            <v>0</v>
          </cell>
          <cell r="G85">
            <v>419900</v>
          </cell>
        </row>
        <row r="86">
          <cell r="B86" t="str">
            <v>08794730/0001-13</v>
          </cell>
          <cell r="C86" t="str">
            <v>RIOOFFSITE SERVICOS DE FITOTECA LTDA</v>
          </cell>
          <cell r="D86">
            <v>0</v>
          </cell>
          <cell r="E86">
            <v>1446.4</v>
          </cell>
          <cell r="F86">
            <v>-1446.4</v>
          </cell>
          <cell r="G86">
            <v>0</v>
          </cell>
        </row>
        <row r="87">
          <cell r="B87" t="str">
            <v>86781069/0001-15</v>
          </cell>
          <cell r="C87" t="str">
            <v>ZENITE INFORMACAO E CONSULTORIA S/A</v>
          </cell>
          <cell r="D87">
            <v>0</v>
          </cell>
          <cell r="E87">
            <v>0</v>
          </cell>
          <cell r="F87">
            <v>-27483</v>
          </cell>
          <cell r="G87">
            <v>27483</v>
          </cell>
        </row>
        <row r="88">
          <cell r="B88" t="str">
            <v>08255393/0001-96</v>
          </cell>
          <cell r="C88" t="str">
            <v>FOCO OPINIAO E MERCADO LTDA</v>
          </cell>
          <cell r="D88">
            <v>0</v>
          </cell>
          <cell r="E88">
            <v>0</v>
          </cell>
          <cell r="F88">
            <v>-270410</v>
          </cell>
          <cell r="G88">
            <v>270410</v>
          </cell>
        </row>
        <row r="89">
          <cell r="B89" t="str">
            <v>47866934/0001-74</v>
          </cell>
          <cell r="C89" t="str">
            <v>TICKET SERVICOS SA</v>
          </cell>
          <cell r="D89">
            <v>-1450</v>
          </cell>
          <cell r="E89">
            <v>2900</v>
          </cell>
          <cell r="F89">
            <v>-1450</v>
          </cell>
          <cell r="G89">
            <v>0</v>
          </cell>
        </row>
        <row r="90">
          <cell r="B90" t="str">
            <v>05344234/0001-70</v>
          </cell>
          <cell r="C90" t="str">
            <v>RJ LOCACAO DE VEICULOS E SERVICOS LTDA</v>
          </cell>
          <cell r="D90">
            <v>0</v>
          </cell>
          <cell r="E90">
            <v>1201.3599999999999</v>
          </cell>
          <cell r="F90">
            <v>-10921.43</v>
          </cell>
          <cell r="G90">
            <v>9720.07</v>
          </cell>
        </row>
        <row r="91">
          <cell r="B91" t="str">
            <v>86517729/0001-55</v>
          </cell>
          <cell r="C91" t="str">
            <v>VIENA EMPREENDIMENTOS LTDA</v>
          </cell>
          <cell r="D91">
            <v>-84229.6</v>
          </cell>
          <cell r="E91">
            <v>0</v>
          </cell>
          <cell r="F91">
            <v>0</v>
          </cell>
          <cell r="G91">
            <v>84229.6</v>
          </cell>
        </row>
        <row r="92">
          <cell r="B92">
            <v>33754500000000</v>
          </cell>
          <cell r="C92" t="str">
            <v>PREVI - CAIXA DE PREVIDÊNCIA DOS FUNCION</v>
          </cell>
          <cell r="D92">
            <v>0</v>
          </cell>
          <cell r="E92">
            <v>0</v>
          </cell>
          <cell r="F92">
            <v>-276348.53999999998</v>
          </cell>
          <cell r="G92">
            <v>276348.53999999998</v>
          </cell>
        </row>
        <row r="93">
          <cell r="B93">
            <v>3017430000000</v>
          </cell>
          <cell r="C93" t="str">
            <v>NCT INFORMATICA LTDA</v>
          </cell>
          <cell r="D93">
            <v>0</v>
          </cell>
          <cell r="E93">
            <v>6124</v>
          </cell>
          <cell r="F93">
            <v>-6124</v>
          </cell>
          <cell r="G93">
            <v>0</v>
          </cell>
        </row>
        <row r="94">
          <cell r="B94" t="str">
            <v>24602524/0001-10</v>
          </cell>
          <cell r="C94" t="str">
            <v>BIODIESELBR INFORMAÇÃO ESPECIALIZADA LTD</v>
          </cell>
          <cell r="D94">
            <v>0</v>
          </cell>
          <cell r="E94">
            <v>9900</v>
          </cell>
          <cell r="F94">
            <v>-9900</v>
          </cell>
          <cell r="G94">
            <v>0</v>
          </cell>
        </row>
        <row r="95">
          <cell r="B95">
            <v>16727400000000</v>
          </cell>
          <cell r="C95" t="str">
            <v>RIOPAR Participações S/A</v>
          </cell>
          <cell r="D95">
            <v>0</v>
          </cell>
          <cell r="E95">
            <v>5139.96</v>
          </cell>
          <cell r="F95">
            <v>-5139.96</v>
          </cell>
          <cell r="G95">
            <v>0</v>
          </cell>
        </row>
        <row r="96">
          <cell r="B96">
            <v>3535902</v>
          </cell>
          <cell r="C96" t="str">
            <v>DECISION SERVIÇOS DE TECNOLOGIA DA INFOR</v>
          </cell>
          <cell r="D96">
            <v>0</v>
          </cell>
          <cell r="E96">
            <v>1111.1099999999999</v>
          </cell>
          <cell r="F96">
            <v>-232533.11</v>
          </cell>
          <cell r="G96">
            <v>231422</v>
          </cell>
        </row>
        <row r="97">
          <cell r="B97">
            <v>18522900000000</v>
          </cell>
          <cell r="C97" t="str">
            <v>MUNDIVOX COMUNICAÇÕES LTDA</v>
          </cell>
          <cell r="D97">
            <v>0</v>
          </cell>
          <cell r="E97">
            <v>4115.8500000000004</v>
          </cell>
          <cell r="F97">
            <v>-4115.8500000000004</v>
          </cell>
          <cell r="G97">
            <v>0</v>
          </cell>
        </row>
        <row r="98">
          <cell r="B98">
            <v>3200400001</v>
          </cell>
          <cell r="C98" t="str">
            <v>COORDENAÇÃO GERAL DE RECURSOS LOGISTICOS</v>
          </cell>
          <cell r="D98">
            <v>-2176.25</v>
          </cell>
          <cell r="E98">
            <v>0</v>
          </cell>
          <cell r="F98">
            <v>0</v>
          </cell>
          <cell r="G98">
            <v>2176.25</v>
          </cell>
        </row>
        <row r="99">
          <cell r="B99">
            <v>67632200000000</v>
          </cell>
          <cell r="C99" t="str">
            <v>WALM ENG. E TEC. AMBIENTAL LTDA</v>
          </cell>
          <cell r="D99">
            <v>0</v>
          </cell>
          <cell r="E99">
            <v>724806.89</v>
          </cell>
          <cell r="F99">
            <v>-724806.89</v>
          </cell>
          <cell r="G99">
            <v>0</v>
          </cell>
        </row>
        <row r="100">
          <cell r="B100">
            <v>5761750000000</v>
          </cell>
          <cell r="C100" t="str">
            <v>BIOTA PROJETOS E CONSULTORIA AMBIENTAL</v>
          </cell>
          <cell r="D100">
            <v>0</v>
          </cell>
          <cell r="E100">
            <v>830572.7</v>
          </cell>
          <cell r="F100">
            <v>-830572.7</v>
          </cell>
          <cell r="G100">
            <v>0</v>
          </cell>
        </row>
        <row r="101">
          <cell r="B101">
            <v>10348300000000</v>
          </cell>
          <cell r="C101" t="str">
            <v>WINDSOR ADM. DE HOTÉIS E SERVIÇOS</v>
          </cell>
          <cell r="D101">
            <v>0</v>
          </cell>
          <cell r="E101">
            <v>0</v>
          </cell>
          <cell r="F101">
            <v>-5759.42</v>
          </cell>
          <cell r="G101">
            <v>5759.42</v>
          </cell>
        </row>
        <row r="102">
          <cell r="B102">
            <v>23458500000000</v>
          </cell>
          <cell r="C102" t="str">
            <v>4E FOR ECONOMICS CONSULTORIA LTDA</v>
          </cell>
          <cell r="D102">
            <v>0</v>
          </cell>
          <cell r="E102">
            <v>25333.3</v>
          </cell>
          <cell r="F102">
            <v>-25333.3</v>
          </cell>
          <cell r="G102">
            <v>0</v>
          </cell>
        </row>
        <row r="103">
          <cell r="B103">
            <v>52618100000000</v>
          </cell>
          <cell r="C103" t="str">
            <v>GL ELETRO-ELETRONICOS LTDA</v>
          </cell>
          <cell r="D103">
            <v>-359</v>
          </cell>
          <cell r="E103">
            <v>359</v>
          </cell>
          <cell r="F103">
            <v>-359</v>
          </cell>
          <cell r="G103">
            <v>359</v>
          </cell>
        </row>
        <row r="104">
          <cell r="B104">
            <v>2593170000000</v>
          </cell>
          <cell r="C104" t="str">
            <v>GARTNER DO BRASIL SERVIÇOS DE PESQUISA L</v>
          </cell>
          <cell r="D104">
            <v>0</v>
          </cell>
          <cell r="E104">
            <v>0</v>
          </cell>
          <cell r="F104">
            <v>-46525</v>
          </cell>
          <cell r="G104">
            <v>46525</v>
          </cell>
        </row>
        <row r="105">
          <cell r="B105">
            <v>2676310000000</v>
          </cell>
          <cell r="C105" t="str">
            <v>IDEIAS TURISMO EIRELI</v>
          </cell>
          <cell r="D105">
            <v>0</v>
          </cell>
          <cell r="E105">
            <v>86690.2</v>
          </cell>
          <cell r="F105">
            <v>-86690.2</v>
          </cell>
          <cell r="G105">
            <v>0</v>
          </cell>
        </row>
        <row r="106">
          <cell r="B106">
            <v>14031100000000</v>
          </cell>
          <cell r="C106" t="str">
            <v>COND. ED. MARQUES DOS REIS</v>
          </cell>
          <cell r="D106">
            <v>0</v>
          </cell>
          <cell r="E106">
            <v>121034.4</v>
          </cell>
          <cell r="F106">
            <v>-121034.4</v>
          </cell>
          <cell r="G106">
            <v>0</v>
          </cell>
        </row>
        <row r="107">
          <cell r="B107">
            <v>21449300000000</v>
          </cell>
          <cell r="C107" t="str">
            <v>BERKAN AUDITORES INDEPENDENTES S.S</v>
          </cell>
          <cell r="D107">
            <v>0</v>
          </cell>
          <cell r="E107">
            <v>9864.5</v>
          </cell>
          <cell r="F107">
            <v>-9864.5</v>
          </cell>
          <cell r="G107">
            <v>0</v>
          </cell>
        </row>
        <row r="108">
          <cell r="B108">
            <v>74336600000000</v>
          </cell>
          <cell r="C108" t="str">
            <v>ELETROMAGNETICS TEC. E INF. LTDA</v>
          </cell>
          <cell r="D108">
            <v>0</v>
          </cell>
          <cell r="E108">
            <v>0</v>
          </cell>
          <cell r="F108">
            <v>-74341.39</v>
          </cell>
          <cell r="G108">
            <v>74341.39</v>
          </cell>
        </row>
        <row r="109">
          <cell r="B109">
            <v>15011200000000</v>
          </cell>
          <cell r="C109" t="str">
            <v>ESTATER TECNOLOGIA E SERVICOS LTDA</v>
          </cell>
          <cell r="D109">
            <v>0</v>
          </cell>
          <cell r="E109">
            <v>792</v>
          </cell>
          <cell r="F109">
            <v>-792</v>
          </cell>
          <cell r="G109">
            <v>0</v>
          </cell>
        </row>
        <row r="110">
          <cell r="B110">
            <v>3364280000000</v>
          </cell>
          <cell r="C110" t="str">
            <v>AUTODATA SEMINARIOS E EDITORA LTDA</v>
          </cell>
          <cell r="D110">
            <v>0</v>
          </cell>
          <cell r="E110">
            <v>2305.5</v>
          </cell>
          <cell r="F110">
            <v>-2305.5</v>
          </cell>
          <cell r="G110">
            <v>0</v>
          </cell>
        </row>
        <row r="111">
          <cell r="B111">
            <v>7718940000000</v>
          </cell>
          <cell r="C111" t="str">
            <v>ZILMA WAVGENCZAK ME.</v>
          </cell>
          <cell r="D111">
            <v>0</v>
          </cell>
          <cell r="E111">
            <v>140</v>
          </cell>
          <cell r="F111">
            <v>-140</v>
          </cell>
          <cell r="G111">
            <v>0</v>
          </cell>
        </row>
        <row r="112">
          <cell r="B112">
            <v>9079570000000</v>
          </cell>
          <cell r="C112" t="str">
            <v>TOTAL LIFE ASSISTENCIA A VIDA LTDA</v>
          </cell>
          <cell r="D112">
            <v>0</v>
          </cell>
          <cell r="E112">
            <v>0</v>
          </cell>
          <cell r="F112">
            <v>-2914.22</v>
          </cell>
          <cell r="G112">
            <v>2914.22</v>
          </cell>
        </row>
        <row r="113">
          <cell r="B113">
            <v>39545600000000</v>
          </cell>
          <cell r="C113" t="str">
            <v>CVE EVENTOS LTDA</v>
          </cell>
          <cell r="D113">
            <v>0</v>
          </cell>
          <cell r="E113">
            <v>0</v>
          </cell>
          <cell r="F113">
            <v>-2160</v>
          </cell>
          <cell r="G113">
            <v>2160</v>
          </cell>
        </row>
        <row r="114">
          <cell r="B114">
            <v>19088600000000</v>
          </cell>
          <cell r="C114" t="str">
            <v>MGS CLEAN SOLUÇÕES E SERVIÇOS</v>
          </cell>
          <cell r="D114">
            <v>-60000</v>
          </cell>
          <cell r="E114">
            <v>52152.86</v>
          </cell>
          <cell r="F114">
            <v>-136472.88</v>
          </cell>
          <cell r="G114">
            <v>144320.01999999999</v>
          </cell>
        </row>
        <row r="115">
          <cell r="B115">
            <v>398099000000</v>
          </cell>
          <cell r="C115" t="str">
            <v>ASSOCIAÇÃO BRASILEIRA DE ORÇAMENTO PÚBLICO</v>
          </cell>
          <cell r="D115">
            <v>-9000</v>
          </cell>
          <cell r="E115">
            <v>9000</v>
          </cell>
          <cell r="F115">
            <v>0</v>
          </cell>
          <cell r="G115">
            <v>0</v>
          </cell>
        </row>
        <row r="116">
          <cell r="B116">
            <v>10242700000000</v>
          </cell>
          <cell r="C116" t="str">
            <v>BUYSOFT DO BRASIL LTDA</v>
          </cell>
          <cell r="D116">
            <v>-11200</v>
          </cell>
          <cell r="E116">
            <v>11200</v>
          </cell>
          <cell r="F116">
            <v>0</v>
          </cell>
          <cell r="G116">
            <v>0</v>
          </cell>
        </row>
        <row r="117">
          <cell r="B117">
            <v>34036200000000</v>
          </cell>
          <cell r="C117" t="str">
            <v>TIME MULTISSERVIÇOS LTDA</v>
          </cell>
          <cell r="D117">
            <v>-60000</v>
          </cell>
          <cell r="E117">
            <v>125931.93</v>
          </cell>
          <cell r="F117">
            <v>-149839.73000000001</v>
          </cell>
          <cell r="G117">
            <v>83907.8</v>
          </cell>
        </row>
        <row r="118">
          <cell r="B118">
            <v>36813600000000</v>
          </cell>
          <cell r="C118" t="str">
            <v>GESTAO QUANTUM CENTRO DE PROCESSAMENTO CONTABIL</v>
          </cell>
          <cell r="D118">
            <v>-14358.79</v>
          </cell>
          <cell r="E118">
            <v>14358.79</v>
          </cell>
          <cell r="F118">
            <v>-14358.79</v>
          </cell>
          <cell r="G118">
            <v>14358.79</v>
          </cell>
        </row>
        <row r="119">
          <cell r="B119">
            <v>8294690000000</v>
          </cell>
          <cell r="C119" t="str">
            <v>WAYCARBON SOLUCOES AMBIENTAIS E PROJETOS DE CARBONO LT</v>
          </cell>
          <cell r="D119">
            <v>0</v>
          </cell>
          <cell r="E119">
            <v>0</v>
          </cell>
          <cell r="F119">
            <v>-120000</v>
          </cell>
          <cell r="G119">
            <v>120000</v>
          </cell>
        </row>
        <row r="120">
          <cell r="B120">
            <v>3657350000000</v>
          </cell>
          <cell r="C120" t="str">
            <v>ASSOCIAÇÃO BRASILEIRA DE AGENCIAS DE REGULAÇÃO - ABAR</v>
          </cell>
          <cell r="D120">
            <v>0</v>
          </cell>
          <cell r="E120">
            <v>3960</v>
          </cell>
          <cell r="F120">
            <v>-3960</v>
          </cell>
          <cell r="G120">
            <v>0</v>
          </cell>
        </row>
        <row r="121">
          <cell r="B121">
            <v>34977900000000</v>
          </cell>
          <cell r="C121" t="str">
            <v>RMA ENGENHARIA LTDA</v>
          </cell>
          <cell r="D121">
            <v>0</v>
          </cell>
          <cell r="E121">
            <v>0</v>
          </cell>
          <cell r="F121">
            <v>-1400</v>
          </cell>
          <cell r="G121">
            <v>1400</v>
          </cell>
        </row>
        <row r="122">
          <cell r="B122">
            <v>25131900000000</v>
          </cell>
          <cell r="C122" t="str">
            <v>MOBIX ORGANIZACAO E PRODUCAO DE EVENTOS LTDA</v>
          </cell>
          <cell r="D122">
            <v>0</v>
          </cell>
          <cell r="E122">
            <v>0</v>
          </cell>
          <cell r="F122">
            <v>-5700</v>
          </cell>
          <cell r="G122">
            <v>5700</v>
          </cell>
        </row>
        <row r="123">
          <cell r="B123">
            <v>33267100000000</v>
          </cell>
          <cell r="C123" t="str">
            <v>KANELS VAREJO ESPECIALIZADO EM EQUIPAMENTOS DE AUDIO E VIDEO EIRELI</v>
          </cell>
          <cell r="D123">
            <v>0</v>
          </cell>
          <cell r="E123">
            <v>0</v>
          </cell>
          <cell r="F123">
            <v>-49665</v>
          </cell>
          <cell r="G123">
            <v>49665</v>
          </cell>
        </row>
        <row r="124">
          <cell r="B124">
            <v>33198300000000</v>
          </cell>
          <cell r="C124" t="str">
            <v>REFRIGERACAO IV CENTENARIO EIRELI</v>
          </cell>
          <cell r="D124">
            <v>0</v>
          </cell>
          <cell r="E124">
            <v>499.6</v>
          </cell>
          <cell r="F124">
            <v>-499.6</v>
          </cell>
          <cell r="G124">
            <v>0</v>
          </cell>
        </row>
        <row r="125">
          <cell r="B125">
            <v>26543900000000</v>
          </cell>
          <cell r="C125" t="str">
            <v>GRAPHIX COPIAS E IMPRESSOES EIRELI ME</v>
          </cell>
          <cell r="D125">
            <v>-320</v>
          </cell>
          <cell r="E125">
            <v>320</v>
          </cell>
          <cell r="F125">
            <v>0</v>
          </cell>
          <cell r="G125">
            <v>0</v>
          </cell>
        </row>
        <row r="126">
          <cell r="B126">
            <v>10740900000000</v>
          </cell>
          <cell r="C126" t="str">
            <v>A &amp; A TRADUCOES E INTERPRETACOES LTDA</v>
          </cell>
          <cell r="D126">
            <v>-496</v>
          </cell>
          <cell r="E126">
            <v>496</v>
          </cell>
          <cell r="F126">
            <v>0</v>
          </cell>
          <cell r="G126">
            <v>0</v>
          </cell>
        </row>
        <row r="127">
          <cell r="B127">
            <v>28712100000000</v>
          </cell>
          <cell r="C127" t="str">
            <v>MODULO SECURITY SOLUTIONS EM RECUPERACAO JUDICIAL</v>
          </cell>
          <cell r="D127">
            <v>0</v>
          </cell>
          <cell r="E127">
            <v>0</v>
          </cell>
          <cell r="F127">
            <v>-4500</v>
          </cell>
          <cell r="G127">
            <v>4500</v>
          </cell>
        </row>
        <row r="128">
          <cell r="B128">
            <v>1406620000000</v>
          </cell>
          <cell r="C128" t="str">
            <v>AGENCIA DE INTEGRAÇÃO ESCOLA LTDA</v>
          </cell>
          <cell r="D128">
            <v>-55171.46</v>
          </cell>
          <cell r="E128">
            <v>111929.82</v>
          </cell>
          <cell r="F128">
            <v>-56758.36</v>
          </cell>
          <cell r="G128">
            <v>0</v>
          </cell>
        </row>
        <row r="129">
          <cell r="B129">
            <v>12499500000000</v>
          </cell>
          <cell r="C129" t="str">
            <v>CLICKSIGN GESTAO DE DOCUMENTOS S/A</v>
          </cell>
          <cell r="D129">
            <v>0</v>
          </cell>
          <cell r="E129">
            <v>232.2</v>
          </cell>
          <cell r="F129">
            <v>-232.2</v>
          </cell>
          <cell r="G129">
            <v>0</v>
          </cell>
        </row>
        <row r="130">
          <cell r="B130">
            <v>7843950000000</v>
          </cell>
          <cell r="C130" t="str">
            <v>CHESTNUT GLOBAL PARTNERS DO BRASIL LTDA</v>
          </cell>
          <cell r="D130">
            <v>0</v>
          </cell>
          <cell r="E130">
            <v>2750</v>
          </cell>
          <cell r="F130">
            <v>-2750</v>
          </cell>
          <cell r="G130">
            <v>0</v>
          </cell>
        </row>
        <row r="131">
          <cell r="B131">
            <v>72061000000000</v>
          </cell>
          <cell r="C131" t="str">
            <v>FUNDACAO COORDENACAO DE PROJETOS PESQUISAS E ESTUDOS</v>
          </cell>
          <cell r="D131">
            <v>0</v>
          </cell>
          <cell r="E131">
            <v>0</v>
          </cell>
          <cell r="F131">
            <v>-110579.72</v>
          </cell>
          <cell r="G131">
            <v>110579.72</v>
          </cell>
        </row>
        <row r="132">
          <cell r="B132">
            <v>35419400000000</v>
          </cell>
          <cell r="C132" t="str">
            <v>HIGH SERVICOS DE COMPLIANCE LTDA</v>
          </cell>
          <cell r="D132">
            <v>0</v>
          </cell>
          <cell r="E132">
            <v>0</v>
          </cell>
          <cell r="F132">
            <v>-1291.67</v>
          </cell>
          <cell r="G132">
            <v>1291.67</v>
          </cell>
        </row>
        <row r="133">
          <cell r="B133">
            <v>12979000000000</v>
          </cell>
          <cell r="C133" t="str">
            <v>T &amp; S LOCACAO DE MAO DE OBRA EM GERAL EIRELI</v>
          </cell>
          <cell r="D133">
            <v>0</v>
          </cell>
          <cell r="E133">
            <v>3695.46</v>
          </cell>
          <cell r="F133">
            <v>-33595.06</v>
          </cell>
          <cell r="G133">
            <v>29899.599999999999</v>
          </cell>
        </row>
        <row r="134">
          <cell r="B134">
            <v>23689400000000</v>
          </cell>
          <cell r="C134" t="str">
            <v>SPUTNIK CURSOS LTDA</v>
          </cell>
          <cell r="D134">
            <v>0</v>
          </cell>
          <cell r="E134">
            <v>47468.94</v>
          </cell>
          <cell r="F134">
            <v>-47468.94</v>
          </cell>
          <cell r="G134">
            <v>0</v>
          </cell>
        </row>
        <row r="135">
          <cell r="B135">
            <v>38056400000000</v>
          </cell>
          <cell r="C135" t="str">
            <v>IOS INFORMATICA, ORGANIZACAO E SISTEMAS LTDA</v>
          </cell>
          <cell r="D135">
            <v>0</v>
          </cell>
          <cell r="E135">
            <v>32530.11</v>
          </cell>
          <cell r="F135">
            <v>-32530.11</v>
          </cell>
          <cell r="G135">
            <v>0</v>
          </cell>
        </row>
        <row r="136">
          <cell r="B136">
            <v>14113000000000</v>
          </cell>
          <cell r="C136" t="str">
            <v>DIVERSA CONSULTORIA E PLANEJAMENTO EM SUSTENTABILIDADE</v>
          </cell>
          <cell r="D136">
            <v>0</v>
          </cell>
          <cell r="E136">
            <v>0</v>
          </cell>
          <cell r="F136">
            <v>-119396.23</v>
          </cell>
          <cell r="G136">
            <v>119396.23</v>
          </cell>
        </row>
        <row r="137">
          <cell r="B137">
            <v>7857620000000</v>
          </cell>
          <cell r="C137" t="str">
            <v>MENEZES NIEBUHR SOCIEDADE DE ADVOGADOS</v>
          </cell>
          <cell r="D137">
            <v>0</v>
          </cell>
          <cell r="E137">
            <v>0</v>
          </cell>
          <cell r="F137">
            <v>-75000</v>
          </cell>
          <cell r="G137">
            <v>75000</v>
          </cell>
        </row>
        <row r="138">
          <cell r="B138" t="str">
            <v>01707536/000104</v>
          </cell>
          <cell r="C138" t="str">
            <v>ISH TECNOLOGIA S/A</v>
          </cell>
          <cell r="D138">
            <v>0</v>
          </cell>
          <cell r="E138">
            <v>36354.17</v>
          </cell>
          <cell r="F138">
            <v>-36354.17</v>
          </cell>
          <cell r="G138">
            <v>0</v>
          </cell>
        </row>
        <row r="139">
          <cell r="B139">
            <v>34260600000000</v>
          </cell>
          <cell r="C139" t="str">
            <v>CONSELHO REGIONAL DE ENGENHARIA E AGRONOMIA DO RIO DE JANEIRO</v>
          </cell>
          <cell r="D139">
            <v>-2346.33</v>
          </cell>
          <cell r="E139">
            <v>0</v>
          </cell>
          <cell r="F139">
            <v>0</v>
          </cell>
          <cell r="G139">
            <v>2346.33</v>
          </cell>
        </row>
        <row r="140">
          <cell r="B140">
            <v>29483800000000</v>
          </cell>
          <cell r="C140" t="str">
            <v>FS TECNOLOGIA TREINAMENTO EM DESENVOLVIMENTO</v>
          </cell>
          <cell r="D140">
            <v>0</v>
          </cell>
          <cell r="E140">
            <v>3962.92</v>
          </cell>
          <cell r="F140">
            <v>-3962.92</v>
          </cell>
          <cell r="G140">
            <v>0</v>
          </cell>
        </row>
        <row r="141">
          <cell r="B141">
            <v>30920300000000</v>
          </cell>
          <cell r="C141" t="str">
            <v>SANEMIX MUNDO DOS SERVICOS EIRELI</v>
          </cell>
          <cell r="D141">
            <v>0</v>
          </cell>
          <cell r="E141">
            <v>3200</v>
          </cell>
          <cell r="F141">
            <v>-3200</v>
          </cell>
          <cell r="G141">
            <v>0</v>
          </cell>
        </row>
        <row r="142">
          <cell r="B142">
            <v>32681700000000</v>
          </cell>
          <cell r="C142" t="str">
            <v>PLM - AUDITORIA E CONSULTORIA LTDA</v>
          </cell>
          <cell r="D142">
            <v>0</v>
          </cell>
          <cell r="E142">
            <v>0</v>
          </cell>
          <cell r="F142">
            <v>-193</v>
          </cell>
          <cell r="G142">
            <v>193</v>
          </cell>
        </row>
        <row r="143">
          <cell r="B143">
            <v>8401150000000</v>
          </cell>
          <cell r="C143" t="str">
            <v>EXACTTUS CONSULTORIA ATUARIAL LTDA</v>
          </cell>
          <cell r="D143">
            <v>0</v>
          </cell>
          <cell r="E143">
            <v>0</v>
          </cell>
          <cell r="F143">
            <v>-84711.58</v>
          </cell>
          <cell r="G143">
            <v>84711.58</v>
          </cell>
        </row>
        <row r="144">
          <cell r="B144">
            <v>27553300000000</v>
          </cell>
          <cell r="C144" t="str">
            <v>INFRA JORNALISMO LTDA</v>
          </cell>
          <cell r="D144">
            <v>0</v>
          </cell>
          <cell r="E144">
            <v>1600</v>
          </cell>
          <cell r="F144">
            <v>-1600</v>
          </cell>
          <cell r="G144">
            <v>0</v>
          </cell>
        </row>
        <row r="145">
          <cell r="B145">
            <v>16724700000000</v>
          </cell>
          <cell r="C145" t="str">
            <v>M &amp; J OFICINA DE CADEIRAS EIRELI ME</v>
          </cell>
          <cell r="D145">
            <v>-199</v>
          </cell>
          <cell r="E145">
            <v>199</v>
          </cell>
          <cell r="F145">
            <v>0</v>
          </cell>
          <cell r="G145">
            <v>0</v>
          </cell>
        </row>
        <row r="146">
          <cell r="B146">
            <v>45660300000000</v>
          </cell>
          <cell r="C146" t="str">
            <v>SOLAR SOLUTIONS SOLUÇÕES SOLARES LTDA</v>
          </cell>
          <cell r="D146">
            <v>0</v>
          </cell>
          <cell r="E146">
            <v>18000</v>
          </cell>
          <cell r="F146">
            <v>-18000</v>
          </cell>
          <cell r="G146">
            <v>0</v>
          </cell>
        </row>
        <row r="147">
          <cell r="B147">
            <v>1337720000000</v>
          </cell>
          <cell r="C147" t="str">
            <v>MARILIA REBELLO &amp; ASSOCIADOS LTDA</v>
          </cell>
          <cell r="D147">
            <v>0</v>
          </cell>
          <cell r="E147">
            <v>4410</v>
          </cell>
          <cell r="F147">
            <v>-4410</v>
          </cell>
          <cell r="G147">
            <v>0</v>
          </cell>
        </row>
        <row r="148">
          <cell r="B148">
            <v>13016900000000</v>
          </cell>
          <cell r="C148" t="str">
            <v>AVALOR ENGENHARIA DE AVALIACOES LTDA</v>
          </cell>
          <cell r="D148">
            <v>0</v>
          </cell>
          <cell r="E148">
            <v>7950</v>
          </cell>
          <cell r="F148">
            <v>-7950</v>
          </cell>
          <cell r="G148">
            <v>0</v>
          </cell>
        </row>
        <row r="149">
          <cell r="B149">
            <v>23312600000000</v>
          </cell>
          <cell r="C149" t="str">
            <v>CURSOS VAI QUE DA LTDA - ME</v>
          </cell>
          <cell r="D149">
            <v>0</v>
          </cell>
          <cell r="E149">
            <v>1204.2</v>
          </cell>
          <cell r="F149">
            <v>-1204.2</v>
          </cell>
          <cell r="G149">
            <v>0</v>
          </cell>
        </row>
        <row r="150">
          <cell r="B150">
            <v>5630090000000</v>
          </cell>
          <cell r="C150" t="str">
            <v>VICMA COMERCIO DE EQUIPAMENTOS PARA ESCRITORIO LTDA</v>
          </cell>
          <cell r="D150">
            <v>0</v>
          </cell>
          <cell r="E150">
            <v>0</v>
          </cell>
          <cell r="F150">
            <v>-562.95000000000005</v>
          </cell>
          <cell r="G150">
            <v>562.95000000000005</v>
          </cell>
        </row>
        <row r="151">
          <cell r="B151">
            <v>12654500000000</v>
          </cell>
          <cell r="C151" t="str">
            <v>BARCINO TREINAMENTO E GESTAO LTDA-ME</v>
          </cell>
          <cell r="D151">
            <v>0</v>
          </cell>
          <cell r="E151">
            <v>0</v>
          </cell>
          <cell r="F151">
            <v>-1490</v>
          </cell>
          <cell r="G151">
            <v>1490</v>
          </cell>
        </row>
        <row r="152">
          <cell r="B152">
            <v>2114998</v>
          </cell>
          <cell r="C152" t="str">
            <v>Fornecedores a Classificar</v>
          </cell>
          <cell r="D152">
            <v>0</v>
          </cell>
          <cell r="E152">
            <v>496963.4</v>
          </cell>
          <cell r="F152">
            <v>-496963.4</v>
          </cell>
          <cell r="G152">
            <v>0</v>
          </cell>
        </row>
        <row r="153">
          <cell r="B153">
            <v>9199790000000</v>
          </cell>
          <cell r="C153" t="str">
            <v>PREMIER CURSOS LTDA</v>
          </cell>
          <cell r="D153">
            <v>0</v>
          </cell>
          <cell r="E153">
            <v>960</v>
          </cell>
          <cell r="F153">
            <v>-960</v>
          </cell>
          <cell r="G153">
            <v>0</v>
          </cell>
        </row>
        <row r="154">
          <cell r="B154">
            <v>38458400000000</v>
          </cell>
          <cell r="C154" t="str">
            <v>EXXPRESS BRINDES LTDA</v>
          </cell>
          <cell r="D154">
            <v>0</v>
          </cell>
          <cell r="E154">
            <v>0</v>
          </cell>
          <cell r="F154">
            <v>-3576</v>
          </cell>
          <cell r="G154">
            <v>3576</v>
          </cell>
        </row>
        <row r="155">
          <cell r="B155">
            <v>2117</v>
          </cell>
          <cell r="C155" t="str">
            <v>Retenções Tributárias</v>
          </cell>
          <cell r="D155">
            <v>-20105.05</v>
          </cell>
          <cell r="E155">
            <v>1083929.73</v>
          </cell>
          <cell r="F155">
            <v>-1083178.93</v>
          </cell>
          <cell r="G155">
            <v>19354.25</v>
          </cell>
        </row>
        <row r="156">
          <cell r="B156">
            <v>561</v>
          </cell>
          <cell r="C156" t="str">
            <v>IRRF a Recolher de Empregados</v>
          </cell>
          <cell r="D156">
            <v>-6149.26</v>
          </cell>
          <cell r="E156">
            <v>875484.18</v>
          </cell>
          <cell r="F156">
            <v>-870850.74</v>
          </cell>
          <cell r="G156">
            <v>1515.82</v>
          </cell>
        </row>
        <row r="157">
          <cell r="B157" t="str">
            <v>INSS</v>
          </cell>
          <cell r="C157" t="str">
            <v>INSS DE TERCEIROS</v>
          </cell>
          <cell r="D157">
            <v>-13955.79</v>
          </cell>
          <cell r="E157">
            <v>13955.79</v>
          </cell>
          <cell r="F157">
            <v>-17838.43</v>
          </cell>
          <cell r="G157">
            <v>17838.43</v>
          </cell>
        </row>
        <row r="158">
          <cell r="B158">
            <v>6147</v>
          </cell>
          <cell r="C158" t="str">
            <v>Ret IN 539/05 - IR/CS/PIS/COFINS - 5,85%</v>
          </cell>
          <cell r="D158">
            <v>0</v>
          </cell>
          <cell r="E158">
            <v>2470.75</v>
          </cell>
          <cell r="F158">
            <v>-2470.75</v>
          </cell>
          <cell r="G158">
            <v>0</v>
          </cell>
        </row>
        <row r="159">
          <cell r="B159">
            <v>6190</v>
          </cell>
          <cell r="C159" t="str">
            <v>Ret IN 539/05 - IR/CS/PIS/COFINS - 9,45%</v>
          </cell>
          <cell r="D159">
            <v>0</v>
          </cell>
          <cell r="E159">
            <v>185389</v>
          </cell>
          <cell r="F159">
            <v>-185389</v>
          </cell>
          <cell r="G159">
            <v>0</v>
          </cell>
        </row>
        <row r="160">
          <cell r="B160">
            <v>6175</v>
          </cell>
          <cell r="C160" t="str">
            <v>Ret IN 539/05 - IR/CS/PIS/COFINS - 7,05%</v>
          </cell>
          <cell r="D160">
            <v>0</v>
          </cell>
          <cell r="E160">
            <v>4217.62</v>
          </cell>
          <cell r="F160">
            <v>-4217.62</v>
          </cell>
          <cell r="G160">
            <v>0</v>
          </cell>
        </row>
        <row r="161">
          <cell r="B161" t="str">
            <v>ISS</v>
          </cell>
          <cell r="C161" t="str">
            <v>ISS de Terceiros</v>
          </cell>
          <cell r="D161">
            <v>0</v>
          </cell>
          <cell r="E161">
            <v>2412.39</v>
          </cell>
          <cell r="F161">
            <v>-2412.39</v>
          </cell>
          <cell r="G161">
            <v>0</v>
          </cell>
        </row>
        <row r="162">
          <cell r="B162">
            <v>2118</v>
          </cell>
          <cell r="C162" t="str">
            <v>Obrigações Trabalhistas e Sociais</v>
          </cell>
          <cell r="D162">
            <v>-18281629.399999999</v>
          </cell>
          <cell r="E162">
            <v>7629366.5300000003</v>
          </cell>
          <cell r="F162">
            <v>-7961302.7400000002</v>
          </cell>
          <cell r="G162">
            <v>18613565.609999999</v>
          </cell>
        </row>
        <row r="163">
          <cell r="B163">
            <v>21181</v>
          </cell>
          <cell r="C163" t="str">
            <v>Salários a Pagar</v>
          </cell>
          <cell r="D163">
            <v>-3104122.72</v>
          </cell>
          <cell r="E163">
            <v>4955956.92</v>
          </cell>
          <cell r="F163">
            <v>-4978019.6399999997</v>
          </cell>
          <cell r="G163">
            <v>3126185.44</v>
          </cell>
        </row>
        <row r="164">
          <cell r="B164">
            <v>21182</v>
          </cell>
          <cell r="C164" t="str">
            <v>13º Salário a Pagar</v>
          </cell>
          <cell r="D164">
            <v>-3704105.01</v>
          </cell>
          <cell r="E164">
            <v>0</v>
          </cell>
          <cell r="F164">
            <v>-368971.21</v>
          </cell>
          <cell r="G164">
            <v>4073076.22</v>
          </cell>
        </row>
        <row r="165">
          <cell r="B165">
            <v>21183</v>
          </cell>
          <cell r="C165" t="str">
            <v>Férias a Pagar</v>
          </cell>
          <cell r="D165">
            <v>-6706501.2599999998</v>
          </cell>
          <cell r="E165">
            <v>544017.86</v>
          </cell>
          <cell r="F165">
            <v>-465163.88</v>
          </cell>
          <cell r="G165">
            <v>6627647.2800000003</v>
          </cell>
        </row>
        <row r="166">
          <cell r="B166">
            <v>21184</v>
          </cell>
          <cell r="C166" t="str">
            <v>INSS a Recolher</v>
          </cell>
          <cell r="D166">
            <v>-1168302.3799999999</v>
          </cell>
          <cell r="E166">
            <v>1185283.3700000001</v>
          </cell>
          <cell r="F166">
            <v>-1169608.5900000001</v>
          </cell>
          <cell r="G166">
            <v>1152627.6000000001</v>
          </cell>
        </row>
        <row r="167">
          <cell r="B167">
            <v>21185</v>
          </cell>
          <cell r="C167" t="str">
            <v>FGTS a Recolher</v>
          </cell>
          <cell r="D167">
            <v>-372717.07</v>
          </cell>
          <cell r="E167">
            <v>372717.11</v>
          </cell>
          <cell r="F167">
            <v>-368450.94</v>
          </cell>
          <cell r="G167">
            <v>368450.9</v>
          </cell>
        </row>
        <row r="168">
          <cell r="B168">
            <v>21186</v>
          </cell>
          <cell r="C168" t="str">
            <v>Contribuição Sindical a Pagar</v>
          </cell>
          <cell r="D168">
            <v>0</v>
          </cell>
          <cell r="E168">
            <v>145</v>
          </cell>
          <cell r="F168">
            <v>-145</v>
          </cell>
          <cell r="G168">
            <v>0</v>
          </cell>
        </row>
        <row r="169">
          <cell r="B169">
            <v>21187</v>
          </cell>
          <cell r="C169" t="str">
            <v>Pensão Alimentícia</v>
          </cell>
          <cell r="D169">
            <v>0</v>
          </cell>
          <cell r="E169">
            <v>11942.52</v>
          </cell>
          <cell r="F169">
            <v>-11942.52</v>
          </cell>
          <cell r="G169">
            <v>0</v>
          </cell>
        </row>
        <row r="170">
          <cell r="B170">
            <v>21188</v>
          </cell>
          <cell r="C170" t="str">
            <v>Rescisões a Pagar</v>
          </cell>
          <cell r="D170">
            <v>-37866.81</v>
          </cell>
          <cell r="E170">
            <v>66170.98</v>
          </cell>
          <cell r="F170">
            <v>-28304.17</v>
          </cell>
          <cell r="G170">
            <v>0</v>
          </cell>
        </row>
        <row r="171">
          <cell r="B171">
            <v>21189</v>
          </cell>
          <cell r="C171" t="str">
            <v>Previdência Privada Complementar</v>
          </cell>
          <cell r="D171">
            <v>-333292.99</v>
          </cell>
          <cell r="E171">
            <v>333292.99</v>
          </cell>
          <cell r="F171">
            <v>-330245.62</v>
          </cell>
          <cell r="G171">
            <v>330245.62</v>
          </cell>
        </row>
        <row r="172">
          <cell r="B172">
            <v>211810</v>
          </cell>
          <cell r="C172" t="str">
            <v>INSS s/ 13º Salario a Pagar</v>
          </cell>
          <cell r="D172">
            <v>-773366.42</v>
          </cell>
          <cell r="E172">
            <v>0</v>
          </cell>
          <cell r="F172">
            <v>-77034.53</v>
          </cell>
          <cell r="G172">
            <v>850400.95</v>
          </cell>
        </row>
        <row r="173">
          <cell r="B173">
            <v>211811</v>
          </cell>
          <cell r="C173" t="str">
            <v>FGTS s/ 13º Salario a Pagar</v>
          </cell>
          <cell r="D173">
            <v>-126117.47</v>
          </cell>
          <cell r="E173">
            <v>0</v>
          </cell>
          <cell r="F173">
            <v>-29346.69</v>
          </cell>
          <cell r="G173">
            <v>155464.16</v>
          </cell>
        </row>
        <row r="174">
          <cell r="B174">
            <v>211812</v>
          </cell>
          <cell r="C174" t="str">
            <v>INSS s/ Férias a Pagar</v>
          </cell>
          <cell r="D174">
            <v>-1415861.8</v>
          </cell>
          <cell r="E174">
            <v>115746.07</v>
          </cell>
          <cell r="F174">
            <v>-97085.04</v>
          </cell>
          <cell r="G174">
            <v>1397200.77</v>
          </cell>
        </row>
        <row r="175">
          <cell r="B175">
            <v>211813</v>
          </cell>
          <cell r="C175" t="str">
            <v>FGTS s/ Férias a Pagar</v>
          </cell>
          <cell r="D175">
            <v>-539375.47</v>
          </cell>
          <cell r="E175">
            <v>44093.71</v>
          </cell>
          <cell r="F175">
            <v>-36984.910000000003</v>
          </cell>
          <cell r="G175">
            <v>532266.67000000004</v>
          </cell>
        </row>
        <row r="176">
          <cell r="B176">
            <v>211110</v>
          </cell>
          <cell r="C176" t="str">
            <v>Provisões p/ Contingências</v>
          </cell>
          <cell r="D176">
            <v>-2801632.42</v>
          </cell>
          <cell r="E176">
            <v>0</v>
          </cell>
          <cell r="F176">
            <v>-12933.06</v>
          </cell>
          <cell r="G176">
            <v>2814565.48</v>
          </cell>
        </row>
        <row r="177">
          <cell r="B177">
            <v>211111</v>
          </cell>
          <cell r="C177" t="str">
            <v>Provisão p/ Contingências Trabalhistas</v>
          </cell>
          <cell r="D177">
            <v>-2801632.42</v>
          </cell>
          <cell r="E177">
            <v>0</v>
          </cell>
          <cell r="F177">
            <v>-12933.06</v>
          </cell>
          <cell r="G177">
            <v>2814565.48</v>
          </cell>
        </row>
        <row r="178">
          <cell r="B178">
            <v>21114</v>
          </cell>
          <cell r="C178" t="str">
            <v>Obrigações com a Cessão de Pessoal</v>
          </cell>
          <cell r="D178">
            <v>-41393.81</v>
          </cell>
          <cell r="E178">
            <v>32898.67</v>
          </cell>
          <cell r="F178">
            <v>-32898.67</v>
          </cell>
          <cell r="G178">
            <v>41393.81</v>
          </cell>
        </row>
        <row r="179">
          <cell r="B179">
            <v>211145</v>
          </cell>
          <cell r="C179" t="str">
            <v>Obrigações com o STJ</v>
          </cell>
          <cell r="D179">
            <v>-24403.53</v>
          </cell>
          <cell r="E179">
            <v>24403.53</v>
          </cell>
          <cell r="F179">
            <v>-24403.53</v>
          </cell>
          <cell r="G179">
            <v>24403.53</v>
          </cell>
        </row>
        <row r="180">
          <cell r="B180">
            <v>211147</v>
          </cell>
          <cell r="C180" t="str">
            <v>Obrigações com a USP</v>
          </cell>
          <cell r="D180">
            <v>-16990.28</v>
          </cell>
          <cell r="E180">
            <v>8495.14</v>
          </cell>
          <cell r="F180">
            <v>-8495.14</v>
          </cell>
          <cell r="G180">
            <v>16990.28</v>
          </cell>
        </row>
        <row r="181">
          <cell r="B181">
            <v>21115</v>
          </cell>
          <cell r="C181" t="str">
            <v>Previdência Privada Complementar</v>
          </cell>
          <cell r="D181">
            <v>-329466.18</v>
          </cell>
          <cell r="E181">
            <v>329466.18</v>
          </cell>
          <cell r="F181">
            <v>-326418.81</v>
          </cell>
          <cell r="G181">
            <v>326418.81</v>
          </cell>
        </row>
        <row r="182">
          <cell r="B182">
            <v>211151</v>
          </cell>
          <cell r="C182" t="str">
            <v>Fundação ELETROS</v>
          </cell>
          <cell r="D182">
            <v>-329466.18</v>
          </cell>
          <cell r="E182">
            <v>329466.18</v>
          </cell>
          <cell r="F182">
            <v>-326418.81</v>
          </cell>
          <cell r="G182">
            <v>326418.81</v>
          </cell>
        </row>
        <row r="183">
          <cell r="B183">
            <v>22</v>
          </cell>
          <cell r="C183" t="str">
            <v>Passivo Não Circulante</v>
          </cell>
          <cell r="D183">
            <v>-7035275.1500000004</v>
          </cell>
          <cell r="E183">
            <v>0</v>
          </cell>
          <cell r="F183">
            <v>-53397.9</v>
          </cell>
          <cell r="G183">
            <v>7088673.0499999998</v>
          </cell>
        </row>
        <row r="184">
          <cell r="B184">
            <v>221</v>
          </cell>
          <cell r="C184" t="str">
            <v>Obrigações de Longo Prazo</v>
          </cell>
          <cell r="D184">
            <v>-7035275.1500000004</v>
          </cell>
          <cell r="E184">
            <v>0</v>
          </cell>
          <cell r="F184">
            <v>-53397.9</v>
          </cell>
          <cell r="G184">
            <v>7088673.0499999998</v>
          </cell>
        </row>
        <row r="185">
          <cell r="B185">
            <v>2215</v>
          </cell>
          <cell r="C185" t="str">
            <v>Provisões p/ Contingências</v>
          </cell>
          <cell r="D185">
            <v>-7035275.1500000004</v>
          </cell>
          <cell r="E185">
            <v>0</v>
          </cell>
          <cell r="F185">
            <v>-53397.9</v>
          </cell>
          <cell r="G185">
            <v>7088673.0499999998</v>
          </cell>
        </row>
        <row r="186">
          <cell r="B186">
            <v>22151</v>
          </cell>
          <cell r="C186" t="str">
            <v>Provisão p/ Contingências Trabalhistas</v>
          </cell>
          <cell r="D186">
            <v>-400410.97</v>
          </cell>
          <cell r="E186">
            <v>0</v>
          </cell>
          <cell r="F186">
            <v>-1615.87</v>
          </cell>
          <cell r="G186">
            <v>402026.84</v>
          </cell>
        </row>
        <row r="187">
          <cell r="B187">
            <v>22152</v>
          </cell>
          <cell r="C187" t="str">
            <v>Provisão p/ Contingências Civeis</v>
          </cell>
          <cell r="D187">
            <v>-1187.67</v>
          </cell>
          <cell r="E187">
            <v>0</v>
          </cell>
          <cell r="F187">
            <v>-5.48</v>
          </cell>
          <cell r="G187">
            <v>1193.1500000000001</v>
          </cell>
        </row>
        <row r="188">
          <cell r="B188">
            <v>22153</v>
          </cell>
          <cell r="C188" t="str">
            <v>Provisão p/ Contingências Fiscais</v>
          </cell>
          <cell r="D188">
            <v>-6631319.3300000001</v>
          </cell>
          <cell r="E188">
            <v>0</v>
          </cell>
          <cell r="F188">
            <v>-51765.67</v>
          </cell>
          <cell r="G188">
            <v>6683085</v>
          </cell>
        </row>
        <row r="189">
          <cell r="B189">
            <v>22154</v>
          </cell>
          <cell r="C189" t="str">
            <v>Provisões p/ Contingências Processo Administrativo</v>
          </cell>
          <cell r="D189">
            <v>-2357.1799999999998</v>
          </cell>
          <cell r="E189">
            <v>0</v>
          </cell>
          <cell r="F189">
            <v>-10.88</v>
          </cell>
          <cell r="G189">
            <v>2368.06</v>
          </cell>
        </row>
        <row r="190">
          <cell r="B190" t="str">
            <v>PL</v>
          </cell>
          <cell r="C190" t="str">
            <v>Patrimônio Líquido</v>
          </cell>
          <cell r="D190">
            <v>-27640128.550000001</v>
          </cell>
          <cell r="E190">
            <v>2951140.21</v>
          </cell>
          <cell r="F190">
            <v>-427550</v>
          </cell>
          <cell r="G190">
            <v>25116538.34</v>
          </cell>
        </row>
        <row r="191">
          <cell r="B191">
            <v>241</v>
          </cell>
          <cell r="C191" t="str">
            <v>Capital Social</v>
          </cell>
          <cell r="D191">
            <v>-28468909.870000001</v>
          </cell>
          <cell r="E191">
            <v>0</v>
          </cell>
          <cell r="F191">
            <v>0</v>
          </cell>
          <cell r="G191">
            <v>28468909.870000001</v>
          </cell>
        </row>
        <row r="192">
          <cell r="B192">
            <v>2411</v>
          </cell>
          <cell r="C192" t="str">
            <v>Capital Subscrito</v>
          </cell>
          <cell r="D192">
            <v>-28468909.870000001</v>
          </cell>
          <cell r="E192">
            <v>0</v>
          </cell>
          <cell r="F192">
            <v>0</v>
          </cell>
          <cell r="G192">
            <v>28468909.870000001</v>
          </cell>
        </row>
        <row r="193">
          <cell r="B193">
            <v>24111</v>
          </cell>
          <cell r="C193" t="str">
            <v>Capital Subscrito</v>
          </cell>
          <cell r="D193">
            <v>-28468909.870000001</v>
          </cell>
          <cell r="E193">
            <v>0</v>
          </cell>
          <cell r="F193">
            <v>0</v>
          </cell>
          <cell r="G193">
            <v>28468909.870000001</v>
          </cell>
        </row>
        <row r="194">
          <cell r="B194">
            <v>243</v>
          </cell>
          <cell r="C194" t="str">
            <v>Aj de av.patrimonial</v>
          </cell>
          <cell r="D194">
            <v>29.32</v>
          </cell>
          <cell r="E194">
            <v>0</v>
          </cell>
          <cell r="F194">
            <v>0</v>
          </cell>
          <cell r="G194">
            <v>29.32</v>
          </cell>
        </row>
        <row r="195">
          <cell r="B195">
            <v>2431</v>
          </cell>
          <cell r="C195" t="str">
            <v>Aj. de av. patrimonial</v>
          </cell>
          <cell r="D195">
            <v>29.32</v>
          </cell>
          <cell r="E195">
            <v>0</v>
          </cell>
          <cell r="F195">
            <v>0</v>
          </cell>
          <cell r="G195">
            <v>29.32</v>
          </cell>
        </row>
        <row r="196">
          <cell r="B196">
            <v>24311</v>
          </cell>
          <cell r="C196" t="str">
            <v>Aj.de av. patrimonial</v>
          </cell>
          <cell r="D196">
            <v>29.32</v>
          </cell>
          <cell r="E196">
            <v>0</v>
          </cell>
          <cell r="F196">
            <v>0</v>
          </cell>
          <cell r="G196">
            <v>29.32</v>
          </cell>
        </row>
        <row r="197">
          <cell r="B197">
            <v>246</v>
          </cell>
          <cell r="C197" t="str">
            <v>Lucros ou Prejuízos Acumulados</v>
          </cell>
          <cell r="D197">
            <v>2742314.59</v>
          </cell>
          <cell r="E197">
            <v>2951140.21</v>
          </cell>
          <cell r="F197">
            <v>0</v>
          </cell>
          <cell r="G197">
            <v>5693454.7999999998</v>
          </cell>
        </row>
        <row r="198">
          <cell r="B198">
            <v>2462</v>
          </cell>
          <cell r="C198" t="str">
            <v>(-) Prejuízos Acumulados</v>
          </cell>
          <cell r="D198">
            <v>3358482.06</v>
          </cell>
          <cell r="E198">
            <v>0</v>
          </cell>
          <cell r="F198">
            <v>0</v>
          </cell>
          <cell r="G198">
            <v>3358482.06</v>
          </cell>
        </row>
        <row r="199">
          <cell r="B199">
            <v>24622</v>
          </cell>
          <cell r="C199" t="str">
            <v>(-) Prejuízo Acumulado</v>
          </cell>
          <cell r="D199">
            <v>3358482.06</v>
          </cell>
          <cell r="E199">
            <v>0</v>
          </cell>
          <cell r="F199">
            <v>0</v>
          </cell>
          <cell r="G199">
            <v>3358482.06</v>
          </cell>
        </row>
        <row r="200">
          <cell r="B200">
            <v>24699</v>
          </cell>
          <cell r="C200" t="str">
            <v>Resultado do Exercício</v>
          </cell>
          <cell r="D200">
            <v>-616167.47</v>
          </cell>
          <cell r="E200">
            <v>2951140.21</v>
          </cell>
          <cell r="F200">
            <v>0</v>
          </cell>
          <cell r="G200">
            <v>2334972.7400000002</v>
          </cell>
        </row>
        <row r="201">
          <cell r="B201">
            <v>246991</v>
          </cell>
          <cell r="C201" t="str">
            <v>Resultado do Exercício</v>
          </cell>
          <cell r="D201">
            <v>-616167.47</v>
          </cell>
          <cell r="E201">
            <v>2951140.21</v>
          </cell>
          <cell r="F201">
            <v>0</v>
          </cell>
          <cell r="G201">
            <v>2334972.7400000002</v>
          </cell>
        </row>
        <row r="202">
          <cell r="B202">
            <v>247</v>
          </cell>
          <cell r="C202" t="str">
            <v>Adiantamento p/Futuro Aumento de Capital</v>
          </cell>
          <cell r="D202">
            <v>-1913562.59</v>
          </cell>
          <cell r="E202">
            <v>0</v>
          </cell>
          <cell r="F202">
            <v>-427550</v>
          </cell>
          <cell r="G202">
            <v>2341112.59</v>
          </cell>
        </row>
        <row r="203">
          <cell r="B203">
            <v>2471</v>
          </cell>
          <cell r="C203" t="str">
            <v>Adiantamento p/Futuro Aumento de Capital</v>
          </cell>
          <cell r="D203">
            <v>-1913562.59</v>
          </cell>
          <cell r="E203">
            <v>0</v>
          </cell>
          <cell r="F203">
            <v>-427550</v>
          </cell>
          <cell r="G203">
            <v>2341112.59</v>
          </cell>
        </row>
        <row r="204">
          <cell r="B204">
            <v>24711</v>
          </cell>
          <cell r="C204" t="str">
            <v>Adiantamento p/Futuro Aumento de Capital</v>
          </cell>
          <cell r="D204">
            <v>-1913562.59</v>
          </cell>
          <cell r="E204">
            <v>0</v>
          </cell>
          <cell r="F204">
            <v>-427550</v>
          </cell>
          <cell r="G204">
            <v>2341112.59</v>
          </cell>
        </row>
        <row r="205">
          <cell r="B205">
            <v>3</v>
          </cell>
          <cell r="C205" t="str">
            <v>Receitas</v>
          </cell>
          <cell r="D205">
            <v>-97854416.489999995</v>
          </cell>
          <cell r="E205">
            <v>21397.07</v>
          </cell>
          <cell r="F205">
            <v>-8600864.1799999997</v>
          </cell>
          <cell r="G205">
            <v>106433883.59999999</v>
          </cell>
        </row>
        <row r="206">
          <cell r="B206">
            <v>31</v>
          </cell>
          <cell r="C206" t="str">
            <v>Subsídios Públicos</v>
          </cell>
          <cell r="D206">
            <v>-90226493.879999995</v>
          </cell>
          <cell r="E206">
            <v>0</v>
          </cell>
          <cell r="F206">
            <v>-8579467.1099999994</v>
          </cell>
          <cell r="G206">
            <v>98805960.989999995</v>
          </cell>
        </row>
        <row r="207">
          <cell r="B207">
            <v>311</v>
          </cell>
          <cell r="C207" t="str">
            <v>Subsídios do Tesouro Nacional</v>
          </cell>
          <cell r="D207">
            <v>-90226493.879999995</v>
          </cell>
          <cell r="E207">
            <v>0</v>
          </cell>
          <cell r="F207">
            <v>-8579467.1099999994</v>
          </cell>
          <cell r="G207">
            <v>98805960.989999995</v>
          </cell>
        </row>
        <row r="208">
          <cell r="B208">
            <v>3111</v>
          </cell>
          <cell r="C208" t="str">
            <v>Subsídios do Tesouro Nacional</v>
          </cell>
          <cell r="D208">
            <v>-90226493.879999995</v>
          </cell>
          <cell r="E208">
            <v>0</v>
          </cell>
          <cell r="F208">
            <v>-8579467.1099999994</v>
          </cell>
          <cell r="G208">
            <v>98805960.989999995</v>
          </cell>
        </row>
        <row r="209">
          <cell r="B209">
            <v>31111</v>
          </cell>
          <cell r="C209" t="str">
            <v>Recursos Recebidos do Tesouro Nacional</v>
          </cell>
          <cell r="D209">
            <v>-90226493.879999995</v>
          </cell>
          <cell r="E209">
            <v>0</v>
          </cell>
          <cell r="F209">
            <v>-8579467.1099999994</v>
          </cell>
          <cell r="G209">
            <v>98805960.989999995</v>
          </cell>
        </row>
        <row r="210">
          <cell r="B210">
            <v>33</v>
          </cell>
          <cell r="C210" t="str">
            <v>Outras Receitas Operacionais</v>
          </cell>
          <cell r="D210">
            <v>-7627922.6100000003</v>
          </cell>
          <cell r="E210">
            <v>21397.07</v>
          </cell>
          <cell r="F210">
            <v>-21397.07</v>
          </cell>
          <cell r="G210">
            <v>7627922.6100000003</v>
          </cell>
        </row>
        <row r="211">
          <cell r="B211">
            <v>331</v>
          </cell>
          <cell r="C211" t="str">
            <v>Receitas Financeiras</v>
          </cell>
          <cell r="D211">
            <v>-940023.79</v>
          </cell>
          <cell r="E211">
            <v>21397.07</v>
          </cell>
          <cell r="F211">
            <v>-21397.07</v>
          </cell>
          <cell r="G211">
            <v>940023.79</v>
          </cell>
        </row>
        <row r="212">
          <cell r="B212">
            <v>3311</v>
          </cell>
          <cell r="C212" t="str">
            <v>Receitas Financ./ Prest. de Serviços</v>
          </cell>
          <cell r="D212">
            <v>-940023.79</v>
          </cell>
          <cell r="E212">
            <v>21397.07</v>
          </cell>
          <cell r="F212">
            <v>-21397.07</v>
          </cell>
          <cell r="G212">
            <v>940023.79</v>
          </cell>
        </row>
        <row r="213">
          <cell r="B213">
            <v>33113</v>
          </cell>
          <cell r="C213" t="str">
            <v>Rendas de Variações Monetárias</v>
          </cell>
          <cell r="D213">
            <v>-939364.51</v>
          </cell>
          <cell r="E213">
            <v>21397.07</v>
          </cell>
          <cell r="F213">
            <v>-21397.07</v>
          </cell>
          <cell r="G213">
            <v>939364.51</v>
          </cell>
        </row>
        <row r="214">
          <cell r="B214">
            <v>33114</v>
          </cell>
          <cell r="C214" t="str">
            <v>Descontos Obtidos</v>
          </cell>
          <cell r="D214">
            <v>-659.28</v>
          </cell>
          <cell r="E214">
            <v>0</v>
          </cell>
          <cell r="F214">
            <v>0</v>
          </cell>
          <cell r="G214">
            <v>659.28</v>
          </cell>
        </row>
        <row r="215">
          <cell r="B215">
            <v>332</v>
          </cell>
          <cell r="C215" t="str">
            <v>Reembolso de Custos e Despesas</v>
          </cell>
          <cell r="D215">
            <v>-6292672.7599999998</v>
          </cell>
          <cell r="E215">
            <v>0</v>
          </cell>
          <cell r="F215">
            <v>0</v>
          </cell>
          <cell r="G215">
            <v>6292672.7599999998</v>
          </cell>
        </row>
        <row r="216">
          <cell r="B216">
            <v>3321</v>
          </cell>
          <cell r="C216" t="str">
            <v>Reversão de Custos e Despesas</v>
          </cell>
          <cell r="D216">
            <v>-6292672.7599999998</v>
          </cell>
          <cell r="E216">
            <v>0</v>
          </cell>
          <cell r="F216">
            <v>0</v>
          </cell>
          <cell r="G216">
            <v>6292672.7599999998</v>
          </cell>
        </row>
        <row r="217">
          <cell r="B217">
            <v>33212</v>
          </cell>
          <cell r="C217" t="str">
            <v>Leilões ANEEL – Transmissão de Energia</v>
          </cell>
          <cell r="D217">
            <v>-6222722.1900000004</v>
          </cell>
          <cell r="E217">
            <v>0</v>
          </cell>
          <cell r="F217">
            <v>0</v>
          </cell>
          <cell r="G217">
            <v>6222722.1900000004</v>
          </cell>
        </row>
        <row r="218">
          <cell r="B218">
            <v>33213</v>
          </cell>
          <cell r="C218" t="str">
            <v>Recuperação de Despesa e Custo</v>
          </cell>
          <cell r="D218">
            <v>-69950.570000000007</v>
          </cell>
          <cell r="E218">
            <v>0</v>
          </cell>
          <cell r="F218">
            <v>0</v>
          </cell>
          <cell r="G218">
            <v>69950.570000000007</v>
          </cell>
        </row>
        <row r="219">
          <cell r="B219">
            <v>336</v>
          </cell>
          <cell r="C219" t="str">
            <v>Reversão de Provisões</v>
          </cell>
          <cell r="D219">
            <v>-22976.05</v>
          </cell>
          <cell r="E219">
            <v>0</v>
          </cell>
          <cell r="F219">
            <v>0</v>
          </cell>
          <cell r="G219">
            <v>22976.05</v>
          </cell>
        </row>
        <row r="220">
          <cell r="B220">
            <v>3361</v>
          </cell>
          <cell r="C220" t="str">
            <v>Reversão de Provisões - Contingência</v>
          </cell>
          <cell r="D220">
            <v>-22976.05</v>
          </cell>
          <cell r="E220">
            <v>0</v>
          </cell>
          <cell r="F220">
            <v>0</v>
          </cell>
          <cell r="G220">
            <v>22976.05</v>
          </cell>
        </row>
        <row r="221">
          <cell r="B221">
            <v>33612</v>
          </cell>
          <cell r="C221" t="str">
            <v>Contingência Civis</v>
          </cell>
          <cell r="D221">
            <v>-22976.05</v>
          </cell>
          <cell r="E221">
            <v>0</v>
          </cell>
          <cell r="F221">
            <v>0</v>
          </cell>
          <cell r="G221">
            <v>22976.05</v>
          </cell>
        </row>
        <row r="222">
          <cell r="B222">
            <v>339</v>
          </cell>
          <cell r="C222" t="str">
            <v>Outras Receitas</v>
          </cell>
          <cell r="D222">
            <v>-372250.01</v>
          </cell>
          <cell r="E222">
            <v>0</v>
          </cell>
          <cell r="F222">
            <v>0</v>
          </cell>
          <cell r="G222">
            <v>372250.01</v>
          </cell>
        </row>
        <row r="223">
          <cell r="B223">
            <v>3399</v>
          </cell>
          <cell r="C223" t="str">
            <v>Receita Concurso Público</v>
          </cell>
          <cell r="D223">
            <v>-372250.01</v>
          </cell>
          <cell r="E223">
            <v>0</v>
          </cell>
          <cell r="F223">
            <v>0</v>
          </cell>
          <cell r="G223">
            <v>372250.01</v>
          </cell>
        </row>
        <row r="224">
          <cell r="B224">
            <v>33991</v>
          </cell>
          <cell r="C224" t="str">
            <v>Receita de Concurso Público</v>
          </cell>
          <cell r="D224">
            <v>-372250.01</v>
          </cell>
          <cell r="E224">
            <v>0</v>
          </cell>
          <cell r="F224">
            <v>0</v>
          </cell>
          <cell r="G224">
            <v>372250.01</v>
          </cell>
        </row>
        <row r="225">
          <cell r="B225">
            <v>4</v>
          </cell>
          <cell r="C225" t="str">
            <v>Custos e Despesas</v>
          </cell>
          <cell r="D225">
            <v>97238249.019999996</v>
          </cell>
          <cell r="E225">
            <v>11756856.34</v>
          </cell>
          <cell r="F225">
            <v>-226249.02</v>
          </cell>
          <cell r="G225">
            <v>108768856.34</v>
          </cell>
        </row>
        <row r="226">
          <cell r="B226">
            <v>41</v>
          </cell>
          <cell r="C226" t="str">
            <v>Custos</v>
          </cell>
          <cell r="D226">
            <v>61446149.049999997</v>
          </cell>
          <cell r="E226">
            <v>8035798.0599999996</v>
          </cell>
          <cell r="F226">
            <v>-204291.43</v>
          </cell>
          <cell r="G226">
            <v>69277655.680000007</v>
          </cell>
        </row>
        <row r="227">
          <cell r="B227">
            <v>411</v>
          </cell>
          <cell r="C227" t="str">
            <v>Gastos com Pessoal - Serviços</v>
          </cell>
          <cell r="D227">
            <v>49543792.229999997</v>
          </cell>
          <cell r="E227">
            <v>4970788.1900000004</v>
          </cell>
          <cell r="F227">
            <v>-199376.68</v>
          </cell>
          <cell r="G227">
            <v>54315203.740000002</v>
          </cell>
        </row>
        <row r="228">
          <cell r="B228">
            <v>4111</v>
          </cell>
          <cell r="C228" t="str">
            <v>Remunerações</v>
          </cell>
          <cell r="D228">
            <v>34507513.390000001</v>
          </cell>
          <cell r="E228">
            <v>3452629.58</v>
          </cell>
          <cell r="F228">
            <v>-152712.94</v>
          </cell>
          <cell r="G228">
            <v>37807430.030000001</v>
          </cell>
        </row>
        <row r="229">
          <cell r="B229">
            <v>41111</v>
          </cell>
          <cell r="C229" t="str">
            <v>Salários</v>
          </cell>
          <cell r="D229">
            <v>27910937.210000001</v>
          </cell>
          <cell r="E229">
            <v>2856192.48</v>
          </cell>
          <cell r="F229">
            <v>-25768.7</v>
          </cell>
          <cell r="G229">
            <v>30741360.989999998</v>
          </cell>
        </row>
        <row r="230">
          <cell r="B230">
            <v>41117</v>
          </cell>
          <cell r="C230" t="str">
            <v>Provisão de Férias e Encargos Sociais</v>
          </cell>
          <cell r="D230">
            <v>3574907.75</v>
          </cell>
          <cell r="E230">
            <v>315739.40999999997</v>
          </cell>
          <cell r="F230">
            <v>-126944.24</v>
          </cell>
          <cell r="G230">
            <v>3763702.92</v>
          </cell>
        </row>
        <row r="231">
          <cell r="B231">
            <v>41118</v>
          </cell>
          <cell r="C231" t="str">
            <v>Abono Pecuniário de Férias</v>
          </cell>
          <cell r="D231">
            <v>316468.01</v>
          </cell>
          <cell r="E231">
            <v>24590.12</v>
          </cell>
          <cell r="F231">
            <v>0</v>
          </cell>
          <cell r="G231">
            <v>341058.13</v>
          </cell>
        </row>
        <row r="232">
          <cell r="B232">
            <v>41119</v>
          </cell>
          <cell r="C232" t="str">
            <v>Provisão de 13º Salários e Enc. Sociais</v>
          </cell>
          <cell r="D232">
            <v>2626072.09</v>
          </cell>
          <cell r="E232">
            <v>256107.57</v>
          </cell>
          <cell r="F232">
            <v>0</v>
          </cell>
          <cell r="G232">
            <v>2882179.66</v>
          </cell>
        </row>
        <row r="233">
          <cell r="B233">
            <v>411111</v>
          </cell>
          <cell r="C233" t="str">
            <v>Salario Maternidade - Prorrogação</v>
          </cell>
          <cell r="D233">
            <v>47574.65</v>
          </cell>
          <cell r="E233">
            <v>0</v>
          </cell>
          <cell r="F233">
            <v>0</v>
          </cell>
          <cell r="G233">
            <v>47574.65</v>
          </cell>
        </row>
        <row r="234">
          <cell r="B234">
            <v>411113</v>
          </cell>
          <cell r="C234" t="str">
            <v>Licença Paternidade Prorrogação</v>
          </cell>
          <cell r="D234">
            <v>31553.68</v>
          </cell>
          <cell r="E234">
            <v>0</v>
          </cell>
          <cell r="F234">
            <v>0</v>
          </cell>
          <cell r="G234">
            <v>31553.68</v>
          </cell>
        </row>
        <row r="235">
          <cell r="B235">
            <v>4112</v>
          </cell>
          <cell r="C235" t="str">
            <v>Encargos Sociais</v>
          </cell>
          <cell r="D235">
            <v>9955815.3000000007</v>
          </cell>
          <cell r="E235">
            <v>1002577.66</v>
          </cell>
          <cell r="F235">
            <v>-43728.13</v>
          </cell>
          <cell r="G235">
            <v>10914664.83</v>
          </cell>
        </row>
        <row r="236">
          <cell r="B236">
            <v>41121</v>
          </cell>
          <cell r="C236" t="str">
            <v>INSS</v>
          </cell>
          <cell r="D236">
            <v>5943555.8799999999</v>
          </cell>
          <cell r="E236">
            <v>605826.93000000005</v>
          </cell>
          <cell r="F236">
            <v>0</v>
          </cell>
          <cell r="G236">
            <v>6549382.8099999996</v>
          </cell>
        </row>
        <row r="237">
          <cell r="B237">
            <v>41122</v>
          </cell>
          <cell r="C237" t="str">
            <v>FGTS</v>
          </cell>
          <cell r="D237">
            <v>2271728.94</v>
          </cell>
          <cell r="E237">
            <v>230914.91</v>
          </cell>
          <cell r="F237">
            <v>0</v>
          </cell>
          <cell r="G237">
            <v>2502643.85</v>
          </cell>
        </row>
        <row r="238">
          <cell r="B238">
            <v>41124</v>
          </cell>
          <cell r="C238" t="str">
            <v>INSS s/ 13º Salário</v>
          </cell>
          <cell r="D238">
            <v>549878.93000000005</v>
          </cell>
          <cell r="E238">
            <v>53782.61</v>
          </cell>
          <cell r="F238">
            <v>0</v>
          </cell>
          <cell r="G238">
            <v>603661.54</v>
          </cell>
        </row>
        <row r="239">
          <cell r="B239">
            <v>41125</v>
          </cell>
          <cell r="C239" t="str">
            <v>INSS s/ Férias</v>
          </cell>
          <cell r="D239">
            <v>710665.6</v>
          </cell>
          <cell r="E239">
            <v>66305.2</v>
          </cell>
          <cell r="F239">
            <v>-31665.200000000001</v>
          </cell>
          <cell r="G239">
            <v>745305.59999999998</v>
          </cell>
        </row>
        <row r="240">
          <cell r="B240">
            <v>41126</v>
          </cell>
          <cell r="C240" t="str">
            <v>FGTS s/ Férias</v>
          </cell>
          <cell r="D240">
            <v>270508.18</v>
          </cell>
          <cell r="E240">
            <v>25259.23</v>
          </cell>
          <cell r="F240">
            <v>-12062.93</v>
          </cell>
          <cell r="G240">
            <v>283704.48</v>
          </cell>
        </row>
        <row r="241">
          <cell r="B241">
            <v>41127</v>
          </cell>
          <cell r="C241" t="str">
            <v>FGTS s/ 13º Salário</v>
          </cell>
          <cell r="D241">
            <v>209477.77</v>
          </cell>
          <cell r="E241">
            <v>20488.78</v>
          </cell>
          <cell r="F241">
            <v>0</v>
          </cell>
          <cell r="G241">
            <v>229966.55</v>
          </cell>
        </row>
        <row r="242">
          <cell r="B242">
            <v>4113</v>
          </cell>
          <cell r="C242" t="str">
            <v>Benefícios</v>
          </cell>
          <cell r="D242">
            <v>5080463.54</v>
          </cell>
          <cell r="E242">
            <v>515580.95</v>
          </cell>
          <cell r="F242">
            <v>-2935.61</v>
          </cell>
          <cell r="G242">
            <v>5593108.8799999999</v>
          </cell>
        </row>
        <row r="243">
          <cell r="B243">
            <v>41131</v>
          </cell>
          <cell r="C243" t="str">
            <v>Previdência Privada Complementar</v>
          </cell>
          <cell r="D243">
            <v>2189440.6</v>
          </cell>
          <cell r="E243">
            <v>224084.37</v>
          </cell>
          <cell r="F243">
            <v>0</v>
          </cell>
          <cell r="G243">
            <v>2413524.9700000002</v>
          </cell>
        </row>
        <row r="244">
          <cell r="B244">
            <v>41132</v>
          </cell>
          <cell r="C244" t="str">
            <v>Auxílio Alimentação</v>
          </cell>
          <cell r="D244">
            <v>1461175.56</v>
          </cell>
          <cell r="E244">
            <v>142940.54999999999</v>
          </cell>
          <cell r="F244">
            <v>-431.25</v>
          </cell>
          <cell r="G244">
            <v>1603684.86</v>
          </cell>
        </row>
        <row r="245">
          <cell r="B245">
            <v>41133</v>
          </cell>
          <cell r="C245" t="str">
            <v>Auxílio Transporte</v>
          </cell>
          <cell r="D245">
            <v>965.74</v>
          </cell>
          <cell r="E245">
            <v>2270.36</v>
          </cell>
          <cell r="F245">
            <v>-2270.36</v>
          </cell>
          <cell r="G245">
            <v>965.74</v>
          </cell>
        </row>
        <row r="246">
          <cell r="B246">
            <v>41135</v>
          </cell>
          <cell r="C246" t="str">
            <v>Auxílio Creche</v>
          </cell>
          <cell r="D246">
            <v>426951.86</v>
          </cell>
          <cell r="E246">
            <v>44678.37</v>
          </cell>
          <cell r="F246">
            <v>0</v>
          </cell>
          <cell r="G246">
            <v>471630.23</v>
          </cell>
        </row>
        <row r="247">
          <cell r="B247">
            <v>41136</v>
          </cell>
          <cell r="C247" t="str">
            <v>Assistência Médica e  Odontológica</v>
          </cell>
          <cell r="D247">
            <v>978892.72</v>
          </cell>
          <cell r="E247">
            <v>98896.07</v>
          </cell>
          <cell r="F247">
            <v>0</v>
          </cell>
          <cell r="G247">
            <v>1077788.79</v>
          </cell>
        </row>
        <row r="248">
          <cell r="B248">
            <v>411310</v>
          </cell>
          <cell r="C248" t="str">
            <v>Vale Cultura</v>
          </cell>
          <cell r="D248">
            <v>4244</v>
          </cell>
          <cell r="E248">
            <v>650</v>
          </cell>
          <cell r="F248">
            <v>-234</v>
          </cell>
          <cell r="G248">
            <v>4660</v>
          </cell>
        </row>
        <row r="249">
          <cell r="B249">
            <v>411311</v>
          </cell>
          <cell r="C249" t="str">
            <v>Saúde Ocupacional</v>
          </cell>
          <cell r="D249">
            <v>18793.060000000001</v>
          </cell>
          <cell r="E249">
            <v>2061.23</v>
          </cell>
          <cell r="F249">
            <v>0</v>
          </cell>
          <cell r="G249">
            <v>20854.29</v>
          </cell>
        </row>
        <row r="250">
          <cell r="B250">
            <v>413</v>
          </cell>
          <cell r="C250" t="str">
            <v>Custos c/ Serviços de Terceiros - Serv.</v>
          </cell>
          <cell r="D250">
            <v>5175880.5199999996</v>
          </cell>
          <cell r="E250">
            <v>2379307.23</v>
          </cell>
          <cell r="F250">
            <v>0</v>
          </cell>
          <cell r="G250">
            <v>7555187.75</v>
          </cell>
        </row>
        <row r="251">
          <cell r="B251">
            <v>4131</v>
          </cell>
          <cell r="C251" t="str">
            <v>Serviços de Terceiros</v>
          </cell>
          <cell r="D251">
            <v>5175880.5199999996</v>
          </cell>
          <cell r="E251">
            <v>2379307.23</v>
          </cell>
          <cell r="F251">
            <v>0</v>
          </cell>
          <cell r="G251">
            <v>7555187.75</v>
          </cell>
        </row>
        <row r="252">
          <cell r="B252">
            <v>41311</v>
          </cell>
          <cell r="C252" t="str">
            <v>Serviços de Consultoria</v>
          </cell>
          <cell r="D252">
            <v>3351795.71</v>
          </cell>
          <cell r="E252">
            <v>2201098.84</v>
          </cell>
          <cell r="F252">
            <v>0</v>
          </cell>
          <cell r="G252">
            <v>5552894.5499999998</v>
          </cell>
        </row>
        <row r="253">
          <cell r="B253">
            <v>41312</v>
          </cell>
          <cell r="C253" t="str">
            <v>Serviços de Apoio Técnico e/ou Administrativo</v>
          </cell>
          <cell r="D253">
            <v>828506.97</v>
          </cell>
          <cell r="E253">
            <v>79329.86</v>
          </cell>
          <cell r="F253">
            <v>0</v>
          </cell>
          <cell r="G253">
            <v>907836.83</v>
          </cell>
        </row>
        <row r="254">
          <cell r="B254">
            <v>41313</v>
          </cell>
          <cell r="C254" t="str">
            <v>Cessão ou Requisição de Pessoal</v>
          </cell>
          <cell r="D254">
            <v>122324.06</v>
          </cell>
          <cell r="E254">
            <v>8495.14</v>
          </cell>
          <cell r="F254">
            <v>0</v>
          </cell>
          <cell r="G254">
            <v>130819.2</v>
          </cell>
        </row>
        <row r="255">
          <cell r="B255">
            <v>41315</v>
          </cell>
          <cell r="C255" t="str">
            <v>Cursos, Seminários e Convenções</v>
          </cell>
          <cell r="D255">
            <v>439633.12</v>
          </cell>
          <cell r="E255">
            <v>38065.5</v>
          </cell>
          <cell r="F255">
            <v>0</v>
          </cell>
          <cell r="G255">
            <v>477698.62</v>
          </cell>
        </row>
        <row r="256">
          <cell r="B256">
            <v>413114</v>
          </cell>
          <cell r="C256" t="str">
            <v>Cessão Temporária e Manutenção de Softwa</v>
          </cell>
          <cell r="D256">
            <v>161103.69</v>
          </cell>
          <cell r="E256">
            <v>21154.9</v>
          </cell>
          <cell r="F256">
            <v>0</v>
          </cell>
          <cell r="G256">
            <v>182258.59</v>
          </cell>
        </row>
        <row r="257">
          <cell r="B257">
            <v>413117</v>
          </cell>
          <cell r="C257" t="str">
            <v>Custos com Estagiarios</v>
          </cell>
          <cell r="D257">
            <v>258390.78</v>
          </cell>
          <cell r="E257">
            <v>31162.99</v>
          </cell>
          <cell r="F257">
            <v>0</v>
          </cell>
          <cell r="G257">
            <v>289553.77</v>
          </cell>
        </row>
        <row r="258">
          <cell r="B258">
            <v>4131997</v>
          </cell>
          <cell r="C258" t="str">
            <v>Serviço Prestado PF</v>
          </cell>
          <cell r="D258">
            <v>14126.19</v>
          </cell>
          <cell r="E258">
            <v>0</v>
          </cell>
          <cell r="F258">
            <v>0</v>
          </cell>
          <cell r="G258">
            <v>14126.19</v>
          </cell>
        </row>
        <row r="259">
          <cell r="B259">
            <v>414</v>
          </cell>
          <cell r="C259" t="str">
            <v>Custos c/ Tributos - Serviços</v>
          </cell>
          <cell r="D259">
            <v>245288.18</v>
          </cell>
          <cell r="E259">
            <v>23222.78</v>
          </cell>
          <cell r="F259">
            <v>0</v>
          </cell>
          <cell r="G259">
            <v>268510.96000000002</v>
          </cell>
        </row>
        <row r="260">
          <cell r="B260">
            <v>4141</v>
          </cell>
          <cell r="C260" t="str">
            <v>Impostos, Taxas e Contribuições</v>
          </cell>
          <cell r="D260">
            <v>245288.18</v>
          </cell>
          <cell r="E260">
            <v>23222.78</v>
          </cell>
          <cell r="F260">
            <v>0</v>
          </cell>
          <cell r="G260">
            <v>268510.96000000002</v>
          </cell>
        </row>
        <row r="261">
          <cell r="B261">
            <v>41412</v>
          </cell>
          <cell r="C261" t="str">
            <v>IPTU</v>
          </cell>
          <cell r="D261">
            <v>234550.02</v>
          </cell>
          <cell r="E261">
            <v>23222.78</v>
          </cell>
          <cell r="F261">
            <v>0</v>
          </cell>
          <cell r="G261">
            <v>257772.79999999999</v>
          </cell>
        </row>
        <row r="262">
          <cell r="B262">
            <v>41418</v>
          </cell>
          <cell r="C262" t="str">
            <v>Taxas Estaduais</v>
          </cell>
          <cell r="D262">
            <v>10738.16</v>
          </cell>
          <cell r="E262">
            <v>0</v>
          </cell>
          <cell r="F262">
            <v>0</v>
          </cell>
          <cell r="G262">
            <v>10738.16</v>
          </cell>
        </row>
        <row r="263">
          <cell r="B263">
            <v>416</v>
          </cell>
          <cell r="C263" t="str">
            <v>Custos Gerais - Serviços</v>
          </cell>
          <cell r="D263">
            <v>6481188.1200000001</v>
          </cell>
          <cell r="E263">
            <v>662479.86</v>
          </cell>
          <cell r="F263">
            <v>-4914.75</v>
          </cell>
          <cell r="G263">
            <v>7138753.2300000004</v>
          </cell>
        </row>
        <row r="264">
          <cell r="B264">
            <v>4161</v>
          </cell>
          <cell r="C264" t="str">
            <v>Custos de Funcionamento das Instalações</v>
          </cell>
          <cell r="D264">
            <v>3514999.87</v>
          </cell>
          <cell r="E264">
            <v>412352</v>
          </cell>
          <cell r="F264">
            <v>0</v>
          </cell>
          <cell r="G264">
            <v>3927351.87</v>
          </cell>
        </row>
        <row r="265">
          <cell r="B265">
            <v>41611</v>
          </cell>
          <cell r="C265" t="str">
            <v>Aluguéis</v>
          </cell>
          <cell r="D265">
            <v>1656832.6</v>
          </cell>
          <cell r="E265">
            <v>195461.32</v>
          </cell>
          <cell r="F265">
            <v>0</v>
          </cell>
          <cell r="G265">
            <v>1852293.92</v>
          </cell>
        </row>
        <row r="266">
          <cell r="B266">
            <v>41614</v>
          </cell>
          <cell r="C266" t="str">
            <v>Energia Elétrica</v>
          </cell>
          <cell r="D266">
            <v>481747.18</v>
          </cell>
          <cell r="E266">
            <v>43854.82</v>
          </cell>
          <cell r="F266">
            <v>0</v>
          </cell>
          <cell r="G266">
            <v>525602</v>
          </cell>
        </row>
        <row r="267">
          <cell r="B267">
            <v>41616</v>
          </cell>
          <cell r="C267" t="str">
            <v>Telecomunicações</v>
          </cell>
          <cell r="D267">
            <v>29848.77</v>
          </cell>
          <cell r="E267">
            <v>3389.39</v>
          </cell>
          <cell r="F267">
            <v>0</v>
          </cell>
          <cell r="G267">
            <v>33238.160000000003</v>
          </cell>
        </row>
        <row r="268">
          <cell r="B268">
            <v>416110</v>
          </cell>
          <cell r="C268" t="str">
            <v>Conduções e Lanches</v>
          </cell>
          <cell r="D268">
            <v>129.47</v>
          </cell>
          <cell r="E268">
            <v>120</v>
          </cell>
          <cell r="F268">
            <v>0</v>
          </cell>
          <cell r="G268">
            <v>249.47</v>
          </cell>
        </row>
        <row r="269">
          <cell r="B269">
            <v>416112</v>
          </cell>
          <cell r="C269" t="str">
            <v>Alugueis de Móveis, Máquinas e Equip.</v>
          </cell>
          <cell r="D269">
            <v>4668.8900000000003</v>
          </cell>
          <cell r="E269">
            <v>353.37</v>
          </cell>
          <cell r="F269">
            <v>0</v>
          </cell>
          <cell r="G269">
            <v>5022.26</v>
          </cell>
        </row>
        <row r="270">
          <cell r="B270">
            <v>416114</v>
          </cell>
          <cell r="C270" t="str">
            <v>Serviço de Limpeza e Higiene</v>
          </cell>
          <cell r="D270">
            <v>366570.62</v>
          </cell>
          <cell r="E270">
            <v>59645.1</v>
          </cell>
          <cell r="F270">
            <v>0</v>
          </cell>
          <cell r="G270">
            <v>426215.72</v>
          </cell>
        </row>
        <row r="271">
          <cell r="B271">
            <v>416115</v>
          </cell>
          <cell r="C271" t="str">
            <v>Serviços Gerais</v>
          </cell>
          <cell r="D271">
            <v>252516.18</v>
          </cell>
          <cell r="E271">
            <v>36882.99</v>
          </cell>
          <cell r="F271">
            <v>0</v>
          </cell>
          <cell r="G271">
            <v>289399.17</v>
          </cell>
        </row>
        <row r="272">
          <cell r="B272">
            <v>416116</v>
          </cell>
          <cell r="C272" t="str">
            <v>Condomínios</v>
          </cell>
          <cell r="D272">
            <v>722686.16</v>
          </cell>
          <cell r="E272">
            <v>72645.009999999995</v>
          </cell>
          <cell r="F272">
            <v>0</v>
          </cell>
          <cell r="G272">
            <v>795331.17</v>
          </cell>
        </row>
        <row r="273">
          <cell r="B273">
            <v>4162</v>
          </cell>
          <cell r="C273" t="str">
            <v>Custos Gerais da Administração</v>
          </cell>
          <cell r="D273">
            <v>2966188.25</v>
          </cell>
          <cell r="E273">
            <v>250127.86</v>
          </cell>
          <cell r="F273">
            <v>-4914.75</v>
          </cell>
          <cell r="G273">
            <v>3211401.36</v>
          </cell>
        </row>
        <row r="274">
          <cell r="B274">
            <v>41621</v>
          </cell>
          <cell r="C274" t="str">
            <v>Honorários da Diretoria</v>
          </cell>
          <cell r="D274">
            <v>734755.08</v>
          </cell>
          <cell r="E274">
            <v>80361.36</v>
          </cell>
          <cell r="F274">
            <v>0</v>
          </cell>
          <cell r="G274">
            <v>815116.44</v>
          </cell>
        </row>
        <row r="275">
          <cell r="B275">
            <v>41624</v>
          </cell>
          <cell r="C275" t="str">
            <v>Custos de Viagens - Passagens Aéreas</v>
          </cell>
          <cell r="D275">
            <v>542037.23</v>
          </cell>
          <cell r="E275">
            <v>50513.32</v>
          </cell>
          <cell r="F275">
            <v>0</v>
          </cell>
          <cell r="G275">
            <v>592550.55000000005</v>
          </cell>
        </row>
        <row r="276">
          <cell r="B276">
            <v>41625</v>
          </cell>
          <cell r="C276" t="str">
            <v>Custos de Viagens - Hospedagens</v>
          </cell>
          <cell r="D276">
            <v>1253.04</v>
          </cell>
          <cell r="E276">
            <v>0</v>
          </cell>
          <cell r="F276">
            <v>0</v>
          </cell>
          <cell r="G276">
            <v>1253.04</v>
          </cell>
        </row>
        <row r="277">
          <cell r="B277">
            <v>41626</v>
          </cell>
          <cell r="C277" t="str">
            <v>Custos de Viagens - Outros</v>
          </cell>
          <cell r="D277">
            <v>180005.45</v>
          </cell>
          <cell r="E277">
            <v>17337.16</v>
          </cell>
          <cell r="F277">
            <v>-4914.75</v>
          </cell>
          <cell r="G277">
            <v>192427.86</v>
          </cell>
        </row>
        <row r="278">
          <cell r="B278">
            <v>41627</v>
          </cell>
          <cell r="C278" t="str">
            <v>Assinatura Banco de Dados e Portais</v>
          </cell>
          <cell r="D278">
            <v>1186526.82</v>
          </cell>
          <cell r="E278">
            <v>101916.02</v>
          </cell>
          <cell r="F278">
            <v>0</v>
          </cell>
          <cell r="G278">
            <v>1288442.8400000001</v>
          </cell>
        </row>
        <row r="279">
          <cell r="B279">
            <v>416210</v>
          </cell>
          <cell r="C279" t="str">
            <v>Custo de Viagem ao Exterior</v>
          </cell>
          <cell r="D279">
            <v>321610.63</v>
          </cell>
          <cell r="E279">
            <v>0</v>
          </cell>
          <cell r="F279">
            <v>0</v>
          </cell>
          <cell r="G279">
            <v>321610.63</v>
          </cell>
        </row>
        <row r="280">
          <cell r="B280">
            <v>42</v>
          </cell>
          <cell r="C280" t="str">
            <v>Despesas</v>
          </cell>
          <cell r="D280">
            <v>35792099.969999999</v>
          </cell>
          <cell r="E280">
            <v>3721058.28</v>
          </cell>
          <cell r="F280">
            <v>-21957.59</v>
          </cell>
          <cell r="G280">
            <v>39491200.659999996</v>
          </cell>
        </row>
        <row r="281">
          <cell r="B281">
            <v>421</v>
          </cell>
          <cell r="C281" t="str">
            <v>Despesas com Pessoal</v>
          </cell>
          <cell r="D281">
            <v>21499855.899999999</v>
          </cell>
          <cell r="E281">
            <v>2246980.67</v>
          </cell>
          <cell r="F281">
            <v>-19853</v>
          </cell>
          <cell r="G281">
            <v>23726983.57</v>
          </cell>
        </row>
        <row r="282">
          <cell r="B282">
            <v>4211</v>
          </cell>
          <cell r="C282" t="str">
            <v>Remunerações</v>
          </cell>
          <cell r="D282">
            <v>14779063.310000001</v>
          </cell>
          <cell r="E282">
            <v>1547245.75</v>
          </cell>
          <cell r="F282">
            <v>-12547.57</v>
          </cell>
          <cell r="G282">
            <v>16313761.49</v>
          </cell>
        </row>
        <row r="283">
          <cell r="B283">
            <v>42111</v>
          </cell>
          <cell r="C283" t="str">
            <v>Salários</v>
          </cell>
          <cell r="D283">
            <v>11840063.789999999</v>
          </cell>
          <cell r="E283">
            <v>1274831.1599999999</v>
          </cell>
          <cell r="F283">
            <v>-269.3</v>
          </cell>
          <cell r="G283">
            <v>13114625.65</v>
          </cell>
        </row>
        <row r="284">
          <cell r="B284">
            <v>42117</v>
          </cell>
          <cell r="C284" t="str">
            <v>Provisão de Férias e Encargos Sociais</v>
          </cell>
          <cell r="D284">
            <v>1564472.96</v>
          </cell>
          <cell r="E284">
            <v>149424.47</v>
          </cell>
          <cell r="F284">
            <v>-12278.27</v>
          </cell>
          <cell r="G284">
            <v>1701619.16</v>
          </cell>
        </row>
        <row r="285">
          <cell r="B285">
            <v>42118</v>
          </cell>
          <cell r="C285" t="str">
            <v>Abono Pecuniário de Férias</v>
          </cell>
          <cell r="D285">
            <v>156316.71</v>
          </cell>
          <cell r="E285">
            <v>10126.48</v>
          </cell>
          <cell r="F285">
            <v>0</v>
          </cell>
          <cell r="G285">
            <v>166443.19</v>
          </cell>
        </row>
        <row r="286">
          <cell r="B286">
            <v>42119</v>
          </cell>
          <cell r="C286" t="str">
            <v>Provisão de 13º Salários e Encargos</v>
          </cell>
          <cell r="D286">
            <v>1134082.23</v>
          </cell>
          <cell r="E286">
            <v>112863.64</v>
          </cell>
          <cell r="F286">
            <v>0</v>
          </cell>
          <cell r="G286">
            <v>1246945.8700000001</v>
          </cell>
        </row>
        <row r="287">
          <cell r="B287">
            <v>421110</v>
          </cell>
          <cell r="C287" t="str">
            <v>Salario Maternidade - Prorrogação</v>
          </cell>
          <cell r="D287">
            <v>84127.62</v>
          </cell>
          <cell r="E287">
            <v>0</v>
          </cell>
          <cell r="F287">
            <v>0</v>
          </cell>
          <cell r="G287">
            <v>84127.62</v>
          </cell>
        </row>
        <row r="288">
          <cell r="B288">
            <v>4212</v>
          </cell>
          <cell r="C288" t="str">
            <v>Encargos Sociais</v>
          </cell>
          <cell r="D288">
            <v>4422305.5599999996</v>
          </cell>
          <cell r="E288">
            <v>460423.14</v>
          </cell>
          <cell r="F288">
            <v>-3560.71</v>
          </cell>
          <cell r="G288">
            <v>4879167.99</v>
          </cell>
        </row>
        <row r="289">
          <cell r="B289">
            <v>42121</v>
          </cell>
          <cell r="C289" t="str">
            <v>INSS</v>
          </cell>
          <cell r="D289">
            <v>2657972.9900000002</v>
          </cell>
          <cell r="E289">
            <v>279320.27</v>
          </cell>
          <cell r="F289">
            <v>0</v>
          </cell>
          <cell r="G289">
            <v>2937293.26</v>
          </cell>
        </row>
        <row r="290">
          <cell r="B290">
            <v>42122</v>
          </cell>
          <cell r="C290" t="str">
            <v>FGTS</v>
          </cell>
          <cell r="D290">
            <v>1007496.7</v>
          </cell>
          <cell r="E290">
            <v>106487.52</v>
          </cell>
          <cell r="F290">
            <v>0</v>
          </cell>
          <cell r="G290">
            <v>1113984.22</v>
          </cell>
        </row>
        <row r="291">
          <cell r="B291">
            <v>42124</v>
          </cell>
          <cell r="C291" t="str">
            <v>INSS s/ 13º Salário</v>
          </cell>
          <cell r="D291">
            <v>233661.29</v>
          </cell>
          <cell r="E291">
            <v>23251.919999999998</v>
          </cell>
          <cell r="F291">
            <v>0</v>
          </cell>
          <cell r="G291">
            <v>256913.21</v>
          </cell>
        </row>
        <row r="292">
          <cell r="B292">
            <v>42125</v>
          </cell>
          <cell r="C292" t="str">
            <v>INSS s/ Férias</v>
          </cell>
          <cell r="D292">
            <v>314311.24</v>
          </cell>
          <cell r="E292">
            <v>30779.84</v>
          </cell>
          <cell r="F292">
            <v>-2578.44</v>
          </cell>
          <cell r="G292">
            <v>342512.64000000001</v>
          </cell>
        </row>
        <row r="293">
          <cell r="B293">
            <v>42126</v>
          </cell>
          <cell r="C293" t="str">
            <v>FGTS s/ Férias</v>
          </cell>
          <cell r="D293">
            <v>119831.85</v>
          </cell>
          <cell r="E293">
            <v>11725.68</v>
          </cell>
          <cell r="F293">
            <v>-982.27</v>
          </cell>
          <cell r="G293">
            <v>130575.26</v>
          </cell>
        </row>
        <row r="294">
          <cell r="B294">
            <v>42127</v>
          </cell>
          <cell r="C294" t="str">
            <v>FGTS s/ 13º Salário</v>
          </cell>
          <cell r="D294">
            <v>89031.49</v>
          </cell>
          <cell r="E294">
            <v>8857.91</v>
          </cell>
          <cell r="F294">
            <v>0</v>
          </cell>
          <cell r="G294">
            <v>97889.4</v>
          </cell>
        </row>
        <row r="295">
          <cell r="B295">
            <v>4213</v>
          </cell>
          <cell r="C295" t="str">
            <v>Benefícios</v>
          </cell>
          <cell r="D295">
            <v>2298487.0299999998</v>
          </cell>
          <cell r="E295">
            <v>239311.78</v>
          </cell>
          <cell r="F295">
            <v>-3744.72</v>
          </cell>
          <cell r="G295">
            <v>2534054.09</v>
          </cell>
        </row>
        <row r="296">
          <cell r="B296">
            <v>42131</v>
          </cell>
          <cell r="C296" t="str">
            <v>Previdência Privada Complementar</v>
          </cell>
          <cell r="D296">
            <v>983872.98</v>
          </cell>
          <cell r="E296">
            <v>102334.44</v>
          </cell>
          <cell r="F296">
            <v>0</v>
          </cell>
          <cell r="G296">
            <v>1086207.42</v>
          </cell>
        </row>
        <row r="297">
          <cell r="B297">
            <v>42132</v>
          </cell>
          <cell r="C297" t="str">
            <v>Auxílio Alimentação</v>
          </cell>
          <cell r="D297">
            <v>670023.73</v>
          </cell>
          <cell r="E297">
            <v>65730.27</v>
          </cell>
          <cell r="F297">
            <v>0</v>
          </cell>
          <cell r="G297">
            <v>735754</v>
          </cell>
        </row>
        <row r="298">
          <cell r="B298">
            <v>42133</v>
          </cell>
          <cell r="C298" t="str">
            <v>Auxílio Transporte</v>
          </cell>
          <cell r="D298">
            <v>19539.8</v>
          </cell>
          <cell r="E298">
            <v>5139.96</v>
          </cell>
          <cell r="F298">
            <v>-3562.72</v>
          </cell>
          <cell r="G298">
            <v>21117.040000000001</v>
          </cell>
        </row>
        <row r="299">
          <cell r="B299">
            <v>42134</v>
          </cell>
          <cell r="C299" t="str">
            <v>Auxílio Moradia</v>
          </cell>
          <cell r="D299">
            <v>39000</v>
          </cell>
          <cell r="E299">
            <v>3900</v>
          </cell>
          <cell r="F299">
            <v>0</v>
          </cell>
          <cell r="G299">
            <v>42900</v>
          </cell>
        </row>
        <row r="300">
          <cell r="B300">
            <v>42135</v>
          </cell>
          <cell r="C300" t="str">
            <v>Auxílio Creche</v>
          </cell>
          <cell r="D300">
            <v>133133.89000000001</v>
          </cell>
          <cell r="E300">
            <v>16985.28</v>
          </cell>
          <cell r="F300">
            <v>0</v>
          </cell>
          <cell r="G300">
            <v>150119.17000000001</v>
          </cell>
        </row>
        <row r="301">
          <cell r="B301">
            <v>42136</v>
          </cell>
          <cell r="C301" t="str">
            <v>Assistência Médica e  Odontológica</v>
          </cell>
          <cell r="D301">
            <v>395993.53</v>
          </cell>
          <cell r="E301">
            <v>40818.839999999997</v>
          </cell>
          <cell r="F301">
            <v>0</v>
          </cell>
          <cell r="G301">
            <v>436812.37</v>
          </cell>
        </row>
        <row r="302">
          <cell r="B302">
            <v>421310</v>
          </cell>
          <cell r="C302" t="str">
            <v>Vale Cultura</v>
          </cell>
          <cell r="D302">
            <v>6436</v>
          </cell>
          <cell r="E302">
            <v>800</v>
          </cell>
          <cell r="F302">
            <v>-182</v>
          </cell>
          <cell r="G302">
            <v>7054</v>
          </cell>
        </row>
        <row r="303">
          <cell r="B303">
            <v>421311</v>
          </cell>
          <cell r="C303" t="str">
            <v>Saúde Ocupacional</v>
          </cell>
          <cell r="D303">
            <v>50487.1</v>
          </cell>
          <cell r="E303">
            <v>3602.99</v>
          </cell>
          <cell r="F303">
            <v>0</v>
          </cell>
          <cell r="G303">
            <v>54090.09</v>
          </cell>
        </row>
        <row r="304">
          <cell r="B304">
            <v>422</v>
          </cell>
          <cell r="C304" t="str">
            <v>Despesas Com Materiais</v>
          </cell>
          <cell r="D304">
            <v>132482.03</v>
          </cell>
          <cell r="E304">
            <v>5297.1</v>
          </cell>
          <cell r="F304">
            <v>-320</v>
          </cell>
          <cell r="G304">
            <v>137459.13</v>
          </cell>
        </row>
        <row r="305">
          <cell r="B305">
            <v>4221</v>
          </cell>
          <cell r="C305" t="str">
            <v>Despesas com Materiais Nacionais</v>
          </cell>
          <cell r="D305">
            <v>132482.03</v>
          </cell>
          <cell r="E305">
            <v>5297.1</v>
          </cell>
          <cell r="F305">
            <v>-320</v>
          </cell>
          <cell r="G305">
            <v>137459.13</v>
          </cell>
        </row>
        <row r="306">
          <cell r="B306">
            <v>42211</v>
          </cell>
          <cell r="C306" t="str">
            <v>Materiais Adm. e de Expediente</v>
          </cell>
          <cell r="D306">
            <v>130414.03</v>
          </cell>
          <cell r="E306">
            <v>5297.1</v>
          </cell>
          <cell r="F306">
            <v>-320</v>
          </cell>
          <cell r="G306">
            <v>135391.13</v>
          </cell>
        </row>
        <row r="307">
          <cell r="B307">
            <v>42213</v>
          </cell>
          <cell r="C307" t="str">
            <v>Materiais e Equipamentos</v>
          </cell>
          <cell r="D307">
            <v>2068</v>
          </cell>
          <cell r="E307">
            <v>0</v>
          </cell>
          <cell r="F307">
            <v>0</v>
          </cell>
          <cell r="G307">
            <v>2068</v>
          </cell>
        </row>
        <row r="308">
          <cell r="B308">
            <v>423</v>
          </cell>
          <cell r="C308" t="str">
            <v>Desp.c/Serv. de Terceiros</v>
          </cell>
          <cell r="D308">
            <v>3851711.78</v>
          </cell>
          <cell r="E308">
            <v>623849.68000000005</v>
          </cell>
          <cell r="F308">
            <v>-1036.6099999999999</v>
          </cell>
          <cell r="G308">
            <v>4474524.8499999996</v>
          </cell>
        </row>
        <row r="309">
          <cell r="B309">
            <v>4231</v>
          </cell>
          <cell r="C309" t="str">
            <v>Desp.c/Serv. de Terceiros</v>
          </cell>
          <cell r="D309">
            <v>3851711.78</v>
          </cell>
          <cell r="E309">
            <v>623849.68000000005</v>
          </cell>
          <cell r="F309">
            <v>-1036.6099999999999</v>
          </cell>
          <cell r="G309">
            <v>4474524.8499999996</v>
          </cell>
        </row>
        <row r="310">
          <cell r="B310">
            <v>42311</v>
          </cell>
          <cell r="C310" t="str">
            <v>Serviços de Consultoria</v>
          </cell>
          <cell r="D310">
            <v>554996</v>
          </cell>
          <cell r="E310">
            <v>46525</v>
          </cell>
          <cell r="F310">
            <v>0</v>
          </cell>
          <cell r="G310">
            <v>601521</v>
          </cell>
        </row>
        <row r="311">
          <cell r="B311">
            <v>42312</v>
          </cell>
          <cell r="C311" t="str">
            <v>Serviços de Apoio Técnico e/ou Administrativo</v>
          </cell>
          <cell r="D311">
            <v>1346651.42</v>
          </cell>
          <cell r="E311">
            <v>308899.62</v>
          </cell>
          <cell r="F311">
            <v>0</v>
          </cell>
          <cell r="G311">
            <v>1655551.04</v>
          </cell>
        </row>
        <row r="312">
          <cell r="B312">
            <v>42313</v>
          </cell>
          <cell r="C312" t="str">
            <v>Cessão ou Requisição de Pessoal</v>
          </cell>
          <cell r="D312">
            <v>250373.1</v>
          </cell>
          <cell r="E312">
            <v>24403.53</v>
          </cell>
          <cell r="F312">
            <v>0</v>
          </cell>
          <cell r="G312">
            <v>274776.63</v>
          </cell>
        </row>
        <row r="313">
          <cell r="B313">
            <v>42315</v>
          </cell>
          <cell r="C313" t="str">
            <v>Cursos, Seminários e Convenções</v>
          </cell>
          <cell r="D313">
            <v>341890.81</v>
          </cell>
          <cell r="E313">
            <v>72233.73</v>
          </cell>
          <cell r="F313">
            <v>0</v>
          </cell>
          <cell r="G313">
            <v>414124.54</v>
          </cell>
        </row>
        <row r="314">
          <cell r="B314">
            <v>42316</v>
          </cell>
          <cell r="C314" t="str">
            <v>Serviços de Processamentos de Dados</v>
          </cell>
          <cell r="D314">
            <v>228554.6</v>
          </cell>
          <cell r="E314">
            <v>0</v>
          </cell>
          <cell r="F314">
            <v>0</v>
          </cell>
          <cell r="G314">
            <v>228554.6</v>
          </cell>
        </row>
        <row r="315">
          <cell r="B315">
            <v>42317</v>
          </cell>
          <cell r="C315" t="str">
            <v>Serviços Manut. Equipamentos Informática</v>
          </cell>
          <cell r="D315">
            <v>293394.92</v>
          </cell>
          <cell r="E315">
            <v>18286.63</v>
          </cell>
          <cell r="F315">
            <v>0</v>
          </cell>
          <cell r="G315">
            <v>311681.55</v>
          </cell>
        </row>
        <row r="316">
          <cell r="B316">
            <v>42318</v>
          </cell>
          <cell r="C316" t="str">
            <v>Serv. Tributários e Auditoria</v>
          </cell>
          <cell r="D316">
            <v>161706.49</v>
          </cell>
          <cell r="E316">
            <v>24223.29</v>
          </cell>
          <cell r="F316">
            <v>0</v>
          </cell>
          <cell r="G316">
            <v>185929.78</v>
          </cell>
        </row>
        <row r="317">
          <cell r="B317">
            <v>423111</v>
          </cell>
          <cell r="C317" t="str">
            <v>Serviços de Reforma das Instalações</v>
          </cell>
          <cell r="D317">
            <v>11753.5</v>
          </cell>
          <cell r="E317">
            <v>0</v>
          </cell>
          <cell r="F317">
            <v>0</v>
          </cell>
          <cell r="G317">
            <v>11753.5</v>
          </cell>
        </row>
        <row r="318">
          <cell r="B318">
            <v>423113</v>
          </cell>
          <cell r="C318" t="str">
            <v>Locação de Veículos</v>
          </cell>
          <cell r="D318">
            <v>0</v>
          </cell>
          <cell r="E318">
            <v>10921.43</v>
          </cell>
          <cell r="F318">
            <v>0</v>
          </cell>
          <cell r="G318">
            <v>10921.43</v>
          </cell>
        </row>
        <row r="319">
          <cell r="B319">
            <v>423114</v>
          </cell>
          <cell r="C319" t="str">
            <v>Cessão Temporária e Manut. de Software</v>
          </cell>
          <cell r="D319">
            <v>433313.12</v>
          </cell>
          <cell r="E319">
            <v>92761.08</v>
          </cell>
          <cell r="F319">
            <v>0</v>
          </cell>
          <cell r="G319">
            <v>526074.19999999995</v>
          </cell>
        </row>
        <row r="320">
          <cell r="B320">
            <v>423117</v>
          </cell>
          <cell r="C320" t="str">
            <v>Despesas com Estagiarios</v>
          </cell>
          <cell r="D320">
            <v>204249.28</v>
          </cell>
          <cell r="E320">
            <v>25595.37</v>
          </cell>
          <cell r="F320">
            <v>0</v>
          </cell>
          <cell r="G320">
            <v>229844.65</v>
          </cell>
        </row>
        <row r="321">
          <cell r="B321">
            <v>423119</v>
          </cell>
          <cell r="C321" t="str">
            <v>Despesas com Jovem Aprendiz</v>
          </cell>
          <cell r="D321">
            <v>24828.54</v>
          </cell>
          <cell r="E321">
            <v>0</v>
          </cell>
          <cell r="F321">
            <v>-1036.6099999999999</v>
          </cell>
          <cell r="G321">
            <v>23791.93</v>
          </cell>
        </row>
        <row r="322">
          <cell r="B322">
            <v>424</v>
          </cell>
          <cell r="C322" t="str">
            <v>Desp.c/Tributos</v>
          </cell>
          <cell r="D322">
            <v>760509.21</v>
          </cell>
          <cell r="E322">
            <v>9610.2099999999991</v>
          </cell>
          <cell r="F322">
            <v>0</v>
          </cell>
          <cell r="G322">
            <v>770119.42</v>
          </cell>
        </row>
        <row r="323">
          <cell r="B323">
            <v>4241</v>
          </cell>
          <cell r="C323" t="str">
            <v>Desp.c/Tributos-Imp.,Txs e Contribuições</v>
          </cell>
          <cell r="D323">
            <v>760509.21</v>
          </cell>
          <cell r="E323">
            <v>9610.2099999999991</v>
          </cell>
          <cell r="F323">
            <v>0</v>
          </cell>
          <cell r="G323">
            <v>770119.42</v>
          </cell>
        </row>
        <row r="324">
          <cell r="B324">
            <v>42412</v>
          </cell>
          <cell r="C324" t="str">
            <v>IPTU</v>
          </cell>
          <cell r="D324">
            <v>97063.21</v>
          </cell>
          <cell r="E324">
            <v>9610.2099999999991</v>
          </cell>
          <cell r="F324">
            <v>0</v>
          </cell>
          <cell r="G324">
            <v>106673.42</v>
          </cell>
        </row>
        <row r="325">
          <cell r="B325">
            <v>42415</v>
          </cell>
          <cell r="C325" t="str">
            <v>PIS s/ Outras Receitas</v>
          </cell>
          <cell r="D325">
            <v>114927.21</v>
          </cell>
          <cell r="E325">
            <v>0</v>
          </cell>
          <cell r="F325">
            <v>0</v>
          </cell>
          <cell r="G325">
            <v>114927.21</v>
          </cell>
        </row>
        <row r="326">
          <cell r="B326">
            <v>42416</v>
          </cell>
          <cell r="C326" t="str">
            <v>COFINS s/ outras Receitas</v>
          </cell>
          <cell r="D326">
            <v>538818.84</v>
          </cell>
          <cell r="E326">
            <v>0</v>
          </cell>
          <cell r="F326">
            <v>0</v>
          </cell>
          <cell r="G326">
            <v>538818.84</v>
          </cell>
        </row>
        <row r="327">
          <cell r="B327">
            <v>42418</v>
          </cell>
          <cell r="C327" t="str">
            <v>Outros Impostos e Taxas</v>
          </cell>
          <cell r="D327">
            <v>317.56</v>
          </cell>
          <cell r="E327">
            <v>0</v>
          </cell>
          <cell r="F327">
            <v>0</v>
          </cell>
          <cell r="G327">
            <v>317.56</v>
          </cell>
        </row>
        <row r="328">
          <cell r="B328">
            <v>424112</v>
          </cell>
          <cell r="C328" t="str">
            <v>Taxas Estaduais</v>
          </cell>
          <cell r="D328">
            <v>9382.39</v>
          </cell>
          <cell r="E328">
            <v>0</v>
          </cell>
          <cell r="F328">
            <v>0</v>
          </cell>
          <cell r="G328">
            <v>9382.39</v>
          </cell>
        </row>
        <row r="329">
          <cell r="B329">
            <v>425</v>
          </cell>
          <cell r="C329" t="str">
            <v>Despesas com Provisôes</v>
          </cell>
          <cell r="D329">
            <v>662659.38</v>
          </cell>
          <cell r="E329">
            <v>0</v>
          </cell>
          <cell r="F329">
            <v>0</v>
          </cell>
          <cell r="G329">
            <v>662659.38</v>
          </cell>
        </row>
        <row r="330">
          <cell r="B330">
            <v>4251</v>
          </cell>
          <cell r="C330" t="str">
            <v>Imposto de Renda</v>
          </cell>
          <cell r="D330">
            <v>215987.71</v>
          </cell>
          <cell r="E330">
            <v>0</v>
          </cell>
          <cell r="F330">
            <v>0</v>
          </cell>
          <cell r="G330">
            <v>215987.71</v>
          </cell>
        </row>
        <row r="331">
          <cell r="B331">
            <v>42511</v>
          </cell>
          <cell r="C331" t="str">
            <v>Provisão p/ IRPJ</v>
          </cell>
          <cell r="D331">
            <v>215987.71</v>
          </cell>
          <cell r="E331">
            <v>0</v>
          </cell>
          <cell r="F331">
            <v>0</v>
          </cell>
          <cell r="G331">
            <v>215987.71</v>
          </cell>
        </row>
        <row r="332">
          <cell r="B332">
            <v>4252</v>
          </cell>
          <cell r="C332" t="str">
            <v>Contribuição Social s/ Lucro Líquido</v>
          </cell>
          <cell r="D332">
            <v>210374.3</v>
          </cell>
          <cell r="E332">
            <v>0</v>
          </cell>
          <cell r="F332">
            <v>0</v>
          </cell>
          <cell r="G332">
            <v>210374.3</v>
          </cell>
        </row>
        <row r="333">
          <cell r="B333">
            <v>42521</v>
          </cell>
          <cell r="C333" t="str">
            <v>Provisão p/ CSLL</v>
          </cell>
          <cell r="D333">
            <v>210374.3</v>
          </cell>
          <cell r="E333">
            <v>0</v>
          </cell>
          <cell r="F333">
            <v>0</v>
          </cell>
          <cell r="G333">
            <v>210374.3</v>
          </cell>
        </row>
        <row r="334">
          <cell r="B334">
            <v>4254</v>
          </cell>
          <cell r="C334" t="str">
            <v>Despesas c/ Provisões - p/ Contingências</v>
          </cell>
          <cell r="D334">
            <v>236297.37</v>
          </cell>
          <cell r="E334">
            <v>0</v>
          </cell>
          <cell r="F334">
            <v>0</v>
          </cell>
          <cell r="G334">
            <v>236297.37</v>
          </cell>
        </row>
        <row r="335">
          <cell r="B335">
            <v>42541</v>
          </cell>
          <cell r="C335" t="str">
            <v>Provisões p/ Contingências Trabalhistas</v>
          </cell>
          <cell r="D335">
            <v>228883.71</v>
          </cell>
          <cell r="E335">
            <v>0</v>
          </cell>
          <cell r="F335">
            <v>0</v>
          </cell>
          <cell r="G335">
            <v>228883.71</v>
          </cell>
        </row>
        <row r="336">
          <cell r="B336">
            <v>42543</v>
          </cell>
          <cell r="C336" t="str">
            <v>Provisões p/ Contingências Fiscais</v>
          </cell>
          <cell r="D336">
            <v>5067.3599999999997</v>
          </cell>
          <cell r="E336">
            <v>0</v>
          </cell>
          <cell r="F336">
            <v>0</v>
          </cell>
          <cell r="G336">
            <v>5067.3599999999997</v>
          </cell>
        </row>
        <row r="337">
          <cell r="B337">
            <v>42544</v>
          </cell>
          <cell r="C337" t="str">
            <v>Provisões p/ Contingências Processos Administrativos</v>
          </cell>
          <cell r="D337">
            <v>2346.3000000000002</v>
          </cell>
          <cell r="E337">
            <v>0</v>
          </cell>
          <cell r="F337">
            <v>0</v>
          </cell>
          <cell r="G337">
            <v>2346.3000000000002</v>
          </cell>
        </row>
        <row r="338">
          <cell r="B338">
            <v>426</v>
          </cell>
          <cell r="C338" t="str">
            <v>Despesas Gerais</v>
          </cell>
          <cell r="D338">
            <v>7265377.0800000001</v>
          </cell>
          <cell r="E338">
            <v>768989.66</v>
          </cell>
          <cell r="F338">
            <v>-747.98</v>
          </cell>
          <cell r="G338">
            <v>8033618.7599999998</v>
          </cell>
        </row>
        <row r="339">
          <cell r="B339">
            <v>4261</v>
          </cell>
          <cell r="C339" t="str">
            <v>Desp. Gerais Funcionamento Instalações</v>
          </cell>
          <cell r="D339">
            <v>4003853.73</v>
          </cell>
          <cell r="E339">
            <v>416006.03</v>
          </cell>
          <cell r="F339">
            <v>-199</v>
          </cell>
          <cell r="G339">
            <v>4419660.76</v>
          </cell>
        </row>
        <row r="340">
          <cell r="B340">
            <v>42611</v>
          </cell>
          <cell r="C340" t="str">
            <v>Aluguéis</v>
          </cell>
          <cell r="D340">
            <v>693357.34</v>
          </cell>
          <cell r="E340">
            <v>80887.22</v>
          </cell>
          <cell r="F340">
            <v>0</v>
          </cell>
          <cell r="G340">
            <v>774244.56</v>
          </cell>
        </row>
        <row r="341">
          <cell r="B341">
            <v>42613</v>
          </cell>
          <cell r="C341" t="str">
            <v>Manutenção e Reparos</v>
          </cell>
          <cell r="D341">
            <v>100060.25</v>
          </cell>
          <cell r="E341">
            <v>4600</v>
          </cell>
          <cell r="F341">
            <v>-199</v>
          </cell>
          <cell r="G341">
            <v>104461.25</v>
          </cell>
        </row>
        <row r="342">
          <cell r="B342">
            <v>42614</v>
          </cell>
          <cell r="C342" t="str">
            <v>Energia Elétrica</v>
          </cell>
          <cell r="D342">
            <v>198359.72</v>
          </cell>
          <cell r="E342">
            <v>18148.32</v>
          </cell>
          <cell r="F342">
            <v>0</v>
          </cell>
          <cell r="G342">
            <v>216508.04</v>
          </cell>
        </row>
        <row r="343">
          <cell r="B343">
            <v>42616</v>
          </cell>
          <cell r="C343" t="str">
            <v>Telecomunicações</v>
          </cell>
          <cell r="D343">
            <v>12946.52</v>
          </cell>
          <cell r="E343">
            <v>1402.61</v>
          </cell>
          <cell r="F343">
            <v>0</v>
          </cell>
          <cell r="G343">
            <v>14349.13</v>
          </cell>
        </row>
        <row r="344">
          <cell r="B344">
            <v>42617</v>
          </cell>
          <cell r="C344" t="str">
            <v>Correios e Malotes</v>
          </cell>
          <cell r="D344">
            <v>2494.06</v>
          </cell>
          <cell r="E344">
            <v>188.7</v>
          </cell>
          <cell r="F344">
            <v>0</v>
          </cell>
          <cell r="G344">
            <v>2682.76</v>
          </cell>
        </row>
        <row r="345">
          <cell r="B345">
            <v>42618</v>
          </cell>
          <cell r="C345" t="str">
            <v>Reproduções</v>
          </cell>
          <cell r="D345">
            <v>9204.7000000000007</v>
          </cell>
          <cell r="E345">
            <v>0</v>
          </cell>
          <cell r="F345">
            <v>0</v>
          </cell>
          <cell r="G345">
            <v>9204.7000000000007</v>
          </cell>
        </row>
        <row r="346">
          <cell r="B346">
            <v>426111</v>
          </cell>
          <cell r="C346" t="str">
            <v>Depreciação e Amortização</v>
          </cell>
          <cell r="D346">
            <v>2429618.0699999998</v>
          </cell>
          <cell r="E346">
            <v>240062.72</v>
          </cell>
          <cell r="F346">
            <v>0</v>
          </cell>
          <cell r="G346">
            <v>2669680.79</v>
          </cell>
        </row>
        <row r="347">
          <cell r="B347">
            <v>426112</v>
          </cell>
          <cell r="C347" t="str">
            <v>Alugueis de Móveis, Máquinas e Equip.</v>
          </cell>
          <cell r="D347">
            <v>1462.31</v>
          </cell>
          <cell r="E347">
            <v>709.18</v>
          </cell>
          <cell r="F347">
            <v>0</v>
          </cell>
          <cell r="G347">
            <v>2171.4899999999998</v>
          </cell>
        </row>
        <row r="348">
          <cell r="B348">
            <v>426114</v>
          </cell>
          <cell r="C348" t="str">
            <v>Serviço de Limpeza e Higiene</v>
          </cell>
          <cell r="D348">
            <v>152785.93</v>
          </cell>
          <cell r="E348">
            <v>24681.99</v>
          </cell>
          <cell r="F348">
            <v>0</v>
          </cell>
          <cell r="G348">
            <v>177467.92</v>
          </cell>
        </row>
        <row r="349">
          <cell r="B349">
            <v>426116</v>
          </cell>
          <cell r="C349" t="str">
            <v>Condomínios</v>
          </cell>
          <cell r="D349">
            <v>299067.21999999997</v>
          </cell>
          <cell r="E349">
            <v>30062.49</v>
          </cell>
          <cell r="F349">
            <v>0</v>
          </cell>
          <cell r="G349">
            <v>329129.71000000002</v>
          </cell>
        </row>
        <row r="350">
          <cell r="B350">
            <v>426117</v>
          </cell>
          <cell r="C350" t="str">
            <v>Serviços Gerais</v>
          </cell>
          <cell r="D350">
            <v>104497.61</v>
          </cell>
          <cell r="E350">
            <v>15262.8</v>
          </cell>
          <cell r="F350">
            <v>0</v>
          </cell>
          <cell r="G350">
            <v>119760.41</v>
          </cell>
        </row>
        <row r="351">
          <cell r="B351">
            <v>4262</v>
          </cell>
          <cell r="C351" t="str">
            <v>Despesas Gerais da Administração</v>
          </cell>
          <cell r="D351">
            <v>3261523.35</v>
          </cell>
          <cell r="E351">
            <v>352983.63</v>
          </cell>
          <cell r="F351">
            <v>-548.98</v>
          </cell>
          <cell r="G351">
            <v>3613958</v>
          </cell>
        </row>
        <row r="352">
          <cell r="B352">
            <v>42621</v>
          </cell>
          <cell r="C352" t="str">
            <v>Honorários da Diretoria</v>
          </cell>
          <cell r="D352">
            <v>682124.74</v>
          </cell>
          <cell r="E352">
            <v>64964.26</v>
          </cell>
          <cell r="F352">
            <v>0</v>
          </cell>
          <cell r="G352">
            <v>747089</v>
          </cell>
        </row>
        <row r="353">
          <cell r="B353">
            <v>42622</v>
          </cell>
          <cell r="C353" t="str">
            <v>Honorários Conselhos de Adm. e Fiscal</v>
          </cell>
          <cell r="D353">
            <v>306846.82</v>
          </cell>
          <cell r="E353">
            <v>29342.15</v>
          </cell>
          <cell r="F353">
            <v>0</v>
          </cell>
          <cell r="G353">
            <v>336188.97</v>
          </cell>
        </row>
        <row r="354">
          <cell r="B354">
            <v>42624</v>
          </cell>
          <cell r="C354" t="str">
            <v>Despesas de Viagens - Passagens Aéreas</v>
          </cell>
          <cell r="D354">
            <v>258882.7</v>
          </cell>
          <cell r="E354">
            <v>36176.879999999997</v>
          </cell>
          <cell r="F354">
            <v>0</v>
          </cell>
          <cell r="G354">
            <v>295059.58</v>
          </cell>
        </row>
        <row r="355">
          <cell r="B355">
            <v>42625</v>
          </cell>
          <cell r="C355" t="str">
            <v>Despesas de Viagens - Hospedagens</v>
          </cell>
          <cell r="D355">
            <v>13705.59</v>
          </cell>
          <cell r="E355">
            <v>5759.42</v>
          </cell>
          <cell r="F355">
            <v>0</v>
          </cell>
          <cell r="G355">
            <v>19465.009999999998</v>
          </cell>
        </row>
        <row r="356">
          <cell r="B356">
            <v>42626</v>
          </cell>
          <cell r="C356" t="str">
            <v>Despesas de Viagens - Outros</v>
          </cell>
          <cell r="D356">
            <v>56321.34</v>
          </cell>
          <cell r="E356">
            <v>12984.06</v>
          </cell>
          <cell r="F356">
            <v>-548.98</v>
          </cell>
          <cell r="G356">
            <v>68756.42</v>
          </cell>
        </row>
        <row r="357">
          <cell r="B357">
            <v>42627</v>
          </cell>
          <cell r="C357" t="str">
            <v>Assinaturas Banco de Dados e Portais</v>
          </cell>
          <cell r="D357">
            <v>1546350.91</v>
          </cell>
          <cell r="E357">
            <v>177201.37</v>
          </cell>
          <cell r="F357">
            <v>0</v>
          </cell>
          <cell r="G357">
            <v>1723552.28</v>
          </cell>
        </row>
        <row r="358">
          <cell r="B358">
            <v>42629</v>
          </cell>
          <cell r="C358" t="str">
            <v>Despesas Legais e Judiciais</v>
          </cell>
          <cell r="D358">
            <v>4760.91</v>
          </cell>
          <cell r="E358">
            <v>0</v>
          </cell>
          <cell r="F358">
            <v>0</v>
          </cell>
          <cell r="G358">
            <v>4760.91</v>
          </cell>
        </row>
        <row r="359">
          <cell r="B359">
            <v>426210</v>
          </cell>
          <cell r="C359" t="str">
            <v>Despesa de Viagem ao Exterior</v>
          </cell>
          <cell r="D359">
            <v>78253.83</v>
          </cell>
          <cell r="E359">
            <v>0</v>
          </cell>
          <cell r="F359">
            <v>0</v>
          </cell>
          <cell r="G359">
            <v>78253.83</v>
          </cell>
        </row>
        <row r="360">
          <cell r="B360">
            <v>426213</v>
          </cell>
          <cell r="C360" t="str">
            <v>DESPESAS NÃO DEDUTIVEIS</v>
          </cell>
          <cell r="D360">
            <v>40550.300000000003</v>
          </cell>
          <cell r="E360">
            <v>0</v>
          </cell>
          <cell r="F360">
            <v>0</v>
          </cell>
          <cell r="G360">
            <v>40550.300000000003</v>
          </cell>
        </row>
        <row r="361">
          <cell r="B361">
            <v>426214</v>
          </cell>
          <cell r="C361" t="str">
            <v>Honorários Comite de Auditoria</v>
          </cell>
          <cell r="D361">
            <v>100405.95</v>
          </cell>
          <cell r="E361">
            <v>10556.7</v>
          </cell>
          <cell r="F361">
            <v>0</v>
          </cell>
          <cell r="G361">
            <v>110962.65</v>
          </cell>
        </row>
        <row r="362">
          <cell r="B362">
            <v>426215</v>
          </cell>
          <cell r="C362" t="str">
            <v>Seguro de Responsabilidade Cívil</v>
          </cell>
          <cell r="D362">
            <v>173320.26</v>
          </cell>
          <cell r="E362">
            <v>15998.79</v>
          </cell>
          <cell r="F362">
            <v>0</v>
          </cell>
          <cell r="G362">
            <v>189319.05</v>
          </cell>
        </row>
        <row r="363">
          <cell r="B363">
            <v>427</v>
          </cell>
          <cell r="C363" t="str">
            <v>Despesas Financeiras</v>
          </cell>
          <cell r="D363">
            <v>869504.59</v>
          </cell>
          <cell r="E363">
            <v>66330.960000000006</v>
          </cell>
          <cell r="F363">
            <v>0</v>
          </cell>
          <cell r="G363">
            <v>935835.55</v>
          </cell>
        </row>
        <row r="364">
          <cell r="B364">
            <v>42701</v>
          </cell>
          <cell r="C364" t="str">
            <v>Despesas Financeiras</v>
          </cell>
          <cell r="D364">
            <v>869504.59</v>
          </cell>
          <cell r="E364">
            <v>66330.960000000006</v>
          </cell>
          <cell r="F364">
            <v>0</v>
          </cell>
          <cell r="G364">
            <v>935835.55</v>
          </cell>
        </row>
        <row r="365">
          <cell r="B365">
            <v>42711</v>
          </cell>
          <cell r="C365" t="str">
            <v>Juros Pagos ou Incorridos</v>
          </cell>
          <cell r="D365">
            <v>3.15</v>
          </cell>
          <cell r="E365">
            <v>0</v>
          </cell>
          <cell r="F365">
            <v>0</v>
          </cell>
          <cell r="G365">
            <v>3.15</v>
          </cell>
        </row>
        <row r="366">
          <cell r="B366">
            <v>42716</v>
          </cell>
          <cell r="C366" t="str">
            <v>Multas</v>
          </cell>
          <cell r="D366">
            <v>2346.33</v>
          </cell>
          <cell r="E366">
            <v>0</v>
          </cell>
          <cell r="F366">
            <v>0</v>
          </cell>
          <cell r="G366">
            <v>2346.33</v>
          </cell>
        </row>
        <row r="367">
          <cell r="B367">
            <v>42720</v>
          </cell>
          <cell r="C367" t="str">
            <v>Prov. Contingências Variações Monetárias</v>
          </cell>
          <cell r="D367">
            <v>867155.11</v>
          </cell>
          <cell r="E367">
            <v>66330.960000000006</v>
          </cell>
          <cell r="F367">
            <v>0</v>
          </cell>
          <cell r="G367">
            <v>933486.07</v>
          </cell>
        </row>
        <row r="368">
          <cell r="B368">
            <v>429</v>
          </cell>
          <cell r="C368" t="str">
            <v>Outras Despesas</v>
          </cell>
          <cell r="D368">
            <v>750000</v>
          </cell>
          <cell r="E368">
            <v>0</v>
          </cell>
          <cell r="F368">
            <v>0</v>
          </cell>
          <cell r="G368">
            <v>750000</v>
          </cell>
        </row>
        <row r="369">
          <cell r="B369">
            <v>42910</v>
          </cell>
          <cell r="C369" t="str">
            <v>Despesas Concurso Público</v>
          </cell>
          <cell r="D369">
            <v>750000</v>
          </cell>
          <cell r="E369">
            <v>0</v>
          </cell>
          <cell r="F369">
            <v>0</v>
          </cell>
          <cell r="G369">
            <v>750000</v>
          </cell>
        </row>
        <row r="370">
          <cell r="B370">
            <v>429101</v>
          </cell>
          <cell r="C370" t="str">
            <v>Despesa de Concurso Público</v>
          </cell>
          <cell r="D370">
            <v>750000</v>
          </cell>
          <cell r="E370">
            <v>0</v>
          </cell>
          <cell r="F370">
            <v>0</v>
          </cell>
          <cell r="G370">
            <v>750000</v>
          </cell>
        </row>
        <row r="371">
          <cell r="B371">
            <v>5</v>
          </cell>
          <cell r="C371" t="str">
            <v>Resultado do Período</v>
          </cell>
          <cell r="D371">
            <v>616167.47</v>
          </cell>
          <cell r="E371">
            <v>0</v>
          </cell>
          <cell r="F371">
            <v>-2951140.21</v>
          </cell>
          <cell r="G371">
            <v>2334972.7400000002</v>
          </cell>
        </row>
        <row r="372">
          <cell r="B372">
            <v>51</v>
          </cell>
          <cell r="C372" t="str">
            <v>Resultado do Período</v>
          </cell>
          <cell r="D372">
            <v>616167.47</v>
          </cell>
          <cell r="E372">
            <v>0</v>
          </cell>
          <cell r="F372">
            <v>-2951140.21</v>
          </cell>
          <cell r="G372">
            <v>2334972.7400000002</v>
          </cell>
        </row>
        <row r="373">
          <cell r="B373">
            <v>511</v>
          </cell>
          <cell r="C373" t="str">
            <v>Lucro do Período</v>
          </cell>
          <cell r="D373">
            <v>6440098.96</v>
          </cell>
          <cell r="E373">
            <v>0</v>
          </cell>
          <cell r="F373">
            <v>0</v>
          </cell>
          <cell r="G373">
            <v>6440098.96</v>
          </cell>
        </row>
        <row r="374">
          <cell r="B374">
            <v>5111</v>
          </cell>
          <cell r="C374" t="str">
            <v>Janeiro</v>
          </cell>
          <cell r="D374">
            <v>801472.64</v>
          </cell>
          <cell r="E374">
            <v>0</v>
          </cell>
          <cell r="F374">
            <v>0</v>
          </cell>
          <cell r="G374">
            <v>801472.64</v>
          </cell>
        </row>
        <row r="375">
          <cell r="B375">
            <v>5112</v>
          </cell>
          <cell r="C375" t="str">
            <v>Fevereiro</v>
          </cell>
          <cell r="D375">
            <v>935410.39</v>
          </cell>
          <cell r="E375">
            <v>0</v>
          </cell>
          <cell r="F375">
            <v>0</v>
          </cell>
          <cell r="G375">
            <v>935410.39</v>
          </cell>
        </row>
        <row r="376">
          <cell r="B376">
            <v>5114</v>
          </cell>
          <cell r="C376" t="str">
            <v>Abril</v>
          </cell>
          <cell r="D376">
            <v>3733895.49</v>
          </cell>
          <cell r="E376">
            <v>0</v>
          </cell>
          <cell r="F376">
            <v>0</v>
          </cell>
          <cell r="G376">
            <v>3733895.49</v>
          </cell>
        </row>
        <row r="377">
          <cell r="B377">
            <v>5117</v>
          </cell>
          <cell r="C377" t="str">
            <v>Julho</v>
          </cell>
          <cell r="D377">
            <v>387867.2</v>
          </cell>
          <cell r="E377">
            <v>0</v>
          </cell>
          <cell r="F377">
            <v>0</v>
          </cell>
          <cell r="G377">
            <v>387867.2</v>
          </cell>
        </row>
        <row r="378">
          <cell r="B378">
            <v>51110</v>
          </cell>
          <cell r="C378" t="str">
            <v>Outubro</v>
          </cell>
          <cell r="D378">
            <v>581453.24</v>
          </cell>
          <cell r="E378">
            <v>0</v>
          </cell>
          <cell r="F378">
            <v>0</v>
          </cell>
          <cell r="G378">
            <v>581453.24</v>
          </cell>
        </row>
        <row r="379">
          <cell r="B379">
            <v>512</v>
          </cell>
          <cell r="C379" t="str">
            <v>Prejuízo do Período</v>
          </cell>
          <cell r="D379">
            <v>-5823931.4900000002</v>
          </cell>
          <cell r="E379">
            <v>0</v>
          </cell>
          <cell r="F379">
            <v>-2951140.21</v>
          </cell>
          <cell r="G379">
            <v>8775071.6999999993</v>
          </cell>
        </row>
        <row r="380">
          <cell r="B380">
            <v>5123</v>
          </cell>
          <cell r="C380" t="str">
            <v>Março</v>
          </cell>
          <cell r="D380">
            <v>-2791988</v>
          </cell>
          <cell r="E380">
            <v>0</v>
          </cell>
          <cell r="F380">
            <v>0</v>
          </cell>
          <cell r="G380">
            <v>2791988</v>
          </cell>
        </row>
        <row r="381">
          <cell r="B381">
            <v>5125</v>
          </cell>
          <cell r="C381" t="str">
            <v>Maio</v>
          </cell>
          <cell r="D381">
            <v>-1383594.51</v>
          </cell>
          <cell r="E381">
            <v>0</v>
          </cell>
          <cell r="F381">
            <v>0</v>
          </cell>
          <cell r="G381">
            <v>1383594.51</v>
          </cell>
        </row>
        <row r="382">
          <cell r="B382">
            <v>5126</v>
          </cell>
          <cell r="C382" t="str">
            <v>Junho</v>
          </cell>
          <cell r="D382">
            <v>-1294145.93</v>
          </cell>
          <cell r="E382">
            <v>0</v>
          </cell>
          <cell r="F382">
            <v>0</v>
          </cell>
          <cell r="G382">
            <v>1294145.93</v>
          </cell>
        </row>
        <row r="383">
          <cell r="B383">
            <v>5128</v>
          </cell>
          <cell r="C383" t="str">
            <v>Agosto</v>
          </cell>
          <cell r="D383">
            <v>-77096.83</v>
          </cell>
          <cell r="E383">
            <v>0</v>
          </cell>
          <cell r="F383">
            <v>0</v>
          </cell>
          <cell r="G383">
            <v>77096.83</v>
          </cell>
        </row>
        <row r="384">
          <cell r="B384">
            <v>5129</v>
          </cell>
          <cell r="C384" t="str">
            <v>Setembro</v>
          </cell>
          <cell r="D384">
            <v>-277106.21999999997</v>
          </cell>
          <cell r="E384">
            <v>0</v>
          </cell>
          <cell r="F384">
            <v>0</v>
          </cell>
          <cell r="G384">
            <v>277106.21999999997</v>
          </cell>
        </row>
        <row r="385">
          <cell r="B385">
            <v>51211</v>
          </cell>
          <cell r="C385" t="str">
            <v>Novembro</v>
          </cell>
          <cell r="D385">
            <v>0</v>
          </cell>
          <cell r="E385">
            <v>0</v>
          </cell>
          <cell r="F385">
            <v>-2951140.21</v>
          </cell>
          <cell r="G385">
            <v>2951140.21</v>
          </cell>
        </row>
      </sheetData>
      <sheetData sheetId="20">
        <row r="235">
          <cell r="G235">
            <v>1461175.56</v>
          </cell>
        </row>
        <row r="288">
          <cell r="G288">
            <v>670023.73</v>
          </cell>
        </row>
      </sheetData>
      <sheetData sheetId="21">
        <row r="229">
          <cell r="G229">
            <v>1317533.83</v>
          </cell>
        </row>
        <row r="282">
          <cell r="G282">
            <v>603772.72</v>
          </cell>
        </row>
      </sheetData>
      <sheetData sheetId="22">
        <row r="205">
          <cell r="G205">
            <v>22945.54</v>
          </cell>
        </row>
        <row r="230">
          <cell r="G230">
            <v>1172894.6299999999</v>
          </cell>
        </row>
        <row r="283">
          <cell r="G283">
            <v>537261.34</v>
          </cell>
        </row>
      </sheetData>
      <sheetData sheetId="23">
        <row r="226">
          <cell r="G226">
            <v>1028255.44</v>
          </cell>
        </row>
        <row r="280">
          <cell r="G280">
            <v>470749.97</v>
          </cell>
        </row>
      </sheetData>
      <sheetData sheetId="24">
        <row r="2">
          <cell r="B2"/>
        </row>
        <row r="4">
          <cell r="B4" t="str">
            <v>Reduzido</v>
          </cell>
          <cell r="C4" t="str">
            <v>Descrição</v>
          </cell>
          <cell r="D4" t="str">
            <v>Anterior</v>
          </cell>
          <cell r="E4" t="str">
            <v>Débitos</v>
          </cell>
          <cell r="F4" t="str">
            <v>Créditos</v>
          </cell>
          <cell r="G4" t="str">
            <v>Saldo Atual</v>
          </cell>
        </row>
        <row r="5">
          <cell r="B5">
            <v>1</v>
          </cell>
          <cell r="C5" t="str">
            <v>Ativo</v>
          </cell>
          <cell r="D5">
            <v>50979969.789999999</v>
          </cell>
          <cell r="E5">
            <v>40426363.240000002</v>
          </cell>
          <cell r="F5">
            <v>-33884879.670000002</v>
          </cell>
          <cell r="G5">
            <v>57521453.359999999</v>
          </cell>
        </row>
        <row r="6">
          <cell r="B6">
            <v>11</v>
          </cell>
          <cell r="C6" t="str">
            <v>Circulante</v>
          </cell>
          <cell r="D6">
            <v>36093042.990000002</v>
          </cell>
          <cell r="E6">
            <v>40243613.299999997</v>
          </cell>
          <cell r="F6">
            <v>-33041029.359999999</v>
          </cell>
          <cell r="G6">
            <v>43295626.93</v>
          </cell>
        </row>
        <row r="7">
          <cell r="B7">
            <v>111</v>
          </cell>
          <cell r="C7" t="str">
            <v>Disponibilidades</v>
          </cell>
          <cell r="D7">
            <v>32603639.07</v>
          </cell>
          <cell r="E7">
            <v>31759677.190000001</v>
          </cell>
          <cell r="F7">
            <v>-27073240.649999999</v>
          </cell>
          <cell r="G7">
            <v>37290075.609999999</v>
          </cell>
        </row>
        <row r="8">
          <cell r="B8">
            <v>1112</v>
          </cell>
          <cell r="C8" t="str">
            <v>Bancos</v>
          </cell>
          <cell r="D8">
            <v>32603639.07</v>
          </cell>
          <cell r="E8">
            <v>31759677.190000001</v>
          </cell>
          <cell r="F8">
            <v>-27073240.649999999</v>
          </cell>
          <cell r="G8">
            <v>37290075.609999999</v>
          </cell>
        </row>
        <row r="9">
          <cell r="B9" t="str">
            <v>BB</v>
          </cell>
          <cell r="C9" t="str">
            <v>Banco do Brasil conta única União</v>
          </cell>
          <cell r="D9">
            <v>32603639.07</v>
          </cell>
          <cell r="E9">
            <v>24509285.93</v>
          </cell>
          <cell r="F9">
            <v>-19822849.390000001</v>
          </cell>
          <cell r="G9">
            <v>37290075.609999999</v>
          </cell>
        </row>
        <row r="10">
          <cell r="B10" t="str">
            <v>CO</v>
          </cell>
          <cell r="C10" t="str">
            <v>Receita Cota Orçamentária</v>
          </cell>
          <cell r="D10">
            <v>0</v>
          </cell>
          <cell r="E10">
            <v>7250391.2599999998</v>
          </cell>
          <cell r="F10">
            <v>-7250391.2599999998</v>
          </cell>
          <cell r="G10">
            <v>0</v>
          </cell>
        </row>
        <row r="11">
          <cell r="B11">
            <v>112</v>
          </cell>
          <cell r="C11" t="str">
            <v>Créditos, Direitos e Bens</v>
          </cell>
          <cell r="D11">
            <v>638667.86</v>
          </cell>
          <cell r="E11">
            <v>7854198.1299999999</v>
          </cell>
          <cell r="F11">
            <v>-4883347.5</v>
          </cell>
          <cell r="G11">
            <v>3609518.49</v>
          </cell>
        </row>
        <row r="12">
          <cell r="B12">
            <v>1123</v>
          </cell>
          <cell r="C12" t="str">
            <v>Tributos a Recuperar ou Compensáveis</v>
          </cell>
          <cell r="D12">
            <v>7374.75</v>
          </cell>
          <cell r="E12">
            <v>834829.96</v>
          </cell>
          <cell r="F12">
            <v>-34692.54</v>
          </cell>
          <cell r="G12">
            <v>807512.17</v>
          </cell>
        </row>
        <row r="13">
          <cell r="B13">
            <v>11239</v>
          </cell>
          <cell r="C13" t="str">
            <v>COFINS a Recuperar</v>
          </cell>
          <cell r="D13">
            <v>1355.8</v>
          </cell>
          <cell r="E13">
            <v>39.43</v>
          </cell>
          <cell r="F13">
            <v>0</v>
          </cell>
          <cell r="G13">
            <v>1395.23</v>
          </cell>
        </row>
        <row r="14">
          <cell r="B14">
            <v>112316</v>
          </cell>
          <cell r="C14" t="str">
            <v>IRPJ Estimativa</v>
          </cell>
          <cell r="D14">
            <v>0</v>
          </cell>
          <cell r="E14">
            <v>597612.79</v>
          </cell>
          <cell r="F14">
            <v>0</v>
          </cell>
          <cell r="G14">
            <v>597612.79</v>
          </cell>
        </row>
        <row r="15">
          <cell r="B15">
            <v>112317</v>
          </cell>
          <cell r="C15" t="str">
            <v>CSLL Estimativa</v>
          </cell>
          <cell r="D15">
            <v>0</v>
          </cell>
          <cell r="E15">
            <v>202352.27</v>
          </cell>
          <cell r="F15">
            <v>0</v>
          </cell>
          <cell r="G15">
            <v>202352.27</v>
          </cell>
        </row>
        <row r="16">
          <cell r="B16">
            <v>112321</v>
          </cell>
          <cell r="C16" t="str">
            <v>Antecipação de IRRF - 0561</v>
          </cell>
          <cell r="D16">
            <v>0</v>
          </cell>
          <cell r="E16">
            <v>34692.54</v>
          </cell>
          <cell r="F16">
            <v>-34692.54</v>
          </cell>
          <cell r="G16">
            <v>0</v>
          </cell>
        </row>
        <row r="17">
          <cell r="B17">
            <v>112323</v>
          </cell>
          <cell r="C17" t="str">
            <v>IRRF a Compensar</v>
          </cell>
          <cell r="D17">
            <v>5799.09</v>
          </cell>
          <cell r="E17">
            <v>126.99</v>
          </cell>
          <cell r="F17">
            <v>0</v>
          </cell>
          <cell r="G17">
            <v>5926.08</v>
          </cell>
        </row>
        <row r="18">
          <cell r="B18">
            <v>112327</v>
          </cell>
          <cell r="C18" t="str">
            <v>PIS a Restituir</v>
          </cell>
          <cell r="D18">
            <v>219.86</v>
          </cell>
          <cell r="E18">
            <v>5.94</v>
          </cell>
          <cell r="F18">
            <v>0</v>
          </cell>
          <cell r="G18">
            <v>225.8</v>
          </cell>
        </row>
        <row r="19">
          <cell r="B19">
            <v>1124</v>
          </cell>
          <cell r="C19" t="str">
            <v>Adiantamentos a Empregados</v>
          </cell>
          <cell r="D19">
            <v>631161.13</v>
          </cell>
          <cell r="E19">
            <v>3210713.99</v>
          </cell>
          <cell r="F19">
            <v>-1516462.21</v>
          </cell>
          <cell r="G19">
            <v>2325412.91</v>
          </cell>
        </row>
        <row r="20">
          <cell r="B20">
            <v>11241</v>
          </cell>
          <cell r="C20" t="str">
            <v>Adiantamento de Férias</v>
          </cell>
          <cell r="D20">
            <v>160228.21</v>
          </cell>
          <cell r="E20">
            <v>1334613.81</v>
          </cell>
          <cell r="F20">
            <v>-1319389.28</v>
          </cell>
          <cell r="G20">
            <v>175452.74</v>
          </cell>
        </row>
        <row r="21">
          <cell r="B21">
            <v>11242</v>
          </cell>
          <cell r="C21" t="str">
            <v>Adiantamento de 13º Salário</v>
          </cell>
          <cell r="D21">
            <v>470932.92</v>
          </cell>
          <cell r="E21">
            <v>1679027.25</v>
          </cell>
          <cell r="F21">
            <v>0</v>
          </cell>
          <cell r="G21">
            <v>2149960.17</v>
          </cell>
        </row>
        <row r="22">
          <cell r="B22">
            <v>112424</v>
          </cell>
          <cell r="C22" t="str">
            <v>Empréstimo a funcionários</v>
          </cell>
          <cell r="D22">
            <v>0</v>
          </cell>
          <cell r="E22">
            <v>183317.33</v>
          </cell>
          <cell r="F22">
            <v>-183317.33</v>
          </cell>
          <cell r="G22">
            <v>0</v>
          </cell>
        </row>
        <row r="23">
          <cell r="B23">
            <v>112425</v>
          </cell>
          <cell r="C23" t="str">
            <v>Mensalidade AEPE</v>
          </cell>
          <cell r="D23">
            <v>0</v>
          </cell>
          <cell r="E23">
            <v>13755.6</v>
          </cell>
          <cell r="F23">
            <v>-13755.6</v>
          </cell>
          <cell r="G23">
            <v>0</v>
          </cell>
        </row>
        <row r="24">
          <cell r="B24">
            <v>1129</v>
          </cell>
          <cell r="C24" t="str">
            <v>Conta a Receber - Leilões ANEEL</v>
          </cell>
          <cell r="D24">
            <v>0</v>
          </cell>
          <cell r="E24">
            <v>3808654.18</v>
          </cell>
          <cell r="F24">
            <v>-3332192.75</v>
          </cell>
          <cell r="G24">
            <v>476461.43</v>
          </cell>
        </row>
        <row r="25">
          <cell r="B25">
            <v>11291</v>
          </cell>
          <cell r="C25" t="str">
            <v>Reembolso de custos a Receber - ANEEL</v>
          </cell>
          <cell r="D25">
            <v>0</v>
          </cell>
          <cell r="E25">
            <v>3808654.18</v>
          </cell>
          <cell r="F25">
            <v>-3332192.75</v>
          </cell>
          <cell r="G25">
            <v>476461.43</v>
          </cell>
        </row>
        <row r="26">
          <cell r="B26">
            <v>11299</v>
          </cell>
          <cell r="C26" t="str">
            <v>Outros Créditos</v>
          </cell>
          <cell r="D26">
            <v>131.97999999999999</v>
          </cell>
          <cell r="E26">
            <v>0</v>
          </cell>
          <cell r="F26">
            <v>0</v>
          </cell>
          <cell r="G26">
            <v>131.97999999999999</v>
          </cell>
        </row>
        <row r="27">
          <cell r="B27">
            <v>11299999</v>
          </cell>
          <cell r="C27" t="str">
            <v>Créditos Diversos</v>
          </cell>
          <cell r="D27">
            <v>131.97999999999999</v>
          </cell>
          <cell r="E27">
            <v>0</v>
          </cell>
          <cell r="F27">
            <v>0</v>
          </cell>
          <cell r="G27">
            <v>131.97999999999999</v>
          </cell>
        </row>
        <row r="28">
          <cell r="B28">
            <v>113</v>
          </cell>
          <cell r="C28" t="str">
            <v>Despesas Antecipadas</v>
          </cell>
          <cell r="D28">
            <v>2850736.06</v>
          </cell>
          <cell r="E28">
            <v>629737.98</v>
          </cell>
          <cell r="F28">
            <v>-1084441.21</v>
          </cell>
          <cell r="G28">
            <v>2396032.83</v>
          </cell>
        </row>
        <row r="29">
          <cell r="B29">
            <v>1131</v>
          </cell>
          <cell r="C29" t="str">
            <v>Despesas Antecipadas</v>
          </cell>
          <cell r="D29">
            <v>2850736.06</v>
          </cell>
          <cell r="E29">
            <v>629737.98</v>
          </cell>
          <cell r="F29">
            <v>-1084441.21</v>
          </cell>
          <cell r="G29">
            <v>2396032.83</v>
          </cell>
        </row>
        <row r="30">
          <cell r="B30">
            <v>11311</v>
          </cell>
          <cell r="C30" t="str">
            <v>Prêmio de Seguros Pagos Antecipadamente</v>
          </cell>
          <cell r="D30">
            <v>135456.43</v>
          </cell>
          <cell r="E30">
            <v>0</v>
          </cell>
          <cell r="F30">
            <v>-48529.67</v>
          </cell>
          <cell r="G30">
            <v>86926.76</v>
          </cell>
        </row>
        <row r="31">
          <cell r="B31">
            <v>11312</v>
          </cell>
          <cell r="C31" t="str">
            <v>Assinaturas e Anuidades</v>
          </cell>
          <cell r="D31">
            <v>766136.05</v>
          </cell>
          <cell r="E31">
            <v>17126.599999999999</v>
          </cell>
          <cell r="F31">
            <v>-279275.67</v>
          </cell>
          <cell r="G31">
            <v>503986.98</v>
          </cell>
        </row>
        <row r="32">
          <cell r="B32">
            <v>11313</v>
          </cell>
          <cell r="C32" t="str">
            <v>Provedores de Informações</v>
          </cell>
          <cell r="D32">
            <v>150916.32999999999</v>
          </cell>
          <cell r="E32">
            <v>0</v>
          </cell>
          <cell r="F32">
            <v>-47274.559999999998</v>
          </cell>
          <cell r="G32">
            <v>103641.77</v>
          </cell>
        </row>
        <row r="33">
          <cell r="B33">
            <v>11315</v>
          </cell>
          <cell r="C33" t="str">
            <v>Iptu a Apropriar</v>
          </cell>
          <cell r="D33">
            <v>302063.53000000003</v>
          </cell>
          <cell r="E33">
            <v>0</v>
          </cell>
          <cell r="F33">
            <v>-99593.43</v>
          </cell>
          <cell r="G33">
            <v>202470.1</v>
          </cell>
        </row>
        <row r="34">
          <cell r="B34">
            <v>11316</v>
          </cell>
          <cell r="C34" t="str">
            <v>Manutenção de Software</v>
          </cell>
          <cell r="D34">
            <v>1496163.72</v>
          </cell>
          <cell r="E34">
            <v>612611.38</v>
          </cell>
          <cell r="F34">
            <v>-609767.88</v>
          </cell>
          <cell r="G34">
            <v>1499007.22</v>
          </cell>
        </row>
        <row r="35">
          <cell r="B35">
            <v>12</v>
          </cell>
          <cell r="C35" t="str">
            <v>Ativo Não Circulante</v>
          </cell>
          <cell r="D35">
            <v>14886926.800000001</v>
          </cell>
          <cell r="E35">
            <v>182749.94</v>
          </cell>
          <cell r="F35">
            <v>-843850.31</v>
          </cell>
          <cell r="G35">
            <v>14225826.43</v>
          </cell>
        </row>
        <row r="36">
          <cell r="B36">
            <v>121</v>
          </cell>
          <cell r="C36" t="str">
            <v>Realizavel a Longo Prazo</v>
          </cell>
          <cell r="D36">
            <v>4433189.9400000004</v>
          </cell>
          <cell r="E36">
            <v>182749.94</v>
          </cell>
          <cell r="F36">
            <v>-106536.03</v>
          </cell>
          <cell r="G36">
            <v>4509403.8499999996</v>
          </cell>
        </row>
        <row r="37">
          <cell r="B37">
            <v>1213</v>
          </cell>
          <cell r="C37" t="str">
            <v>Tributos a Recuperar ou Compensáveis</v>
          </cell>
          <cell r="D37">
            <v>202827.93</v>
          </cell>
          <cell r="E37">
            <v>57636.06</v>
          </cell>
          <cell r="F37">
            <v>-105415.29</v>
          </cell>
          <cell r="G37">
            <v>155048.70000000001</v>
          </cell>
        </row>
        <row r="38">
          <cell r="B38">
            <v>12131</v>
          </cell>
          <cell r="C38" t="str">
            <v>IRPJ a Compensar</v>
          </cell>
          <cell r="D38">
            <v>71379.34</v>
          </cell>
          <cell r="E38">
            <v>54243.37</v>
          </cell>
          <cell r="F38">
            <v>-105415.29</v>
          </cell>
          <cell r="G38">
            <v>20207.419999999998</v>
          </cell>
        </row>
        <row r="39">
          <cell r="B39">
            <v>12134</v>
          </cell>
          <cell r="C39" t="str">
            <v>ISS a Restituir</v>
          </cell>
          <cell r="D39">
            <v>4640.58</v>
          </cell>
          <cell r="E39">
            <v>0</v>
          </cell>
          <cell r="F39">
            <v>0</v>
          </cell>
          <cell r="G39">
            <v>4640.58</v>
          </cell>
        </row>
        <row r="40">
          <cell r="B40">
            <v>12135</v>
          </cell>
          <cell r="C40" t="str">
            <v>CSLL a Compensar</v>
          </cell>
          <cell r="D40">
            <v>126808.01</v>
          </cell>
          <cell r="E40">
            <v>3392.69</v>
          </cell>
          <cell r="F40">
            <v>0</v>
          </cell>
          <cell r="G40">
            <v>130200.7</v>
          </cell>
        </row>
        <row r="41">
          <cell r="B41">
            <v>1217</v>
          </cell>
          <cell r="C41" t="str">
            <v>Títulos e Valores Mobiliários</v>
          </cell>
          <cell r="D41">
            <v>215</v>
          </cell>
          <cell r="E41">
            <v>0</v>
          </cell>
          <cell r="F41">
            <v>-26.96</v>
          </cell>
          <cell r="G41">
            <v>188.04</v>
          </cell>
        </row>
        <row r="42">
          <cell r="B42">
            <v>12171</v>
          </cell>
          <cell r="C42" t="str">
            <v>Ações - Preço de Aquisição</v>
          </cell>
          <cell r="D42">
            <v>215</v>
          </cell>
          <cell r="E42">
            <v>0</v>
          </cell>
          <cell r="F42">
            <v>-26.96</v>
          </cell>
          <cell r="G42">
            <v>188.04</v>
          </cell>
        </row>
        <row r="43">
          <cell r="B43">
            <v>1218</v>
          </cell>
          <cell r="C43" t="str">
            <v>Depósitos Judiciais</v>
          </cell>
          <cell r="D43">
            <v>4230147.01</v>
          </cell>
          <cell r="E43">
            <v>125113.88</v>
          </cell>
          <cell r="F43">
            <v>-1093.78</v>
          </cell>
          <cell r="G43">
            <v>4354167.1100000003</v>
          </cell>
        </row>
        <row r="44">
          <cell r="B44">
            <v>12181</v>
          </cell>
          <cell r="C44" t="str">
            <v>Depósitos Judiciais - Previdenciários</v>
          </cell>
          <cell r="D44">
            <v>3803698.17</v>
          </cell>
          <cell r="E44">
            <v>115491.11</v>
          </cell>
          <cell r="F44">
            <v>0</v>
          </cell>
          <cell r="G44">
            <v>3919189.28</v>
          </cell>
        </row>
        <row r="45">
          <cell r="B45">
            <v>12182</v>
          </cell>
          <cell r="C45" t="str">
            <v>Depósitos Judiciais - Trabalhistas</v>
          </cell>
          <cell r="D45">
            <v>269205.07</v>
          </cell>
          <cell r="E45">
            <v>5045.6099999999997</v>
          </cell>
          <cell r="F45">
            <v>0</v>
          </cell>
          <cell r="G45">
            <v>274250.68</v>
          </cell>
        </row>
        <row r="46">
          <cell r="B46">
            <v>12183</v>
          </cell>
          <cell r="C46" t="str">
            <v>Depósitos Judiciais - Cíveis</v>
          </cell>
          <cell r="D46">
            <v>157243.76999999999</v>
          </cell>
          <cell r="E46">
            <v>4577.16</v>
          </cell>
          <cell r="F46">
            <v>-1093.78</v>
          </cell>
          <cell r="G46">
            <v>160727.15</v>
          </cell>
        </row>
        <row r="47">
          <cell r="B47">
            <v>123</v>
          </cell>
          <cell r="C47" t="str">
            <v>Imobilizado</v>
          </cell>
          <cell r="D47">
            <v>6291072.8600000003</v>
          </cell>
          <cell r="E47">
            <v>0</v>
          </cell>
          <cell r="F47">
            <v>-394166.3</v>
          </cell>
          <cell r="G47">
            <v>5896906.5599999996</v>
          </cell>
        </row>
        <row r="48">
          <cell r="B48">
            <v>1231</v>
          </cell>
          <cell r="C48" t="str">
            <v>Bens em Operação</v>
          </cell>
          <cell r="D48">
            <v>15234523.779999999</v>
          </cell>
          <cell r="E48">
            <v>0</v>
          </cell>
          <cell r="F48">
            <v>0</v>
          </cell>
          <cell r="G48">
            <v>15234523.779999999</v>
          </cell>
        </row>
        <row r="49">
          <cell r="B49">
            <v>12313</v>
          </cell>
          <cell r="C49" t="str">
            <v>Instalações</v>
          </cell>
          <cell r="D49">
            <v>2490440.14</v>
          </cell>
          <cell r="E49">
            <v>0</v>
          </cell>
          <cell r="F49">
            <v>0</v>
          </cell>
          <cell r="G49">
            <v>2490440.14</v>
          </cell>
        </row>
        <row r="50">
          <cell r="B50">
            <v>12314</v>
          </cell>
          <cell r="C50" t="str">
            <v>Máquinas e Equipamentos</v>
          </cell>
          <cell r="D50">
            <v>791662.23</v>
          </cell>
          <cell r="E50">
            <v>0</v>
          </cell>
          <cell r="F50">
            <v>0</v>
          </cell>
          <cell r="G50">
            <v>791662.23</v>
          </cell>
        </row>
        <row r="51">
          <cell r="B51">
            <v>12315</v>
          </cell>
          <cell r="C51" t="str">
            <v>Equipamentos de Informática</v>
          </cell>
          <cell r="D51">
            <v>9793991.5</v>
          </cell>
          <cell r="E51">
            <v>0</v>
          </cell>
          <cell r="F51">
            <v>0</v>
          </cell>
          <cell r="G51">
            <v>9793991.5</v>
          </cell>
        </row>
        <row r="52">
          <cell r="B52">
            <v>12317</v>
          </cell>
          <cell r="C52" t="str">
            <v>Móveis e Utensílios</v>
          </cell>
          <cell r="D52">
            <v>2158429.91</v>
          </cell>
          <cell r="E52">
            <v>0</v>
          </cell>
          <cell r="F52">
            <v>0</v>
          </cell>
          <cell r="G52">
            <v>2158429.91</v>
          </cell>
        </row>
        <row r="53">
          <cell r="B53">
            <v>12398</v>
          </cell>
          <cell r="C53" t="str">
            <v>(-) Depreciação, Amortização e Exaustão</v>
          </cell>
          <cell r="D53">
            <v>-8943450.9199999999</v>
          </cell>
          <cell r="E53">
            <v>0</v>
          </cell>
          <cell r="F53">
            <v>-394166.3</v>
          </cell>
          <cell r="G53">
            <v>9337617.2200000007</v>
          </cell>
        </row>
        <row r="54">
          <cell r="B54">
            <v>123982</v>
          </cell>
          <cell r="C54" t="str">
            <v>(-) Instalações</v>
          </cell>
          <cell r="D54">
            <v>-389590.22</v>
          </cell>
          <cell r="E54">
            <v>0</v>
          </cell>
          <cell r="F54">
            <v>-60001.38</v>
          </cell>
          <cell r="G54">
            <v>449591.6</v>
          </cell>
        </row>
        <row r="55">
          <cell r="B55">
            <v>123983</v>
          </cell>
          <cell r="C55" t="str">
            <v>(-) Máquinas e Equipamentos</v>
          </cell>
          <cell r="D55">
            <v>-699181.57</v>
          </cell>
          <cell r="E55">
            <v>0</v>
          </cell>
          <cell r="F55">
            <v>-5337</v>
          </cell>
          <cell r="G55">
            <v>704518.57</v>
          </cell>
        </row>
        <row r="56">
          <cell r="B56">
            <v>123984</v>
          </cell>
          <cell r="C56" t="str">
            <v>(-) Equipamentos de Informática</v>
          </cell>
          <cell r="D56">
            <v>-5886538.8799999999</v>
          </cell>
          <cell r="E56">
            <v>0</v>
          </cell>
          <cell r="F56">
            <v>-319514.03000000003</v>
          </cell>
          <cell r="G56">
            <v>6206052.9100000001</v>
          </cell>
        </row>
        <row r="57">
          <cell r="B57">
            <v>123986</v>
          </cell>
          <cell r="C57" t="str">
            <v>(-) Móveis e Utensílios</v>
          </cell>
          <cell r="D57">
            <v>-1968140.25</v>
          </cell>
          <cell r="E57">
            <v>0</v>
          </cell>
          <cell r="F57">
            <v>-9313.89</v>
          </cell>
          <cell r="G57">
            <v>1977454.14</v>
          </cell>
        </row>
        <row r="58">
          <cell r="B58">
            <v>124</v>
          </cell>
          <cell r="C58" t="str">
            <v>Intangível</v>
          </cell>
          <cell r="D58">
            <v>4162664</v>
          </cell>
          <cell r="E58">
            <v>0</v>
          </cell>
          <cell r="F58">
            <v>-343147.98</v>
          </cell>
          <cell r="G58">
            <v>3819516.02</v>
          </cell>
        </row>
        <row r="59">
          <cell r="B59">
            <v>1241</v>
          </cell>
          <cell r="C59" t="str">
            <v>Software</v>
          </cell>
          <cell r="D59">
            <v>11738715.48</v>
          </cell>
          <cell r="E59">
            <v>0</v>
          </cell>
          <cell r="F59">
            <v>0</v>
          </cell>
          <cell r="G59">
            <v>11738715.48</v>
          </cell>
        </row>
        <row r="60">
          <cell r="B60">
            <v>124101</v>
          </cell>
          <cell r="C60" t="str">
            <v>Software</v>
          </cell>
          <cell r="D60">
            <v>11738715.48</v>
          </cell>
          <cell r="E60">
            <v>0</v>
          </cell>
          <cell r="F60">
            <v>0</v>
          </cell>
          <cell r="G60">
            <v>11738715.48</v>
          </cell>
        </row>
        <row r="61">
          <cell r="B61">
            <v>12498</v>
          </cell>
          <cell r="C61" t="str">
            <v>( - ) Amortização</v>
          </cell>
          <cell r="D61">
            <v>-7576051.4800000004</v>
          </cell>
          <cell r="E61">
            <v>0</v>
          </cell>
          <cell r="F61">
            <v>-343147.98</v>
          </cell>
          <cell r="G61">
            <v>7919199.46</v>
          </cell>
        </row>
        <row r="62">
          <cell r="B62">
            <v>1242</v>
          </cell>
          <cell r="C62" t="str">
            <v>( - ) Amortização Software</v>
          </cell>
          <cell r="D62">
            <v>-7576051.4800000004</v>
          </cell>
          <cell r="E62">
            <v>0</v>
          </cell>
          <cell r="F62">
            <v>-343147.98</v>
          </cell>
          <cell r="G62">
            <v>7919199.46</v>
          </cell>
        </row>
        <row r="63">
          <cell r="B63">
            <v>2</v>
          </cell>
          <cell r="C63" t="str">
            <v>Passivo</v>
          </cell>
          <cell r="D63">
            <v>-50979969.789999999</v>
          </cell>
          <cell r="E63">
            <v>38585665.670000002</v>
          </cell>
          <cell r="F63">
            <v>-45127149.240000002</v>
          </cell>
          <cell r="G63">
            <v>57521453.359999999</v>
          </cell>
        </row>
        <row r="64">
          <cell r="B64">
            <v>21</v>
          </cell>
          <cell r="C64" t="str">
            <v>Circulante</v>
          </cell>
          <cell r="D64">
            <v>-19080761.07</v>
          </cell>
          <cell r="E64">
            <v>33650058.93</v>
          </cell>
          <cell r="F64">
            <v>-38721890.469999999</v>
          </cell>
          <cell r="G64">
            <v>24152592.609999999</v>
          </cell>
        </row>
        <row r="65">
          <cell r="B65">
            <v>211</v>
          </cell>
          <cell r="C65" t="str">
            <v>Obrigações de Curto Prazo</v>
          </cell>
          <cell r="D65">
            <v>-19080761.07</v>
          </cell>
          <cell r="E65">
            <v>33650058.93</v>
          </cell>
          <cell r="F65">
            <v>-38721890.469999999</v>
          </cell>
          <cell r="G65">
            <v>24152592.609999999</v>
          </cell>
        </row>
        <row r="66">
          <cell r="B66">
            <v>2114</v>
          </cell>
          <cell r="C66" t="str">
            <v>Fornecedores Nacionais</v>
          </cell>
          <cell r="D66">
            <v>-1345918.68</v>
          </cell>
          <cell r="E66">
            <v>7448382.8600000003</v>
          </cell>
          <cell r="F66">
            <v>-6616664.8300000001</v>
          </cell>
          <cell r="G66">
            <v>514200.65</v>
          </cell>
        </row>
        <row r="67">
          <cell r="B67">
            <v>60444400000000</v>
          </cell>
          <cell r="C67" t="str">
            <v>LIGHT SERVICOS DE ELETRICIDADE S.A</v>
          </cell>
          <cell r="D67">
            <v>-11673.2</v>
          </cell>
          <cell r="E67">
            <v>139202.76</v>
          </cell>
          <cell r="F67">
            <v>-157529.56</v>
          </cell>
          <cell r="G67">
            <v>30000</v>
          </cell>
        </row>
        <row r="68">
          <cell r="B68" t="str">
            <v>33641663/0001-44</v>
          </cell>
          <cell r="C68" t="str">
            <v>FUNDACAO GETULIO VARGAS</v>
          </cell>
          <cell r="D68">
            <v>-300000</v>
          </cell>
          <cell r="E68">
            <v>617642.31999999995</v>
          </cell>
          <cell r="F68">
            <v>-467642.32</v>
          </cell>
          <cell r="G68">
            <v>150000</v>
          </cell>
        </row>
        <row r="69">
          <cell r="B69" t="str">
            <v>09305983/0001-49</v>
          </cell>
          <cell r="C69" t="str">
            <v>PSR SOLUCOES E CONSULTORIA EM ENERGIA LT</v>
          </cell>
          <cell r="D69">
            <v>0</v>
          </cell>
          <cell r="E69">
            <v>15240.39</v>
          </cell>
          <cell r="F69">
            <v>-15240.39</v>
          </cell>
          <cell r="G69">
            <v>0</v>
          </cell>
        </row>
        <row r="70">
          <cell r="B70" t="str">
            <v>69034668/0001-56</v>
          </cell>
          <cell r="C70" t="str">
            <v>SODEXO PASS DO BRASIL SERVC. E COMERCIO</v>
          </cell>
          <cell r="D70">
            <v>0</v>
          </cell>
          <cell r="E70">
            <v>640064.15</v>
          </cell>
          <cell r="F70">
            <v>-640064.15</v>
          </cell>
          <cell r="G70">
            <v>0</v>
          </cell>
        </row>
        <row r="71">
          <cell r="B71" t="str">
            <v>33661745/0001-50</v>
          </cell>
          <cell r="C71" t="str">
            <v>CIEE</v>
          </cell>
          <cell r="D71">
            <v>0</v>
          </cell>
          <cell r="E71">
            <v>5227.49</v>
          </cell>
          <cell r="F71">
            <v>-8796.81</v>
          </cell>
          <cell r="G71">
            <v>3569.32</v>
          </cell>
        </row>
        <row r="72">
          <cell r="B72" t="str">
            <v>67393181/0001-34</v>
          </cell>
          <cell r="C72" t="str">
            <v>IMAGEM GEOSISTEMAS E COMERCIO</v>
          </cell>
          <cell r="D72">
            <v>0</v>
          </cell>
          <cell r="E72">
            <v>422856.5</v>
          </cell>
          <cell r="F72">
            <v>-422856.5</v>
          </cell>
          <cell r="G72">
            <v>0</v>
          </cell>
        </row>
        <row r="73">
          <cell r="B73" t="str">
            <v>61797924/0007-40</v>
          </cell>
          <cell r="C73" t="str">
            <v>HEWLETT PACKARD DO BRASIL LTDA</v>
          </cell>
          <cell r="D73">
            <v>-25362.36</v>
          </cell>
          <cell r="E73">
            <v>42270.6</v>
          </cell>
          <cell r="F73">
            <v>-25362.36</v>
          </cell>
          <cell r="G73">
            <v>8454.1200000000008</v>
          </cell>
        </row>
        <row r="74">
          <cell r="B74" t="str">
            <v>07604035/0001-89</v>
          </cell>
          <cell r="C74" t="str">
            <v>RTA COMERCIO E SERVICO DE ASSISTENCIA</v>
          </cell>
          <cell r="D74">
            <v>-2581</v>
          </cell>
          <cell r="E74">
            <v>8381</v>
          </cell>
          <cell r="F74">
            <v>-5800</v>
          </cell>
          <cell r="G74">
            <v>0</v>
          </cell>
        </row>
        <row r="75">
          <cell r="B75" t="str">
            <v>71208516/0001-74</v>
          </cell>
          <cell r="C75" t="str">
            <v>ALGAR SERVICO E TELECOMUNICACOES</v>
          </cell>
          <cell r="D75">
            <v>-1156.3699999999999</v>
          </cell>
          <cell r="E75">
            <v>3427.46</v>
          </cell>
          <cell r="F75">
            <v>-2271.09</v>
          </cell>
          <cell r="G75">
            <v>0</v>
          </cell>
        </row>
        <row r="76">
          <cell r="B76" t="str">
            <v>04053315/0001-58</v>
          </cell>
          <cell r="C76" t="str">
            <v>NSI TRAINING TECNOLOGIA S/C LTDA.</v>
          </cell>
          <cell r="D76">
            <v>0</v>
          </cell>
          <cell r="E76">
            <v>1176</v>
          </cell>
          <cell r="F76">
            <v>-1176</v>
          </cell>
          <cell r="G76">
            <v>0</v>
          </cell>
        </row>
        <row r="77">
          <cell r="B77">
            <v>33634300000000</v>
          </cell>
          <cell r="C77" t="str">
            <v>IBP - INST. BRASILEIRO PET. GAS E BIOC.</v>
          </cell>
          <cell r="D77">
            <v>0</v>
          </cell>
          <cell r="E77">
            <v>1965.2</v>
          </cell>
          <cell r="F77">
            <v>-1965.2</v>
          </cell>
          <cell r="G77">
            <v>0</v>
          </cell>
        </row>
        <row r="78">
          <cell r="B78" t="str">
            <v>33402892/0002-97</v>
          </cell>
          <cell r="C78" t="str">
            <v>ASSOCIAÇÃO BRASILEIRA DE NORMAS TECNICAS</v>
          </cell>
          <cell r="D78">
            <v>0</v>
          </cell>
          <cell r="E78">
            <v>2916.66</v>
          </cell>
          <cell r="F78">
            <v>-4374.99</v>
          </cell>
          <cell r="G78">
            <v>1458.33</v>
          </cell>
        </row>
        <row r="79">
          <cell r="B79">
            <v>30033800000000</v>
          </cell>
          <cell r="C79" t="str">
            <v>COMITE NAC. BRASILEIRO PROD. TRANS. ENER</v>
          </cell>
          <cell r="D79">
            <v>0</v>
          </cell>
          <cell r="E79">
            <v>44870</v>
          </cell>
          <cell r="F79">
            <v>-44870</v>
          </cell>
          <cell r="G79">
            <v>0</v>
          </cell>
        </row>
        <row r="80">
          <cell r="B80" t="str">
            <v>04655786/0001-36</v>
          </cell>
          <cell r="C80" t="str">
            <v>NORTHIA ASSESSORIA DE SEGURANCA NO TRABA</v>
          </cell>
          <cell r="D80">
            <v>0</v>
          </cell>
          <cell r="E80">
            <v>17000</v>
          </cell>
          <cell r="F80">
            <v>-17000</v>
          </cell>
          <cell r="G80">
            <v>0</v>
          </cell>
        </row>
        <row r="81">
          <cell r="B81" t="str">
            <v>04724924/0001-91</v>
          </cell>
          <cell r="C81" t="str">
            <v>ACTIVEWEB TECHNOLOGIES INFORMATICA LTDA</v>
          </cell>
          <cell r="D81">
            <v>0</v>
          </cell>
          <cell r="E81">
            <v>690</v>
          </cell>
          <cell r="F81">
            <v>-690</v>
          </cell>
          <cell r="G81">
            <v>0</v>
          </cell>
        </row>
        <row r="82">
          <cell r="B82" t="str">
            <v>26994285/0001-17</v>
          </cell>
          <cell r="C82" t="str">
            <v>TOPOCART TOPOGRAFIA ENG. E AEROL. LTDA</v>
          </cell>
          <cell r="D82">
            <v>-93115.19</v>
          </cell>
          <cell r="E82">
            <v>93115.19</v>
          </cell>
          <cell r="F82">
            <v>0</v>
          </cell>
          <cell r="G82">
            <v>0</v>
          </cell>
        </row>
        <row r="83">
          <cell r="B83" t="str">
            <v>53113791/0001-22</v>
          </cell>
          <cell r="C83" t="str">
            <v>TOTVS SA</v>
          </cell>
          <cell r="D83">
            <v>0</v>
          </cell>
          <cell r="E83">
            <v>147427.31</v>
          </cell>
          <cell r="F83">
            <v>-147427.31</v>
          </cell>
          <cell r="G83">
            <v>0</v>
          </cell>
        </row>
        <row r="84">
          <cell r="B84" t="str">
            <v>42288886/0001-60</v>
          </cell>
          <cell r="C84" t="str">
            <v>CENTRO DE PESQ DE ENERGIA ELETRICA CEPEL</v>
          </cell>
          <cell r="D84">
            <v>0</v>
          </cell>
          <cell r="E84">
            <v>33333.339999999997</v>
          </cell>
          <cell r="F84">
            <v>-33333.339999999997</v>
          </cell>
          <cell r="G84">
            <v>0</v>
          </cell>
        </row>
        <row r="85">
          <cell r="B85" t="str">
            <v>08794730/0001-13</v>
          </cell>
          <cell r="C85" t="str">
            <v>RIOOFFSITE SERVICOS DE FITOTECA LTDA</v>
          </cell>
          <cell r="D85">
            <v>0</v>
          </cell>
          <cell r="E85">
            <v>4464.3</v>
          </cell>
          <cell r="F85">
            <v>-4464.3</v>
          </cell>
          <cell r="G85">
            <v>0</v>
          </cell>
        </row>
        <row r="86">
          <cell r="B86" t="str">
            <v>86781069/0001-15</v>
          </cell>
          <cell r="C86" t="str">
            <v>ZENITE INFORMACAO E CONSULTORIA S/A</v>
          </cell>
          <cell r="D86">
            <v>0</v>
          </cell>
          <cell r="E86">
            <v>12926</v>
          </cell>
          <cell r="F86">
            <v>-12926</v>
          </cell>
          <cell r="G86">
            <v>0</v>
          </cell>
        </row>
        <row r="87">
          <cell r="B87" t="str">
            <v>47866934/0001-74</v>
          </cell>
          <cell r="C87" t="str">
            <v>TICKET SERVICOS SA</v>
          </cell>
          <cell r="D87">
            <v>-1450</v>
          </cell>
          <cell r="E87">
            <v>4350</v>
          </cell>
          <cell r="F87">
            <v>-4350</v>
          </cell>
          <cell r="G87">
            <v>1450</v>
          </cell>
        </row>
        <row r="88">
          <cell r="B88" t="str">
            <v>76535764/0001-43</v>
          </cell>
          <cell r="C88" t="str">
            <v>OI SA</v>
          </cell>
          <cell r="D88">
            <v>0</v>
          </cell>
          <cell r="E88">
            <v>196.99</v>
          </cell>
          <cell r="F88">
            <v>-391.94</v>
          </cell>
          <cell r="G88">
            <v>194.95</v>
          </cell>
        </row>
        <row r="89">
          <cell r="B89" t="str">
            <v>06012731/0001-33</v>
          </cell>
          <cell r="C89" t="str">
            <v>ONE CURSOS-TREINAMENTO DESEN CAPACITACAO</v>
          </cell>
          <cell r="D89">
            <v>0</v>
          </cell>
          <cell r="E89">
            <v>4350</v>
          </cell>
          <cell r="F89">
            <v>-4350</v>
          </cell>
          <cell r="G89">
            <v>0</v>
          </cell>
        </row>
        <row r="90">
          <cell r="B90">
            <v>33754500000000</v>
          </cell>
          <cell r="C90" t="str">
            <v>PREVI - CAIXA DE PREVIDÊNCIA DOS FUNCION</v>
          </cell>
          <cell r="D90">
            <v>-206175.49</v>
          </cell>
          <cell r="E90">
            <v>824701.96</v>
          </cell>
          <cell r="F90">
            <v>-618526.47</v>
          </cell>
          <cell r="G90">
            <v>0</v>
          </cell>
        </row>
        <row r="91">
          <cell r="B91">
            <v>23056200000000</v>
          </cell>
          <cell r="C91" t="str">
            <v>CORTEX EVENTOS - ORGANIZAÇÃO DE FEIRAS E</v>
          </cell>
          <cell r="D91">
            <v>0</v>
          </cell>
          <cell r="E91">
            <v>8570</v>
          </cell>
          <cell r="F91">
            <v>-8570</v>
          </cell>
          <cell r="G91">
            <v>0</v>
          </cell>
        </row>
        <row r="92">
          <cell r="B92">
            <v>3017430000000</v>
          </cell>
          <cell r="C92" t="str">
            <v>NCT INFORMATICA LTDA</v>
          </cell>
          <cell r="D92">
            <v>-4350</v>
          </cell>
          <cell r="E92">
            <v>66422</v>
          </cell>
          <cell r="F92">
            <v>-62072</v>
          </cell>
          <cell r="G92">
            <v>0</v>
          </cell>
        </row>
        <row r="93">
          <cell r="B93" t="str">
            <v>005705050001-91</v>
          </cell>
          <cell r="C93" t="str">
            <v>COOPER POWER SYSTEMS BRASIL LTDA</v>
          </cell>
          <cell r="D93">
            <v>-56069.99</v>
          </cell>
          <cell r="E93">
            <v>56069.99</v>
          </cell>
          <cell r="F93">
            <v>0</v>
          </cell>
          <cell r="G93">
            <v>0</v>
          </cell>
        </row>
        <row r="94">
          <cell r="B94">
            <v>33555900000000</v>
          </cell>
          <cell r="C94" t="str">
            <v>FACULDADES CATÓLICAS</v>
          </cell>
          <cell r="D94">
            <v>0</v>
          </cell>
          <cell r="E94">
            <v>26145</v>
          </cell>
          <cell r="F94">
            <v>-26145</v>
          </cell>
          <cell r="G94">
            <v>0</v>
          </cell>
        </row>
        <row r="95">
          <cell r="B95">
            <v>16727400000000</v>
          </cell>
          <cell r="C95" t="str">
            <v>RIOPAR Participações S/A</v>
          </cell>
          <cell r="D95">
            <v>0</v>
          </cell>
          <cell r="E95">
            <v>17483.509999999998</v>
          </cell>
          <cell r="F95">
            <v>-17483.509999999998</v>
          </cell>
          <cell r="G95">
            <v>0</v>
          </cell>
        </row>
        <row r="96">
          <cell r="B96">
            <v>3535902</v>
          </cell>
          <cell r="C96" t="str">
            <v>DECISION SERVIÇOS DE TECNOLOGIA DA INFOR</v>
          </cell>
          <cell r="D96">
            <v>0</v>
          </cell>
          <cell r="E96">
            <v>3333.33</v>
          </cell>
          <cell r="F96">
            <v>-3333.33</v>
          </cell>
          <cell r="G96">
            <v>0</v>
          </cell>
        </row>
        <row r="97">
          <cell r="B97">
            <v>5555380000000</v>
          </cell>
          <cell r="C97" t="str">
            <v>AOVS SISTEMA DE INFORMATICA</v>
          </cell>
          <cell r="D97">
            <v>0</v>
          </cell>
          <cell r="E97">
            <v>6000</v>
          </cell>
          <cell r="F97">
            <v>-6000</v>
          </cell>
          <cell r="G97">
            <v>0</v>
          </cell>
        </row>
        <row r="98">
          <cell r="B98">
            <v>26464900000000</v>
          </cell>
          <cell r="C98" t="str">
            <v>LANTYX TECNOLOGIA E PUBLICIDADE EIRILE</v>
          </cell>
          <cell r="D98">
            <v>0</v>
          </cell>
          <cell r="E98">
            <v>517</v>
          </cell>
          <cell r="F98">
            <v>-517</v>
          </cell>
          <cell r="G98">
            <v>0</v>
          </cell>
        </row>
        <row r="99">
          <cell r="B99">
            <v>18522900000000</v>
          </cell>
          <cell r="C99" t="str">
            <v>MUNDIVOX COMUNICAÇÕES LTDA</v>
          </cell>
          <cell r="D99">
            <v>0</v>
          </cell>
          <cell r="E99">
            <v>14361.47</v>
          </cell>
          <cell r="F99">
            <v>-14361.47</v>
          </cell>
          <cell r="G99">
            <v>0</v>
          </cell>
        </row>
        <row r="100">
          <cell r="B100">
            <v>3200400001</v>
          </cell>
          <cell r="C100" t="str">
            <v>COORDENAÇÃO GERAL DE RECURSOS LOGISTICOS</v>
          </cell>
          <cell r="D100">
            <v>0</v>
          </cell>
          <cell r="E100">
            <v>2294.1799999999998</v>
          </cell>
          <cell r="F100">
            <v>-3383.44</v>
          </cell>
          <cell r="G100">
            <v>1089.26</v>
          </cell>
        </row>
        <row r="101">
          <cell r="B101">
            <v>67632200000000</v>
          </cell>
          <cell r="C101" t="str">
            <v>WALM ENG. E TEC. AMBIENTAL LTDA</v>
          </cell>
          <cell r="D101">
            <v>0</v>
          </cell>
          <cell r="E101">
            <v>289922.75</v>
          </cell>
          <cell r="F101">
            <v>-289922.75</v>
          </cell>
          <cell r="G101">
            <v>0</v>
          </cell>
        </row>
        <row r="102">
          <cell r="B102">
            <v>5761750000000</v>
          </cell>
          <cell r="C102" t="str">
            <v>BIOTA PROJETOS E CONSULTORIA AMBIENTAL</v>
          </cell>
          <cell r="D102">
            <v>0</v>
          </cell>
          <cell r="E102">
            <v>332229.07</v>
          </cell>
          <cell r="F102">
            <v>-332229.07</v>
          </cell>
          <cell r="G102">
            <v>0</v>
          </cell>
        </row>
        <row r="103">
          <cell r="B103">
            <v>8896750000000</v>
          </cell>
          <cell r="C103" t="str">
            <v>IHS INFORMAÇÕES E INSIGHTS LTDA</v>
          </cell>
          <cell r="D103">
            <v>-159640.21</v>
          </cell>
          <cell r="E103">
            <v>159640.21</v>
          </cell>
          <cell r="F103">
            <v>0</v>
          </cell>
          <cell r="G103">
            <v>0</v>
          </cell>
        </row>
        <row r="104">
          <cell r="B104">
            <v>43942400000000</v>
          </cell>
          <cell r="C104" t="str">
            <v>FIPE FUNDAÇÃO INST.PESQUISAS ECONOMICAS</v>
          </cell>
          <cell r="D104">
            <v>-74000</v>
          </cell>
          <cell r="E104">
            <v>296000</v>
          </cell>
          <cell r="F104">
            <v>-222000</v>
          </cell>
          <cell r="G104">
            <v>0</v>
          </cell>
        </row>
        <row r="105">
          <cell r="B105">
            <v>23458500000000</v>
          </cell>
          <cell r="C105" t="str">
            <v>4E FOR ECONOMICS CONSULTORIA LTDA</v>
          </cell>
          <cell r="D105">
            <v>-25333.34</v>
          </cell>
          <cell r="E105">
            <v>50666.68</v>
          </cell>
          <cell r="F105">
            <v>-25333.34</v>
          </cell>
          <cell r="G105">
            <v>0</v>
          </cell>
        </row>
        <row r="106">
          <cell r="B106">
            <v>52618100000000</v>
          </cell>
          <cell r="C106" t="str">
            <v>GL ELETRO-ELETRONICOS LTDA</v>
          </cell>
          <cell r="D106">
            <v>-359</v>
          </cell>
          <cell r="E106">
            <v>1077</v>
          </cell>
          <cell r="F106">
            <v>-1077</v>
          </cell>
          <cell r="G106">
            <v>359</v>
          </cell>
        </row>
        <row r="107">
          <cell r="B107">
            <v>2593170000000</v>
          </cell>
          <cell r="C107" t="str">
            <v>GARTNER DO BRASIL SERVIÇOS DE PESQUISA L</v>
          </cell>
          <cell r="D107">
            <v>0</v>
          </cell>
          <cell r="E107">
            <v>139575</v>
          </cell>
          <cell r="F107">
            <v>-139575</v>
          </cell>
          <cell r="G107">
            <v>0</v>
          </cell>
        </row>
        <row r="108">
          <cell r="B108">
            <v>2676310000000</v>
          </cell>
          <cell r="C108" t="str">
            <v>IDEIAS TURISMO EIRELI</v>
          </cell>
          <cell r="D108">
            <v>-55894.32</v>
          </cell>
          <cell r="E108">
            <v>389887.04</v>
          </cell>
          <cell r="F108">
            <v>-333992.71999999997</v>
          </cell>
          <cell r="G108">
            <v>0</v>
          </cell>
        </row>
        <row r="109">
          <cell r="B109">
            <v>7341420000000</v>
          </cell>
          <cell r="C109" t="str">
            <v>IHS MARKIT AGRIBUSINESS BRAZIL</v>
          </cell>
          <cell r="D109">
            <v>0</v>
          </cell>
          <cell r="E109">
            <v>765.97</v>
          </cell>
          <cell r="F109">
            <v>-765.97</v>
          </cell>
          <cell r="G109">
            <v>0</v>
          </cell>
        </row>
        <row r="110">
          <cell r="B110">
            <v>14031100000000</v>
          </cell>
          <cell r="C110" t="str">
            <v>COND. ED. MARQUES DOS REIS</v>
          </cell>
          <cell r="D110">
            <v>0</v>
          </cell>
          <cell r="E110">
            <v>411394.91</v>
          </cell>
          <cell r="F110">
            <v>-411394.91</v>
          </cell>
          <cell r="G110">
            <v>0</v>
          </cell>
        </row>
        <row r="111">
          <cell r="B111">
            <v>21449300000000</v>
          </cell>
          <cell r="C111" t="str">
            <v>BERKAN AUDITORES INDEPENDENTES S.S</v>
          </cell>
          <cell r="D111">
            <v>0</v>
          </cell>
          <cell r="E111">
            <v>10322.35</v>
          </cell>
          <cell r="F111">
            <v>-19166.349999999999</v>
          </cell>
          <cell r="G111">
            <v>8844</v>
          </cell>
        </row>
        <row r="112">
          <cell r="B112">
            <v>8817860000000</v>
          </cell>
          <cell r="C112" t="str">
            <v>ASSOCIAÇÃO BRASILEIRA DE ENERGIA SOLAR</v>
          </cell>
          <cell r="D112">
            <v>0</v>
          </cell>
          <cell r="E112">
            <v>1700</v>
          </cell>
          <cell r="F112">
            <v>-1700</v>
          </cell>
          <cell r="G112">
            <v>0</v>
          </cell>
        </row>
        <row r="113">
          <cell r="B113">
            <v>64909700000000</v>
          </cell>
          <cell r="C113" t="str">
            <v>FIGENER ENGENHEIROS ASSOCIADOS LTDA</v>
          </cell>
          <cell r="D113">
            <v>0</v>
          </cell>
          <cell r="E113">
            <v>44970</v>
          </cell>
          <cell r="F113">
            <v>-44970</v>
          </cell>
          <cell r="G113">
            <v>0</v>
          </cell>
        </row>
        <row r="114">
          <cell r="B114">
            <v>15011200000000</v>
          </cell>
          <cell r="C114" t="str">
            <v>ESTATER TECNOLOGIA E SERVICOS LTDA</v>
          </cell>
          <cell r="D114">
            <v>0</v>
          </cell>
          <cell r="E114">
            <v>2376</v>
          </cell>
          <cell r="F114">
            <v>-2376</v>
          </cell>
          <cell r="G114">
            <v>0</v>
          </cell>
        </row>
        <row r="115">
          <cell r="B115">
            <v>3364280000000</v>
          </cell>
          <cell r="C115" t="str">
            <v>AUTODATA SEMINARIOS E EDITORA LTDA</v>
          </cell>
          <cell r="D115">
            <v>-2343.75</v>
          </cell>
          <cell r="E115">
            <v>2343.75</v>
          </cell>
          <cell r="F115">
            <v>0</v>
          </cell>
          <cell r="G115">
            <v>0</v>
          </cell>
        </row>
        <row r="116">
          <cell r="B116">
            <v>7718940000000</v>
          </cell>
          <cell r="C116" t="str">
            <v>ZILMA WAVGENCZAK ME.</v>
          </cell>
          <cell r="D116">
            <v>0</v>
          </cell>
          <cell r="E116">
            <v>420</v>
          </cell>
          <cell r="F116">
            <v>-420</v>
          </cell>
          <cell r="G116">
            <v>0</v>
          </cell>
        </row>
        <row r="117">
          <cell r="B117">
            <v>9079570000000</v>
          </cell>
          <cell r="C117" t="str">
            <v>TOTAL LIFE ASSISTENCIA A VIDA LTDA</v>
          </cell>
          <cell r="D117">
            <v>-2000</v>
          </cell>
          <cell r="E117">
            <v>6093.46</v>
          </cell>
          <cell r="F117">
            <v>-6146.4</v>
          </cell>
          <cell r="G117">
            <v>2052.94</v>
          </cell>
        </row>
        <row r="118">
          <cell r="B118">
            <v>19088600000000</v>
          </cell>
          <cell r="C118" t="str">
            <v>MGS CLEAN SOLUÇÕES E SERVIÇOS</v>
          </cell>
          <cell r="D118">
            <v>-60000</v>
          </cell>
          <cell r="E118">
            <v>283192.74</v>
          </cell>
          <cell r="F118">
            <v>-283192.74</v>
          </cell>
          <cell r="G118">
            <v>60000</v>
          </cell>
        </row>
        <row r="119">
          <cell r="B119">
            <v>34036200000000</v>
          </cell>
          <cell r="C119" t="str">
            <v>TIME MULTISSERVIÇOS LTDA</v>
          </cell>
          <cell r="D119">
            <v>-60000</v>
          </cell>
          <cell r="E119">
            <v>392680.33</v>
          </cell>
          <cell r="F119">
            <v>-392680.33</v>
          </cell>
          <cell r="G119">
            <v>60000</v>
          </cell>
        </row>
        <row r="120">
          <cell r="B120">
            <v>36813600000000</v>
          </cell>
          <cell r="C120" t="str">
            <v>GESTÃO QUANTUM CENTRO DE PROC CONTÁBIL</v>
          </cell>
          <cell r="D120">
            <v>-12833.33</v>
          </cell>
          <cell r="E120">
            <v>38499.99</v>
          </cell>
          <cell r="F120">
            <v>-38499.99</v>
          </cell>
          <cell r="G120">
            <v>12833.33</v>
          </cell>
        </row>
        <row r="121">
          <cell r="B121">
            <v>8294690000000</v>
          </cell>
          <cell r="C121" t="str">
            <v>WAYCARBON SOLUCOES AMBIENTAIS E PROJETOS DE CARBONO LT</v>
          </cell>
          <cell r="D121">
            <v>0</v>
          </cell>
          <cell r="E121">
            <v>60000</v>
          </cell>
          <cell r="F121">
            <v>-180000</v>
          </cell>
          <cell r="G121">
            <v>120000</v>
          </cell>
        </row>
        <row r="122">
          <cell r="B122">
            <v>34977900000000</v>
          </cell>
          <cell r="C122" t="str">
            <v>RMA ENGENHARIA LTDA</v>
          </cell>
          <cell r="D122">
            <v>-1400</v>
          </cell>
          <cell r="E122">
            <v>4200</v>
          </cell>
          <cell r="F122">
            <v>-4200</v>
          </cell>
          <cell r="G122">
            <v>1400</v>
          </cell>
        </row>
        <row r="123">
          <cell r="B123">
            <v>33198300000000</v>
          </cell>
          <cell r="C123" t="str">
            <v>REFRIGERACAO IV CENTENARIO EIRELI</v>
          </cell>
          <cell r="D123">
            <v>0</v>
          </cell>
          <cell r="E123">
            <v>1498.8</v>
          </cell>
          <cell r="F123">
            <v>-1498.8</v>
          </cell>
          <cell r="G123">
            <v>0</v>
          </cell>
        </row>
        <row r="124">
          <cell r="B124">
            <v>10740900000000</v>
          </cell>
          <cell r="C124" t="str">
            <v>A &amp; A TRADUCOES E INTERPRETACOES LTDA</v>
          </cell>
          <cell r="D124">
            <v>-360</v>
          </cell>
          <cell r="E124">
            <v>1752</v>
          </cell>
          <cell r="F124">
            <v>-4352</v>
          </cell>
          <cell r="G124">
            <v>2960</v>
          </cell>
        </row>
        <row r="125">
          <cell r="B125">
            <v>28712100000000</v>
          </cell>
          <cell r="C125" t="str">
            <v>MODULO SECURITY SOLUTIONS EM RECUPERACAO JUDICIAL</v>
          </cell>
          <cell r="D125">
            <v>0</v>
          </cell>
          <cell r="E125">
            <v>84500</v>
          </cell>
          <cell r="F125">
            <v>-89000</v>
          </cell>
          <cell r="G125">
            <v>4500</v>
          </cell>
        </row>
        <row r="126">
          <cell r="B126">
            <v>1406620000000</v>
          </cell>
          <cell r="C126" t="str">
            <v>AGENCIA DE INTEGRAÇÃO ESCOLA LTDA</v>
          </cell>
          <cell r="D126">
            <v>-35656.769999999997</v>
          </cell>
          <cell r="E126">
            <v>170385.34</v>
          </cell>
          <cell r="F126">
            <v>-134728.57</v>
          </cell>
          <cell r="G126">
            <v>0</v>
          </cell>
        </row>
        <row r="127">
          <cell r="B127">
            <v>12499500000000</v>
          </cell>
          <cell r="C127" t="str">
            <v>CLICKSIGN GESTAO DE DOCUMENTOS S/A</v>
          </cell>
          <cell r="D127">
            <v>0</v>
          </cell>
          <cell r="E127">
            <v>612</v>
          </cell>
          <cell r="F127">
            <v>-612</v>
          </cell>
          <cell r="G127">
            <v>0</v>
          </cell>
        </row>
        <row r="128">
          <cell r="B128">
            <v>789920000000</v>
          </cell>
          <cell r="C128" t="str">
            <v>DRIKA INDUSTRIA E COMERCIO DE PRODUTOS PROMOCIONAIS EIRELI</v>
          </cell>
          <cell r="D128">
            <v>0</v>
          </cell>
          <cell r="E128">
            <v>8529</v>
          </cell>
          <cell r="F128">
            <v>-8529</v>
          </cell>
          <cell r="G128">
            <v>0</v>
          </cell>
        </row>
        <row r="129">
          <cell r="B129">
            <v>7843950000000</v>
          </cell>
          <cell r="C129" t="str">
            <v>CHESTNUT GLOBAL PARTNERS DO BRASIL LTDA</v>
          </cell>
          <cell r="D129">
            <v>0</v>
          </cell>
          <cell r="E129">
            <v>8250</v>
          </cell>
          <cell r="F129">
            <v>-8250</v>
          </cell>
          <cell r="G129">
            <v>0</v>
          </cell>
        </row>
        <row r="130">
          <cell r="B130">
            <v>72061000000000</v>
          </cell>
          <cell r="C130" t="str">
            <v>FUNDACAO COORDENACAO DE PROJETOS PESQUISAS E ESTUDOS</v>
          </cell>
          <cell r="D130">
            <v>-82934.789999999994</v>
          </cell>
          <cell r="E130">
            <v>165869.57999999999</v>
          </cell>
          <cell r="F130">
            <v>-82934.789999999994</v>
          </cell>
          <cell r="G130">
            <v>0</v>
          </cell>
        </row>
        <row r="131">
          <cell r="B131">
            <v>35419400000000</v>
          </cell>
          <cell r="C131" t="str">
            <v>HIGH SERVICOS DE COMPLIANCE LTDA</v>
          </cell>
          <cell r="D131">
            <v>-1291.67</v>
          </cell>
          <cell r="E131">
            <v>5166.68</v>
          </cell>
          <cell r="F131">
            <v>-3875.01</v>
          </cell>
          <cell r="G131">
            <v>0</v>
          </cell>
        </row>
        <row r="132">
          <cell r="B132">
            <v>12979000000000</v>
          </cell>
          <cell r="C132" t="str">
            <v>T &amp; S LOCACAO DE MAO DE OBRA EM GERAL EIRELI</v>
          </cell>
          <cell r="D132">
            <v>0</v>
          </cell>
          <cell r="E132">
            <v>98398.56</v>
          </cell>
          <cell r="F132">
            <v>-98398.56</v>
          </cell>
          <cell r="G132">
            <v>0</v>
          </cell>
        </row>
        <row r="133">
          <cell r="B133">
            <v>38056400000000</v>
          </cell>
          <cell r="C133" t="str">
            <v>IOS INFORMATICA, ORGANIZACAO E SISTEMAS LTDA</v>
          </cell>
          <cell r="D133">
            <v>-63287.9</v>
          </cell>
          <cell r="E133">
            <v>160756.15</v>
          </cell>
          <cell r="F133">
            <v>-97468.25</v>
          </cell>
          <cell r="G133">
            <v>0</v>
          </cell>
        </row>
        <row r="134">
          <cell r="B134">
            <v>15809100000000</v>
          </cell>
          <cell r="C134" t="str">
            <v>SHIELD SEGURANÇA DA INFORMAÇÃO E CONSULTORIA LTDA</v>
          </cell>
          <cell r="D134">
            <v>-6650</v>
          </cell>
          <cell r="E134">
            <v>13300</v>
          </cell>
          <cell r="F134">
            <v>-6650</v>
          </cell>
          <cell r="G134">
            <v>0</v>
          </cell>
        </row>
        <row r="135">
          <cell r="B135">
            <v>30135800000000</v>
          </cell>
          <cell r="C135" t="str">
            <v>GLEICE DE SOUZA SILVA</v>
          </cell>
          <cell r="D135">
            <v>0</v>
          </cell>
          <cell r="E135">
            <v>9100</v>
          </cell>
          <cell r="F135">
            <v>-9100</v>
          </cell>
          <cell r="G135">
            <v>0</v>
          </cell>
        </row>
        <row r="136">
          <cell r="B136">
            <v>14113000000000</v>
          </cell>
          <cell r="C136" t="str">
            <v>DIVERSA CONSULTORIA E PLANEJAMENTO EM SUSTENTABILIDADE</v>
          </cell>
          <cell r="D136">
            <v>0</v>
          </cell>
          <cell r="E136">
            <v>59698.12</v>
          </cell>
          <cell r="F136">
            <v>-59698.12</v>
          </cell>
          <cell r="G136">
            <v>0</v>
          </cell>
        </row>
        <row r="137">
          <cell r="B137">
            <v>43213800000000</v>
          </cell>
          <cell r="C137" t="str">
            <v>EMERSON PROCESS MANAGEMENT LTDA</v>
          </cell>
          <cell r="D137">
            <v>0</v>
          </cell>
          <cell r="E137">
            <v>189754.88</v>
          </cell>
          <cell r="F137">
            <v>-189754.88</v>
          </cell>
          <cell r="G137">
            <v>0</v>
          </cell>
        </row>
        <row r="138">
          <cell r="B138">
            <v>45078200000000</v>
          </cell>
          <cell r="C138" t="str">
            <v>CARLOS EDUARDO ALVES DE ABREU</v>
          </cell>
          <cell r="D138">
            <v>0</v>
          </cell>
          <cell r="E138">
            <v>89880</v>
          </cell>
          <cell r="F138">
            <v>-89880</v>
          </cell>
          <cell r="G138">
            <v>0</v>
          </cell>
        </row>
        <row r="139">
          <cell r="B139">
            <v>7857620000000</v>
          </cell>
          <cell r="C139" t="str">
            <v>MENEZES NIEBUHR SOCIEDADE DE ADVOGADOS</v>
          </cell>
          <cell r="D139">
            <v>0</v>
          </cell>
          <cell r="E139">
            <v>60000</v>
          </cell>
          <cell r="F139">
            <v>-60000</v>
          </cell>
          <cell r="G139">
            <v>0</v>
          </cell>
        </row>
        <row r="140">
          <cell r="B140">
            <v>1708170000000</v>
          </cell>
          <cell r="C140" t="str">
            <v>KPMG CONSULTORIA LTDA</v>
          </cell>
          <cell r="D140">
            <v>0</v>
          </cell>
          <cell r="E140">
            <v>37728.9</v>
          </cell>
          <cell r="F140">
            <v>-37728.9</v>
          </cell>
          <cell r="G140">
            <v>0</v>
          </cell>
        </row>
        <row r="141">
          <cell r="B141">
            <v>6220430000000</v>
          </cell>
          <cell r="C141" t="str">
            <v>FUNDAÇÃO DE APOIO AO DESENVOLVIMENTO DA COMPUTAÇÃO</v>
          </cell>
          <cell r="D141">
            <v>0</v>
          </cell>
          <cell r="E141">
            <v>15000</v>
          </cell>
          <cell r="F141">
            <v>-15000</v>
          </cell>
          <cell r="G141">
            <v>0</v>
          </cell>
        </row>
        <row r="142">
          <cell r="B142">
            <v>18310800000000</v>
          </cell>
          <cell r="C142" t="str">
            <v>OBRA RIO REFORMAS REPAROS E COMERCIO LTDA</v>
          </cell>
          <cell r="D142">
            <v>0</v>
          </cell>
          <cell r="E142">
            <v>11753.5</v>
          </cell>
          <cell r="F142">
            <v>-11753.5</v>
          </cell>
          <cell r="G142">
            <v>0</v>
          </cell>
        </row>
        <row r="143">
          <cell r="B143" t="str">
            <v>06.977.747/0002-61</v>
          </cell>
          <cell r="C143" t="str">
            <v>AGEM TECNOLOGIA DISTRIBUIDORA LTDA</v>
          </cell>
          <cell r="D143">
            <v>0</v>
          </cell>
          <cell r="E143">
            <v>0</v>
          </cell>
          <cell r="F143">
            <v>-45035.4</v>
          </cell>
          <cell r="G143">
            <v>45035.4</v>
          </cell>
        </row>
        <row r="144">
          <cell r="B144">
            <v>9090867708</v>
          </cell>
          <cell r="C144" t="str">
            <v>Bruno Soares Moreira Cesar Borba</v>
          </cell>
          <cell r="D144">
            <v>0</v>
          </cell>
          <cell r="E144">
            <v>49500</v>
          </cell>
          <cell r="F144">
            <v>-49500</v>
          </cell>
          <cell r="G144">
            <v>0</v>
          </cell>
        </row>
        <row r="145">
          <cell r="B145">
            <v>2116</v>
          </cell>
          <cell r="C145" t="str">
            <v>Obrigações Fiscais</v>
          </cell>
          <cell r="D145">
            <v>-1562.73</v>
          </cell>
          <cell r="E145">
            <v>696157.13</v>
          </cell>
          <cell r="F145">
            <v>-697454.02</v>
          </cell>
          <cell r="G145">
            <v>2859.62</v>
          </cell>
        </row>
        <row r="146">
          <cell r="B146">
            <v>21161</v>
          </cell>
          <cell r="C146" t="str">
            <v>IRPJ a Recolher</v>
          </cell>
          <cell r="D146">
            <v>0</v>
          </cell>
          <cell r="E146">
            <v>253821.66</v>
          </cell>
          <cell r="F146">
            <v>-253821.66</v>
          </cell>
          <cell r="G146">
            <v>0</v>
          </cell>
        </row>
        <row r="147">
          <cell r="B147">
            <v>21162</v>
          </cell>
          <cell r="C147" t="str">
            <v>PASEP a Recolher</v>
          </cell>
          <cell r="D147">
            <v>-218.45</v>
          </cell>
          <cell r="E147">
            <v>59652.97</v>
          </cell>
          <cell r="F147">
            <v>-59834.25</v>
          </cell>
          <cell r="G147">
            <v>399.73</v>
          </cell>
        </row>
        <row r="148">
          <cell r="B148">
            <v>21163</v>
          </cell>
          <cell r="C148" t="str">
            <v>COFINS a Recolher</v>
          </cell>
          <cell r="D148">
            <v>-1344.28</v>
          </cell>
          <cell r="E148">
            <v>280529.7</v>
          </cell>
          <cell r="F148">
            <v>-281645.31</v>
          </cell>
          <cell r="G148">
            <v>2459.89</v>
          </cell>
        </row>
        <row r="149">
          <cell r="B149">
            <v>21167</v>
          </cell>
          <cell r="C149" t="str">
            <v>CSLL a Recolher</v>
          </cell>
          <cell r="D149">
            <v>0</v>
          </cell>
          <cell r="E149">
            <v>102152.8</v>
          </cell>
          <cell r="F149">
            <v>-102152.8</v>
          </cell>
          <cell r="G149">
            <v>0</v>
          </cell>
        </row>
        <row r="150">
          <cell r="B150">
            <v>2117</v>
          </cell>
          <cell r="C150" t="str">
            <v>Retenções Tributárias</v>
          </cell>
          <cell r="D150">
            <v>-754180.58</v>
          </cell>
          <cell r="E150">
            <v>2759955.47</v>
          </cell>
          <cell r="F150">
            <v>-3042422.74</v>
          </cell>
          <cell r="G150">
            <v>1036647.85</v>
          </cell>
        </row>
        <row r="151">
          <cell r="B151">
            <v>561</v>
          </cell>
          <cell r="C151" t="str">
            <v>IRRF a Recolher de Empregados</v>
          </cell>
          <cell r="D151">
            <v>-740064.46</v>
          </cell>
          <cell r="E151">
            <v>2355281.25</v>
          </cell>
          <cell r="F151">
            <v>-2638335.31</v>
          </cell>
          <cell r="G151">
            <v>1023118.52</v>
          </cell>
        </row>
        <row r="152">
          <cell r="B152">
            <v>21172</v>
          </cell>
          <cell r="C152" t="str">
            <v>IRRF a Recolher de Terceiros</v>
          </cell>
          <cell r="D152">
            <v>0</v>
          </cell>
          <cell r="E152">
            <v>12476.61</v>
          </cell>
          <cell r="F152">
            <v>-12476.61</v>
          </cell>
          <cell r="G152">
            <v>0</v>
          </cell>
        </row>
        <row r="153">
          <cell r="B153" t="str">
            <v>INSS</v>
          </cell>
          <cell r="C153" t="str">
            <v>INSS DE TERCEIROS</v>
          </cell>
          <cell r="D153">
            <v>-14116.12</v>
          </cell>
          <cell r="E153">
            <v>42123.23</v>
          </cell>
          <cell r="F153">
            <v>-41536.44</v>
          </cell>
          <cell r="G153">
            <v>13529.33</v>
          </cell>
        </row>
        <row r="154">
          <cell r="B154">
            <v>6147</v>
          </cell>
          <cell r="C154" t="str">
            <v>Ret IN 539/05 - IR/CS/PIS/COFINS - 5,85%</v>
          </cell>
          <cell r="D154">
            <v>0</v>
          </cell>
          <cell r="E154">
            <v>8174.55</v>
          </cell>
          <cell r="F154">
            <v>-8174.55</v>
          </cell>
          <cell r="G154">
            <v>0</v>
          </cell>
        </row>
        <row r="155">
          <cell r="B155">
            <v>6190</v>
          </cell>
          <cell r="C155" t="str">
            <v>Ret IN 539/05 - IR/CS/PIS/COFINS - 9,45%</v>
          </cell>
          <cell r="D155">
            <v>0</v>
          </cell>
          <cell r="E155">
            <v>310867.64</v>
          </cell>
          <cell r="F155">
            <v>-310867.64</v>
          </cell>
          <cell r="G155">
            <v>0</v>
          </cell>
        </row>
        <row r="156">
          <cell r="B156">
            <v>6175</v>
          </cell>
          <cell r="C156" t="str">
            <v>Ret IN 539/05 - IR/CS/PIS/COFINS - 7,05%</v>
          </cell>
          <cell r="D156">
            <v>0</v>
          </cell>
          <cell r="E156">
            <v>14017.53</v>
          </cell>
          <cell r="F156">
            <v>-14017.53</v>
          </cell>
          <cell r="G156">
            <v>0</v>
          </cell>
        </row>
        <row r="157">
          <cell r="B157">
            <v>211711</v>
          </cell>
          <cell r="C157" t="str">
            <v>Ret IN 539/05 - IR/CS/PIS/COFINS - 2,20%</v>
          </cell>
          <cell r="D157">
            <v>0</v>
          </cell>
          <cell r="E157">
            <v>16.850000000000001</v>
          </cell>
          <cell r="F157">
            <v>-16.850000000000001</v>
          </cell>
          <cell r="G157">
            <v>0</v>
          </cell>
        </row>
        <row r="158">
          <cell r="B158">
            <v>211713</v>
          </cell>
          <cell r="C158" t="str">
            <v>Ret IN 539/05 - IR/CS/PIS/COFINS - 3,40%</v>
          </cell>
          <cell r="D158">
            <v>0</v>
          </cell>
          <cell r="E158">
            <v>363.22</v>
          </cell>
          <cell r="F158">
            <v>-363.22</v>
          </cell>
          <cell r="G158">
            <v>0</v>
          </cell>
        </row>
        <row r="159">
          <cell r="B159" t="str">
            <v>ISS</v>
          </cell>
          <cell r="C159" t="str">
            <v>ISS de Terceiros</v>
          </cell>
          <cell r="D159">
            <v>0</v>
          </cell>
          <cell r="E159">
            <v>16634.59</v>
          </cell>
          <cell r="F159">
            <v>-16634.59</v>
          </cell>
          <cell r="G159">
            <v>0</v>
          </cell>
        </row>
        <row r="160">
          <cell r="B160">
            <v>2118</v>
          </cell>
          <cell r="C160" t="str">
            <v>Obrigações Trabalhistas e Sociais</v>
          </cell>
          <cell r="D160">
            <v>-13925012.289999999</v>
          </cell>
          <cell r="E160">
            <v>21787638.09</v>
          </cell>
          <cell r="F160">
            <v>-27218629.690000001</v>
          </cell>
          <cell r="G160">
            <v>19356003.890000001</v>
          </cell>
        </row>
        <row r="161">
          <cell r="B161">
            <v>21181</v>
          </cell>
          <cell r="C161" t="str">
            <v>Salários a Pagar</v>
          </cell>
          <cell r="D161">
            <v>-2944991.75</v>
          </cell>
          <cell r="E161">
            <v>14590033.02</v>
          </cell>
          <cell r="F161">
            <v>-16923911.699999999</v>
          </cell>
          <cell r="G161">
            <v>5278870.43</v>
          </cell>
        </row>
        <row r="162">
          <cell r="B162">
            <v>21182</v>
          </cell>
          <cell r="C162" t="str">
            <v>13º Salário a Pagar</v>
          </cell>
          <cell r="D162">
            <v>-1018899.91</v>
          </cell>
          <cell r="E162">
            <v>11002.89</v>
          </cell>
          <cell r="F162">
            <v>-1228839.73</v>
          </cell>
          <cell r="G162">
            <v>2236736.75</v>
          </cell>
        </row>
        <row r="163">
          <cell r="B163">
            <v>21183</v>
          </cell>
          <cell r="C163" t="str">
            <v>Férias a Pagar</v>
          </cell>
          <cell r="D163">
            <v>-6232676.3300000001</v>
          </cell>
          <cell r="E163">
            <v>1458517.64</v>
          </cell>
          <cell r="F163">
            <v>-2141634.42</v>
          </cell>
          <cell r="G163">
            <v>6915793.1100000003</v>
          </cell>
        </row>
        <row r="164">
          <cell r="B164">
            <v>21184</v>
          </cell>
          <cell r="C164" t="str">
            <v>INSS a Recolher</v>
          </cell>
          <cell r="D164">
            <v>-1038462.02</v>
          </cell>
          <cell r="E164">
            <v>3197656.47</v>
          </cell>
          <cell r="F164">
            <v>-3578877.39</v>
          </cell>
          <cell r="G164">
            <v>1419682.94</v>
          </cell>
        </row>
        <row r="165">
          <cell r="B165">
            <v>21185</v>
          </cell>
          <cell r="C165" t="str">
            <v>FGTS a Recolher</v>
          </cell>
          <cell r="D165">
            <v>-341951.53</v>
          </cell>
          <cell r="E165">
            <v>1029113.21</v>
          </cell>
          <cell r="F165">
            <v>-1261570.3700000001</v>
          </cell>
          <cell r="G165">
            <v>574408.68999999994</v>
          </cell>
        </row>
        <row r="166">
          <cell r="B166">
            <v>21186</v>
          </cell>
          <cell r="C166" t="str">
            <v>Contribuição Sindical a Pagar</v>
          </cell>
          <cell r="D166">
            <v>0</v>
          </cell>
          <cell r="E166">
            <v>435</v>
          </cell>
          <cell r="F166">
            <v>-435</v>
          </cell>
          <cell r="G166">
            <v>0</v>
          </cell>
        </row>
        <row r="167">
          <cell r="B167">
            <v>21187</v>
          </cell>
          <cell r="C167" t="str">
            <v>Pensão Alimentícia</v>
          </cell>
          <cell r="D167">
            <v>0</v>
          </cell>
          <cell r="E167">
            <v>38074.199999999997</v>
          </cell>
          <cell r="F167">
            <v>-38074.199999999997</v>
          </cell>
          <cell r="G167">
            <v>0</v>
          </cell>
        </row>
        <row r="168">
          <cell r="B168">
            <v>21188</v>
          </cell>
          <cell r="C168" t="str">
            <v>Rescisões a Pagar</v>
          </cell>
          <cell r="D168">
            <v>0</v>
          </cell>
          <cell r="E168">
            <v>69281.61</v>
          </cell>
          <cell r="F168">
            <v>-69281.61</v>
          </cell>
          <cell r="G168">
            <v>0</v>
          </cell>
        </row>
        <row r="169">
          <cell r="B169">
            <v>21189</v>
          </cell>
          <cell r="C169" t="str">
            <v>Previdência Privada Complementar</v>
          </cell>
          <cell r="D169">
            <v>-289103.49</v>
          </cell>
          <cell r="E169">
            <v>860916.35</v>
          </cell>
          <cell r="F169">
            <v>-1002414.48</v>
          </cell>
          <cell r="G169">
            <v>430601.62</v>
          </cell>
        </row>
        <row r="170">
          <cell r="B170">
            <v>211810</v>
          </cell>
          <cell r="C170" t="str">
            <v>INSS s/ 13º Salario a Pagar</v>
          </cell>
          <cell r="D170">
            <v>-211633.96</v>
          </cell>
          <cell r="E170">
            <v>827.14</v>
          </cell>
          <cell r="F170">
            <v>-256210.44</v>
          </cell>
          <cell r="G170">
            <v>467017.26</v>
          </cell>
        </row>
        <row r="171">
          <cell r="B171">
            <v>211811</v>
          </cell>
          <cell r="C171" t="str">
            <v>FGTS s/ 13º Salario a Pagar</v>
          </cell>
          <cell r="D171">
            <v>-43408.94</v>
          </cell>
          <cell r="E171">
            <v>134143.6</v>
          </cell>
          <cell r="F171">
            <v>-97621.59</v>
          </cell>
          <cell r="G171">
            <v>6886.93</v>
          </cell>
        </row>
        <row r="172">
          <cell r="B172">
            <v>211812</v>
          </cell>
          <cell r="C172" t="str">
            <v>INSS s/ Férias a Pagar</v>
          </cell>
          <cell r="D172">
            <v>-1306261.44</v>
          </cell>
          <cell r="E172">
            <v>288036.09999999998</v>
          </cell>
          <cell r="F172">
            <v>-448882.77</v>
          </cell>
          <cell r="G172">
            <v>1467108.11</v>
          </cell>
        </row>
        <row r="173">
          <cell r="B173">
            <v>211813</v>
          </cell>
          <cell r="C173" t="str">
            <v>FGTS s/ Férias a Pagar</v>
          </cell>
          <cell r="D173">
            <v>-497622.92</v>
          </cell>
          <cell r="E173">
            <v>109600.86</v>
          </cell>
          <cell r="F173">
            <v>-170875.99</v>
          </cell>
          <cell r="G173">
            <v>558898.05000000005</v>
          </cell>
        </row>
        <row r="174">
          <cell r="B174">
            <v>211110</v>
          </cell>
          <cell r="C174" t="str">
            <v>Provisões p/ Contingências</v>
          </cell>
          <cell r="D174">
            <v>-2713578.37</v>
          </cell>
          <cell r="E174">
            <v>0</v>
          </cell>
          <cell r="F174">
            <v>-36321.82</v>
          </cell>
          <cell r="G174">
            <v>2749900.19</v>
          </cell>
        </row>
        <row r="175">
          <cell r="B175">
            <v>211111</v>
          </cell>
          <cell r="C175" t="str">
            <v>Provisão p/ Contingências Trabalhistas</v>
          </cell>
          <cell r="D175">
            <v>-2713578.37</v>
          </cell>
          <cell r="E175">
            <v>0</v>
          </cell>
          <cell r="F175">
            <v>-36321.82</v>
          </cell>
          <cell r="G175">
            <v>2749900.19</v>
          </cell>
        </row>
        <row r="176">
          <cell r="B176">
            <v>21114</v>
          </cell>
          <cell r="C176" t="str">
            <v>Obrigações com a Cessão de Pessoal</v>
          </cell>
          <cell r="D176">
            <v>-54855.43</v>
          </cell>
          <cell r="E176">
            <v>107360.53</v>
          </cell>
          <cell r="F176">
            <v>-110889.19</v>
          </cell>
          <cell r="G176">
            <v>58384.09</v>
          </cell>
        </row>
        <row r="177">
          <cell r="B177">
            <v>211145</v>
          </cell>
          <cell r="C177" t="str">
            <v>Obrigações com o STJ</v>
          </cell>
          <cell r="D177">
            <v>-24403.53</v>
          </cell>
          <cell r="E177">
            <v>73210.59</v>
          </cell>
          <cell r="F177">
            <v>-73210.59</v>
          </cell>
          <cell r="G177">
            <v>24403.53</v>
          </cell>
        </row>
        <row r="178">
          <cell r="B178">
            <v>211146</v>
          </cell>
          <cell r="C178" t="str">
            <v>Obrigações com a SEDES</v>
          </cell>
          <cell r="D178">
            <v>-9415.9599999999991</v>
          </cell>
          <cell r="E178">
            <v>20125.98</v>
          </cell>
          <cell r="F178">
            <v>-10710.02</v>
          </cell>
          <cell r="G178">
            <v>0</v>
          </cell>
        </row>
        <row r="179">
          <cell r="B179">
            <v>211147</v>
          </cell>
          <cell r="C179" t="str">
            <v>Obrigações com a USP</v>
          </cell>
          <cell r="D179">
            <v>-21035.94</v>
          </cell>
          <cell r="E179">
            <v>14023.96</v>
          </cell>
          <cell r="F179">
            <v>-26968.58</v>
          </cell>
          <cell r="G179">
            <v>33980.559999999998</v>
          </cell>
        </row>
        <row r="180">
          <cell r="B180">
            <v>21115</v>
          </cell>
          <cell r="C180" t="str">
            <v>Previdência Privada Complementar</v>
          </cell>
          <cell r="D180">
            <v>-285652.99</v>
          </cell>
          <cell r="E180">
            <v>850564.85</v>
          </cell>
          <cell r="F180">
            <v>-999508.18</v>
          </cell>
          <cell r="G180">
            <v>434596.32</v>
          </cell>
        </row>
        <row r="181">
          <cell r="B181">
            <v>211151</v>
          </cell>
          <cell r="C181" t="str">
            <v>Fundação ELETROS</v>
          </cell>
          <cell r="D181">
            <v>-285652.99</v>
          </cell>
          <cell r="E181">
            <v>850564.85</v>
          </cell>
          <cell r="F181">
            <v>-999508.18</v>
          </cell>
          <cell r="G181">
            <v>434596.32</v>
          </cell>
        </row>
        <row r="182">
          <cell r="B182">
            <v>22</v>
          </cell>
          <cell r="C182" t="str">
            <v>Passivo Não Circulante</v>
          </cell>
          <cell r="D182">
            <v>-6482408.7300000004</v>
          </cell>
          <cell r="E182">
            <v>70.45</v>
          </cell>
          <cell r="F182">
            <v>-281593.17</v>
          </cell>
          <cell r="G182">
            <v>6763931.4500000002</v>
          </cell>
        </row>
        <row r="183">
          <cell r="B183">
            <v>221</v>
          </cell>
          <cell r="C183" t="str">
            <v>Obrigações de Longo Prazo</v>
          </cell>
          <cell r="D183">
            <v>-6482408.7300000004</v>
          </cell>
          <cell r="E183">
            <v>70.45</v>
          </cell>
          <cell r="F183">
            <v>-281593.17</v>
          </cell>
          <cell r="G183">
            <v>6763931.4500000002</v>
          </cell>
        </row>
        <row r="184">
          <cell r="B184">
            <v>2215</v>
          </cell>
          <cell r="C184" t="str">
            <v>Provisões p/ Contingências</v>
          </cell>
          <cell r="D184">
            <v>-6482408.7300000004</v>
          </cell>
          <cell r="E184">
            <v>70.45</v>
          </cell>
          <cell r="F184">
            <v>-281593.17</v>
          </cell>
          <cell r="G184">
            <v>6763931.4500000002</v>
          </cell>
        </row>
        <row r="185">
          <cell r="B185">
            <v>22151</v>
          </cell>
          <cell r="C185" t="str">
            <v>Provisão p/ Contingências Trabalhistas</v>
          </cell>
          <cell r="D185">
            <v>-339413.16</v>
          </cell>
          <cell r="E185">
            <v>0</v>
          </cell>
          <cell r="F185">
            <v>-4163.2700000000004</v>
          </cell>
          <cell r="G185">
            <v>343576.43</v>
          </cell>
        </row>
        <row r="186">
          <cell r="B186">
            <v>22152</v>
          </cell>
          <cell r="C186" t="str">
            <v>Provisão p/ Contingências Civeis</v>
          </cell>
          <cell r="D186">
            <v>-1151.6099999999999</v>
          </cell>
          <cell r="E186">
            <v>70.45</v>
          </cell>
          <cell r="F186">
            <v>-84.58</v>
          </cell>
          <cell r="G186">
            <v>1165.74</v>
          </cell>
        </row>
        <row r="187">
          <cell r="B187">
            <v>22153</v>
          </cell>
          <cell r="C187" t="str">
            <v>Provisão p/ Contingências Fiscais</v>
          </cell>
          <cell r="D187">
            <v>-6141843.96</v>
          </cell>
          <cell r="E187">
            <v>0</v>
          </cell>
          <cell r="F187">
            <v>-277345.32</v>
          </cell>
          <cell r="G187">
            <v>6419189.2800000003</v>
          </cell>
        </row>
        <row r="188">
          <cell r="B188" t="str">
            <v>PL</v>
          </cell>
          <cell r="C188" t="str">
            <v>Patrimônio Líquido</v>
          </cell>
          <cell r="D188">
            <v>-25416799.989999998</v>
          </cell>
          <cell r="E188">
            <v>4935536.29</v>
          </cell>
          <cell r="F188">
            <v>-6123665.5999999996</v>
          </cell>
          <cell r="G188">
            <v>26604929.300000001</v>
          </cell>
        </row>
        <row r="189">
          <cell r="B189">
            <v>241</v>
          </cell>
          <cell r="C189" t="str">
            <v>Capital Social</v>
          </cell>
          <cell r="D189">
            <v>-26211140.98</v>
          </cell>
          <cell r="E189">
            <v>0</v>
          </cell>
          <cell r="F189">
            <v>-2257768.89</v>
          </cell>
          <cell r="G189">
            <v>28468909.870000001</v>
          </cell>
        </row>
        <row r="190">
          <cell r="B190">
            <v>2411</v>
          </cell>
          <cell r="C190" t="str">
            <v>Capital Subscrito</v>
          </cell>
          <cell r="D190">
            <v>-26211140.98</v>
          </cell>
          <cell r="E190">
            <v>0</v>
          </cell>
          <cell r="F190">
            <v>-2257768.89</v>
          </cell>
          <cell r="G190">
            <v>28468909.870000001</v>
          </cell>
        </row>
        <row r="191">
          <cell r="B191">
            <v>24111</v>
          </cell>
          <cell r="C191" t="str">
            <v>Capital Subscrito</v>
          </cell>
          <cell r="D191">
            <v>-26211140.98</v>
          </cell>
          <cell r="E191">
            <v>0</v>
          </cell>
          <cell r="F191">
            <v>-2257768.89</v>
          </cell>
          <cell r="G191">
            <v>28468909.870000001</v>
          </cell>
        </row>
        <row r="192">
          <cell r="B192">
            <v>243</v>
          </cell>
          <cell r="C192" t="str">
            <v>Aj de av.patrimonial</v>
          </cell>
          <cell r="D192">
            <v>-21.12</v>
          </cell>
          <cell r="E192">
            <v>26.96</v>
          </cell>
          <cell r="F192">
            <v>0</v>
          </cell>
          <cell r="G192">
            <v>5.84</v>
          </cell>
        </row>
        <row r="193">
          <cell r="B193">
            <v>2431</v>
          </cell>
          <cell r="C193" t="str">
            <v>Aj. de av. patrimonial</v>
          </cell>
          <cell r="D193">
            <v>-21.12</v>
          </cell>
          <cell r="E193">
            <v>26.96</v>
          </cell>
          <cell r="F193">
            <v>0</v>
          </cell>
          <cell r="G193">
            <v>5.84</v>
          </cell>
        </row>
        <row r="194">
          <cell r="B194">
            <v>24311</v>
          </cell>
          <cell r="C194" t="str">
            <v>Aj.de av. patrimonial</v>
          </cell>
          <cell r="D194">
            <v>-21.12</v>
          </cell>
          <cell r="E194">
            <v>26.96</v>
          </cell>
          <cell r="F194">
            <v>0</v>
          </cell>
          <cell r="G194">
            <v>5.84</v>
          </cell>
        </row>
        <row r="195">
          <cell r="B195">
            <v>246</v>
          </cell>
          <cell r="C195" t="str">
            <v>Lucros ou Prejuízos Acumulados</v>
          </cell>
          <cell r="D195">
            <v>4789293.97</v>
          </cell>
          <cell r="E195">
            <v>2677740.44</v>
          </cell>
          <cell r="F195">
            <v>-3733895.49</v>
          </cell>
          <cell r="G195">
            <v>3733138.92</v>
          </cell>
        </row>
        <row r="196">
          <cell r="B196">
            <v>2462</v>
          </cell>
          <cell r="C196" t="str">
            <v>(-) Prejuízos Acumulados</v>
          </cell>
          <cell r="D196">
            <v>3734189</v>
          </cell>
          <cell r="E196">
            <v>0</v>
          </cell>
          <cell r="F196">
            <v>0</v>
          </cell>
          <cell r="G196">
            <v>3734189</v>
          </cell>
        </row>
        <row r="197">
          <cell r="B197">
            <v>24622</v>
          </cell>
          <cell r="C197" t="str">
            <v>(-) Prejuízo Acumulado</v>
          </cell>
          <cell r="D197">
            <v>3734189</v>
          </cell>
          <cell r="E197">
            <v>0</v>
          </cell>
          <cell r="F197">
            <v>0</v>
          </cell>
          <cell r="G197">
            <v>3734189</v>
          </cell>
        </row>
        <row r="198">
          <cell r="B198">
            <v>24699</v>
          </cell>
          <cell r="C198" t="str">
            <v>Resultado do Exercício</v>
          </cell>
          <cell r="D198">
            <v>1055104.97</v>
          </cell>
          <cell r="E198">
            <v>2677740.44</v>
          </cell>
          <cell r="F198">
            <v>-3733895.49</v>
          </cell>
          <cell r="G198">
            <v>1050.08</v>
          </cell>
        </row>
        <row r="199">
          <cell r="B199">
            <v>246991</v>
          </cell>
          <cell r="C199" t="str">
            <v>Resultado do Exercício</v>
          </cell>
          <cell r="D199">
            <v>1055104.97</v>
          </cell>
          <cell r="E199">
            <v>2677740.44</v>
          </cell>
          <cell r="F199">
            <v>-3733895.49</v>
          </cell>
          <cell r="G199">
            <v>1050.08</v>
          </cell>
        </row>
        <row r="200">
          <cell r="B200">
            <v>247</v>
          </cell>
          <cell r="C200" t="str">
            <v>Adiantamento p/Futuro Aumento de Capital</v>
          </cell>
          <cell r="D200">
            <v>-3994931.86</v>
          </cell>
          <cell r="E200">
            <v>2257768.89</v>
          </cell>
          <cell r="F200">
            <v>-132001.22</v>
          </cell>
          <cell r="G200">
            <v>1869164.19</v>
          </cell>
        </row>
        <row r="201">
          <cell r="B201">
            <v>2471</v>
          </cell>
          <cell r="C201" t="str">
            <v>Adiantamento p/Futuro Aumento de Capital</v>
          </cell>
          <cell r="D201">
            <v>-3994931.86</v>
          </cell>
          <cell r="E201">
            <v>2257768.89</v>
          </cell>
          <cell r="F201">
            <v>-132001.22</v>
          </cell>
          <cell r="G201">
            <v>1869164.19</v>
          </cell>
        </row>
        <row r="202">
          <cell r="B202">
            <v>24711</v>
          </cell>
          <cell r="C202" t="str">
            <v>Adiantamento p/Futuro Aumento de Capital</v>
          </cell>
          <cell r="D202">
            <v>-3994931.86</v>
          </cell>
          <cell r="E202">
            <v>2257768.89</v>
          </cell>
          <cell r="F202">
            <v>-132001.22</v>
          </cell>
          <cell r="G202">
            <v>1869164.19</v>
          </cell>
        </row>
        <row r="203">
          <cell r="B203">
            <v>3</v>
          </cell>
          <cell r="C203" t="str">
            <v>Receitas</v>
          </cell>
          <cell r="D203">
            <v>-26107789.34</v>
          </cell>
          <cell r="E203">
            <v>1093.78</v>
          </cell>
          <cell r="F203">
            <v>-32163338.16</v>
          </cell>
          <cell r="G203">
            <v>58270033.719999999</v>
          </cell>
        </row>
        <row r="204">
          <cell r="B204">
            <v>31</v>
          </cell>
          <cell r="C204" t="str">
            <v>Subsídios Públicos</v>
          </cell>
          <cell r="D204">
            <v>-25540746.530000001</v>
          </cell>
          <cell r="E204">
            <v>0</v>
          </cell>
          <cell r="F204">
            <v>-28171761.68</v>
          </cell>
          <cell r="G204">
            <v>53712508.210000001</v>
          </cell>
        </row>
        <row r="205">
          <cell r="B205">
            <v>311</v>
          </cell>
          <cell r="C205" t="str">
            <v>Subsídios do Tesouro Nacional</v>
          </cell>
          <cell r="D205">
            <v>-25540746.530000001</v>
          </cell>
          <cell r="E205">
            <v>0</v>
          </cell>
          <cell r="F205">
            <v>-28171761.68</v>
          </cell>
          <cell r="G205">
            <v>53712508.210000001</v>
          </cell>
        </row>
        <row r="206">
          <cell r="B206">
            <v>3111</v>
          </cell>
          <cell r="C206" t="str">
            <v>Subsídios do Tesouro Nacional</v>
          </cell>
          <cell r="D206">
            <v>-25540746.530000001</v>
          </cell>
          <cell r="E206">
            <v>0</v>
          </cell>
          <cell r="F206">
            <v>-28171761.68</v>
          </cell>
          <cell r="G206">
            <v>53712508.210000001</v>
          </cell>
        </row>
        <row r="207">
          <cell r="B207">
            <v>31111</v>
          </cell>
          <cell r="C207" t="str">
            <v>Recursos Recebidos do Tesouro Nacional</v>
          </cell>
          <cell r="D207">
            <v>-25540746.530000001</v>
          </cell>
          <cell r="E207">
            <v>0</v>
          </cell>
          <cell r="F207">
            <v>-28171761.68</v>
          </cell>
          <cell r="G207">
            <v>53712508.210000001</v>
          </cell>
        </row>
        <row r="208">
          <cell r="B208">
            <v>33</v>
          </cell>
          <cell r="C208" t="str">
            <v>Outras Receitas Operacionais</v>
          </cell>
          <cell r="D208">
            <v>-567042.81000000006</v>
          </cell>
          <cell r="E208">
            <v>1093.78</v>
          </cell>
          <cell r="F208">
            <v>-3991576.48</v>
          </cell>
          <cell r="G208">
            <v>4557525.51</v>
          </cell>
        </row>
        <row r="209">
          <cell r="B209">
            <v>331</v>
          </cell>
          <cell r="C209" t="str">
            <v>Receitas Financeiras</v>
          </cell>
          <cell r="D209">
            <v>-116447</v>
          </cell>
          <cell r="E209">
            <v>1093.78</v>
          </cell>
          <cell r="F209">
            <v>-601965.48</v>
          </cell>
          <cell r="G209">
            <v>717318.7</v>
          </cell>
        </row>
        <row r="210">
          <cell r="B210">
            <v>3311</v>
          </cell>
          <cell r="C210" t="str">
            <v>Receitas Financ./ Prest. de Serviços</v>
          </cell>
          <cell r="D210">
            <v>-116447</v>
          </cell>
          <cell r="E210">
            <v>1093.78</v>
          </cell>
          <cell r="F210">
            <v>-601965.48</v>
          </cell>
          <cell r="G210">
            <v>717318.7</v>
          </cell>
        </row>
        <row r="211">
          <cell r="B211">
            <v>33113</v>
          </cell>
          <cell r="C211" t="str">
            <v>Rendas de Variações Monetárias</v>
          </cell>
          <cell r="D211">
            <v>-116082.48</v>
          </cell>
          <cell r="E211">
            <v>1093.78</v>
          </cell>
          <cell r="F211">
            <v>-601965.48</v>
          </cell>
          <cell r="G211">
            <v>716954.18</v>
          </cell>
        </row>
        <row r="212">
          <cell r="B212">
            <v>33114</v>
          </cell>
          <cell r="C212" t="str">
            <v>Descontos Obtidos</v>
          </cell>
          <cell r="D212">
            <v>-364.52</v>
          </cell>
          <cell r="E212">
            <v>0</v>
          </cell>
          <cell r="F212">
            <v>0</v>
          </cell>
          <cell r="G212">
            <v>364.52</v>
          </cell>
        </row>
        <row r="213">
          <cell r="B213">
            <v>332</v>
          </cell>
          <cell r="C213" t="str">
            <v>Reembolso de Custos e Despesas</v>
          </cell>
          <cell r="D213">
            <v>-1155</v>
          </cell>
          <cell r="E213">
            <v>0</v>
          </cell>
          <cell r="F213">
            <v>-3389611</v>
          </cell>
          <cell r="G213">
            <v>3390766</v>
          </cell>
        </row>
        <row r="214">
          <cell r="B214">
            <v>3321</v>
          </cell>
          <cell r="C214" t="str">
            <v>Reversão de Custos e Despesas</v>
          </cell>
          <cell r="D214">
            <v>-1155</v>
          </cell>
          <cell r="E214">
            <v>0</v>
          </cell>
          <cell r="F214">
            <v>-3389611</v>
          </cell>
          <cell r="G214">
            <v>3390766</v>
          </cell>
        </row>
        <row r="215">
          <cell r="B215">
            <v>33212</v>
          </cell>
          <cell r="C215" t="str">
            <v>Leilões ANEEL – Transmissão de Energia</v>
          </cell>
          <cell r="D215">
            <v>0</v>
          </cell>
          <cell r="E215">
            <v>0</v>
          </cell>
          <cell r="F215">
            <v>-3389611</v>
          </cell>
          <cell r="G215">
            <v>3389611</v>
          </cell>
        </row>
        <row r="216">
          <cell r="B216">
            <v>33213</v>
          </cell>
          <cell r="C216" t="str">
            <v>Recuperação de Despesa e Custo</v>
          </cell>
          <cell r="D216">
            <v>-1155</v>
          </cell>
          <cell r="E216">
            <v>0</v>
          </cell>
          <cell r="F216">
            <v>0</v>
          </cell>
          <cell r="G216">
            <v>1155</v>
          </cell>
        </row>
        <row r="217">
          <cell r="B217">
            <v>336</v>
          </cell>
          <cell r="C217" t="str">
            <v>Reversão de Provisões</v>
          </cell>
          <cell r="D217">
            <v>-22945.54</v>
          </cell>
          <cell r="E217">
            <v>0</v>
          </cell>
          <cell r="F217">
            <v>0</v>
          </cell>
          <cell r="G217">
            <v>22945.54</v>
          </cell>
        </row>
        <row r="218">
          <cell r="B218">
            <v>3361</v>
          </cell>
          <cell r="C218" t="str">
            <v>Reversão de Provisões - Contingência</v>
          </cell>
          <cell r="D218">
            <v>-22945.54</v>
          </cell>
          <cell r="E218">
            <v>0</v>
          </cell>
          <cell r="F218">
            <v>0</v>
          </cell>
          <cell r="G218">
            <v>22945.54</v>
          </cell>
        </row>
        <row r="219">
          <cell r="B219">
            <v>33612</v>
          </cell>
          <cell r="C219" t="str">
            <v>Contingência Civis</v>
          </cell>
          <cell r="D219">
            <v>-22945.54</v>
          </cell>
          <cell r="E219">
            <v>0</v>
          </cell>
          <cell r="F219">
            <v>0</v>
          </cell>
          <cell r="G219">
            <v>22945.54</v>
          </cell>
        </row>
        <row r="220">
          <cell r="B220">
            <v>339</v>
          </cell>
          <cell r="C220" t="str">
            <v>Outras Receitas</v>
          </cell>
          <cell r="D220">
            <v>-426495.27</v>
          </cell>
          <cell r="E220">
            <v>0</v>
          </cell>
          <cell r="F220">
            <v>0</v>
          </cell>
          <cell r="G220">
            <v>426495.27</v>
          </cell>
        </row>
        <row r="221">
          <cell r="B221">
            <v>3393</v>
          </cell>
          <cell r="C221" t="str">
            <v>Reversão de Custos/Despesas</v>
          </cell>
          <cell r="D221">
            <v>-54245.26</v>
          </cell>
          <cell r="E221">
            <v>0</v>
          </cell>
          <cell r="F221">
            <v>0</v>
          </cell>
          <cell r="G221">
            <v>54245.26</v>
          </cell>
        </row>
        <row r="222">
          <cell r="B222">
            <v>33931</v>
          </cell>
          <cell r="C222" t="str">
            <v>Recuperação de Despesa e Custo</v>
          </cell>
          <cell r="D222">
            <v>-54245.26</v>
          </cell>
          <cell r="E222">
            <v>0</v>
          </cell>
          <cell r="F222">
            <v>0</v>
          </cell>
          <cell r="G222">
            <v>54245.26</v>
          </cell>
        </row>
        <row r="223">
          <cell r="B223">
            <v>3399</v>
          </cell>
          <cell r="C223" t="str">
            <v>Receita Concurso Público</v>
          </cell>
          <cell r="D223">
            <v>-372250.01</v>
          </cell>
          <cell r="E223">
            <v>0</v>
          </cell>
          <cell r="F223">
            <v>0</v>
          </cell>
          <cell r="G223">
            <v>372250.01</v>
          </cell>
        </row>
        <row r="224">
          <cell r="B224">
            <v>33991</v>
          </cell>
          <cell r="C224" t="str">
            <v>Receita de Concurso Público</v>
          </cell>
          <cell r="D224">
            <v>-372250.01</v>
          </cell>
          <cell r="E224">
            <v>0</v>
          </cell>
          <cell r="F224">
            <v>0</v>
          </cell>
          <cell r="G224">
            <v>372250.01</v>
          </cell>
        </row>
        <row r="225">
          <cell r="B225">
            <v>4</v>
          </cell>
          <cell r="C225" t="str">
            <v>Custos e Despesas</v>
          </cell>
          <cell r="D225">
            <v>27162894.309999999</v>
          </cell>
          <cell r="E225">
            <v>32445746.609999999</v>
          </cell>
          <cell r="F225">
            <v>-1339657.28</v>
          </cell>
          <cell r="G225">
            <v>58268983.640000001</v>
          </cell>
        </row>
        <row r="226">
          <cell r="B226">
            <v>41</v>
          </cell>
          <cell r="C226" t="str">
            <v>Custos</v>
          </cell>
          <cell r="D226">
            <v>16928245.100000001</v>
          </cell>
          <cell r="E226">
            <v>20022678.920000002</v>
          </cell>
          <cell r="F226">
            <v>-173418.07</v>
          </cell>
          <cell r="G226">
            <v>36777505.950000003</v>
          </cell>
        </row>
        <row r="227">
          <cell r="B227">
            <v>411</v>
          </cell>
          <cell r="C227" t="str">
            <v>Gastos com Pessoal - Serviços</v>
          </cell>
          <cell r="D227">
            <v>13701415.9</v>
          </cell>
          <cell r="E227">
            <v>16037050.470000001</v>
          </cell>
          <cell r="F227">
            <v>-137529.75</v>
          </cell>
          <cell r="G227">
            <v>29600936.620000001</v>
          </cell>
        </row>
        <row r="228">
          <cell r="B228">
            <v>4111</v>
          </cell>
          <cell r="C228" t="str">
            <v>Remunerações</v>
          </cell>
          <cell r="D228">
            <v>9527438</v>
          </cell>
          <cell r="E228">
            <v>11221527.91</v>
          </cell>
          <cell r="F228">
            <v>-96679.97</v>
          </cell>
          <cell r="G228">
            <v>20652285.940000001</v>
          </cell>
        </row>
        <row r="229">
          <cell r="B229">
            <v>41111</v>
          </cell>
          <cell r="C229" t="str">
            <v>Salários</v>
          </cell>
          <cell r="D229">
            <v>7836467.9100000001</v>
          </cell>
          <cell r="E229">
            <v>8712592.5899999999</v>
          </cell>
          <cell r="F229">
            <v>-10715.46</v>
          </cell>
          <cell r="G229">
            <v>16538345.039999999</v>
          </cell>
        </row>
        <row r="230">
          <cell r="B230">
            <v>41117</v>
          </cell>
          <cell r="C230" t="str">
            <v>Provisão de Férias e Encargos Sociais</v>
          </cell>
          <cell r="D230">
            <v>844928.29</v>
          </cell>
          <cell r="E230">
            <v>1491958.39</v>
          </cell>
          <cell r="F230">
            <v>-85964.51</v>
          </cell>
          <cell r="G230">
            <v>2250922.17</v>
          </cell>
        </row>
        <row r="231">
          <cell r="B231">
            <v>41118</v>
          </cell>
          <cell r="C231" t="str">
            <v>Abono Pecuniário de Férias</v>
          </cell>
          <cell r="D231">
            <v>112750.61</v>
          </cell>
          <cell r="E231">
            <v>94816.05</v>
          </cell>
          <cell r="F231">
            <v>0</v>
          </cell>
          <cell r="G231">
            <v>207566.66</v>
          </cell>
        </row>
        <row r="232">
          <cell r="B232">
            <v>41119</v>
          </cell>
          <cell r="C232" t="str">
            <v>Provisão de 13º Salários e Enc. Sociais</v>
          </cell>
          <cell r="D232">
            <v>717008.16</v>
          </cell>
          <cell r="E232">
            <v>865514.6</v>
          </cell>
          <cell r="F232">
            <v>0</v>
          </cell>
          <cell r="G232">
            <v>1582522.76</v>
          </cell>
        </row>
        <row r="233">
          <cell r="B233">
            <v>411111</v>
          </cell>
          <cell r="C233" t="str">
            <v>Salario Maternidade - Prorrogação</v>
          </cell>
          <cell r="D233">
            <v>0</v>
          </cell>
          <cell r="E233">
            <v>47574.65</v>
          </cell>
          <cell r="F233">
            <v>0</v>
          </cell>
          <cell r="G233">
            <v>47574.65</v>
          </cell>
        </row>
        <row r="234">
          <cell r="B234">
            <v>411113</v>
          </cell>
          <cell r="C234" t="str">
            <v>Licença Paternidade Prorrogação</v>
          </cell>
          <cell r="D234">
            <v>16283.03</v>
          </cell>
          <cell r="E234">
            <v>9071.6299999999992</v>
          </cell>
          <cell r="F234">
            <v>0</v>
          </cell>
          <cell r="G234">
            <v>25354.66</v>
          </cell>
        </row>
        <row r="235">
          <cell r="B235">
            <v>4112</v>
          </cell>
          <cell r="C235" t="str">
            <v>Encargos Sociais</v>
          </cell>
          <cell r="D235">
            <v>2724652.27</v>
          </cell>
          <cell r="E235">
            <v>3248631.5</v>
          </cell>
          <cell r="F235">
            <v>-31749.67</v>
          </cell>
          <cell r="G235">
            <v>5941534.0999999996</v>
          </cell>
        </row>
        <row r="236">
          <cell r="B236">
            <v>41121</v>
          </cell>
          <cell r="C236" t="str">
            <v>INSS</v>
          </cell>
          <cell r="D236">
            <v>1657894.29</v>
          </cell>
          <cell r="E236">
            <v>1857736.91</v>
          </cell>
          <cell r="F236">
            <v>0</v>
          </cell>
          <cell r="G236">
            <v>3515631.2</v>
          </cell>
        </row>
        <row r="237">
          <cell r="B237">
            <v>41122</v>
          </cell>
          <cell r="C237" t="str">
            <v>FGTS</v>
          </cell>
          <cell r="D237">
            <v>637748.44999999995</v>
          </cell>
          <cell r="E237">
            <v>708472.85</v>
          </cell>
          <cell r="F237">
            <v>0</v>
          </cell>
          <cell r="G237">
            <v>1346221.3</v>
          </cell>
        </row>
        <row r="238">
          <cell r="B238">
            <v>41124</v>
          </cell>
          <cell r="C238" t="str">
            <v>INSS s/ 13º Salário</v>
          </cell>
          <cell r="D238">
            <v>149446.82999999999</v>
          </cell>
          <cell r="E238">
            <v>181286.72</v>
          </cell>
          <cell r="F238">
            <v>0</v>
          </cell>
          <cell r="G238">
            <v>330733.55</v>
          </cell>
        </row>
        <row r="239">
          <cell r="B239">
            <v>41125</v>
          </cell>
          <cell r="C239" t="str">
            <v>INSS s/ Férias</v>
          </cell>
          <cell r="D239">
            <v>161375.65</v>
          </cell>
          <cell r="E239">
            <v>312880.68</v>
          </cell>
          <cell r="F239">
            <v>-22991.15</v>
          </cell>
          <cell r="G239">
            <v>451265.18</v>
          </cell>
        </row>
        <row r="240">
          <cell r="B240">
            <v>41126</v>
          </cell>
          <cell r="C240" t="str">
            <v>FGTS s/ Férias</v>
          </cell>
          <cell r="D240">
            <v>61254.82</v>
          </cell>
          <cell r="E240">
            <v>119192.92</v>
          </cell>
          <cell r="F240">
            <v>-8758.52</v>
          </cell>
          <cell r="G240">
            <v>171689.22</v>
          </cell>
        </row>
        <row r="241">
          <cell r="B241">
            <v>41127</v>
          </cell>
          <cell r="C241" t="str">
            <v>FGTS s/ 13º Salário</v>
          </cell>
          <cell r="D241">
            <v>56932.23</v>
          </cell>
          <cell r="E241">
            <v>69061.42</v>
          </cell>
          <cell r="F241">
            <v>0</v>
          </cell>
          <cell r="G241">
            <v>125993.65</v>
          </cell>
        </row>
        <row r="242">
          <cell r="B242">
            <v>4113</v>
          </cell>
          <cell r="C242" t="str">
            <v>Benefícios</v>
          </cell>
          <cell r="D242">
            <v>1449325.63</v>
          </cell>
          <cell r="E242">
            <v>1566891.06</v>
          </cell>
          <cell r="F242">
            <v>-9100.11</v>
          </cell>
          <cell r="G242">
            <v>3007116.58</v>
          </cell>
        </row>
        <row r="243">
          <cell r="B243">
            <v>41131</v>
          </cell>
          <cell r="C243" t="str">
            <v>Previdência Privada Complementar</v>
          </cell>
          <cell r="D243">
            <v>597812.68000000005</v>
          </cell>
          <cell r="E243">
            <v>687264.99</v>
          </cell>
          <cell r="F243">
            <v>-567.75</v>
          </cell>
          <cell r="G243">
            <v>1284509.92</v>
          </cell>
        </row>
        <row r="244">
          <cell r="B244">
            <v>41132</v>
          </cell>
          <cell r="C244" t="str">
            <v>Auxílio Alimentação</v>
          </cell>
          <cell r="D244">
            <v>445239.48</v>
          </cell>
          <cell r="E244">
            <v>438232.27</v>
          </cell>
          <cell r="F244">
            <v>-1293.77</v>
          </cell>
          <cell r="G244">
            <v>882177.98</v>
          </cell>
        </row>
        <row r="245">
          <cell r="B245">
            <v>41133</v>
          </cell>
          <cell r="C245" t="str">
            <v>Auxílio Transporte</v>
          </cell>
          <cell r="D245">
            <v>0</v>
          </cell>
          <cell r="E245">
            <v>4370.6400000000003</v>
          </cell>
          <cell r="F245">
            <v>-4370.6400000000003</v>
          </cell>
          <cell r="G245">
            <v>0</v>
          </cell>
        </row>
        <row r="246">
          <cell r="B246">
            <v>41135</v>
          </cell>
          <cell r="C246" t="str">
            <v>Auxílio Creche</v>
          </cell>
          <cell r="D246">
            <v>118394.83</v>
          </cell>
          <cell r="E246">
            <v>132345.35999999999</v>
          </cell>
          <cell r="F246">
            <v>-975.41</v>
          </cell>
          <cell r="G246">
            <v>249764.78</v>
          </cell>
        </row>
        <row r="247">
          <cell r="B247">
            <v>41136</v>
          </cell>
          <cell r="C247" t="str">
            <v>Assistência Médica e  Odontológica</v>
          </cell>
          <cell r="D247">
            <v>281327.40000000002</v>
          </cell>
          <cell r="E247">
            <v>298380.42</v>
          </cell>
          <cell r="F247">
            <v>-1142.4000000000001</v>
          </cell>
          <cell r="G247">
            <v>578565.42000000004</v>
          </cell>
        </row>
        <row r="248">
          <cell r="B248">
            <v>411310</v>
          </cell>
          <cell r="C248" t="str">
            <v>Vale Cultura</v>
          </cell>
          <cell r="D248">
            <v>1314</v>
          </cell>
          <cell r="E248">
            <v>1950</v>
          </cell>
          <cell r="F248">
            <v>-684</v>
          </cell>
          <cell r="G248">
            <v>2580</v>
          </cell>
        </row>
        <row r="249">
          <cell r="B249">
            <v>411311</v>
          </cell>
          <cell r="C249" t="str">
            <v>Saúde Ocupacional</v>
          </cell>
          <cell r="D249">
            <v>5237.24</v>
          </cell>
          <cell r="E249">
            <v>4347.38</v>
          </cell>
          <cell r="F249">
            <v>-66.14</v>
          </cell>
          <cell r="G249">
            <v>9518.48</v>
          </cell>
        </row>
        <row r="250">
          <cell r="B250">
            <v>413</v>
          </cell>
          <cell r="C250" t="str">
            <v>Custos c/ Serviços de Terceiros - Serv.</v>
          </cell>
          <cell r="D250">
            <v>1577392.48</v>
          </cell>
          <cell r="E250">
            <v>1800125.39</v>
          </cell>
          <cell r="F250">
            <v>-30447.52</v>
          </cell>
          <cell r="G250">
            <v>3347070.35</v>
          </cell>
        </row>
        <row r="251">
          <cell r="B251">
            <v>4131</v>
          </cell>
          <cell r="C251" t="str">
            <v>Serviços de Terceiros Nacionais</v>
          </cell>
          <cell r="D251">
            <v>1577392.48</v>
          </cell>
          <cell r="E251">
            <v>1800125.39</v>
          </cell>
          <cell r="F251">
            <v>-30447.52</v>
          </cell>
          <cell r="G251">
            <v>3347070.35</v>
          </cell>
        </row>
        <row r="252">
          <cell r="B252">
            <v>41311</v>
          </cell>
          <cell r="C252" t="str">
            <v>Serviços de Consultoria</v>
          </cell>
          <cell r="D252">
            <v>1095508.6599999999</v>
          </cell>
          <cell r="E252">
            <v>1241618.07</v>
          </cell>
          <cell r="F252">
            <v>0</v>
          </cell>
          <cell r="G252">
            <v>2337126.73</v>
          </cell>
        </row>
        <row r="253">
          <cell r="B253">
            <v>41312</v>
          </cell>
          <cell r="C253" t="str">
            <v>Serviços de Apoio Técnico e/ou Administrativo</v>
          </cell>
          <cell r="D253">
            <v>174972.58</v>
          </cell>
          <cell r="E253">
            <v>206500.42</v>
          </cell>
          <cell r="F253">
            <v>-25400.65</v>
          </cell>
          <cell r="G253">
            <v>356072.35</v>
          </cell>
        </row>
        <row r="254">
          <cell r="B254">
            <v>41313</v>
          </cell>
          <cell r="C254" t="str">
            <v>Cessão ou Requisição de Pessoal</v>
          </cell>
          <cell r="D254">
            <v>51735.89</v>
          </cell>
          <cell r="E254">
            <v>37678.6</v>
          </cell>
          <cell r="F254">
            <v>-1070.99</v>
          </cell>
          <cell r="G254">
            <v>88343.5</v>
          </cell>
        </row>
        <row r="255">
          <cell r="B255">
            <v>41315</v>
          </cell>
          <cell r="C255" t="str">
            <v>Cursos, Seminários e Convenções</v>
          </cell>
          <cell r="D255">
            <v>159720.84</v>
          </cell>
          <cell r="E255">
            <v>150072.20000000001</v>
          </cell>
          <cell r="F255">
            <v>-3975.88</v>
          </cell>
          <cell r="G255">
            <v>305817.15999999997</v>
          </cell>
        </row>
        <row r="256">
          <cell r="B256">
            <v>413114</v>
          </cell>
          <cell r="C256" t="str">
            <v>Cessão Temporária e Manutenção de Softwa</v>
          </cell>
          <cell r="D256">
            <v>29854.18</v>
          </cell>
          <cell r="E256">
            <v>86091.42</v>
          </cell>
          <cell r="F256">
            <v>0</v>
          </cell>
          <cell r="G256">
            <v>115945.60000000001</v>
          </cell>
        </row>
        <row r="257">
          <cell r="B257">
            <v>413117</v>
          </cell>
          <cell r="C257" t="str">
            <v>Custos com Estagiarios</v>
          </cell>
          <cell r="D257">
            <v>61895.24</v>
          </cell>
          <cell r="E257">
            <v>73759.460000000006</v>
          </cell>
          <cell r="F257">
            <v>0</v>
          </cell>
          <cell r="G257">
            <v>135654.70000000001</v>
          </cell>
        </row>
        <row r="258">
          <cell r="B258">
            <v>4131997</v>
          </cell>
          <cell r="C258" t="str">
            <v>Serviço Prestado PF</v>
          </cell>
          <cell r="D258">
            <v>3705.09</v>
          </cell>
          <cell r="E258">
            <v>4405.22</v>
          </cell>
          <cell r="F258">
            <v>0</v>
          </cell>
          <cell r="G258">
            <v>8110.31</v>
          </cell>
        </row>
        <row r="259">
          <cell r="B259">
            <v>414</v>
          </cell>
          <cell r="C259" t="str">
            <v>Custos c/ Tributos - Serviços</v>
          </cell>
          <cell r="D259">
            <v>79632.39</v>
          </cell>
          <cell r="E259">
            <v>70442.429999999993</v>
          </cell>
          <cell r="F259">
            <v>0</v>
          </cell>
          <cell r="G259">
            <v>150074.82</v>
          </cell>
        </row>
        <row r="260">
          <cell r="B260">
            <v>4141</v>
          </cell>
          <cell r="C260" t="str">
            <v>Impostos, Taxas e Contribuições</v>
          </cell>
          <cell r="D260">
            <v>79632.39</v>
          </cell>
          <cell r="E260">
            <v>70442.429999999993</v>
          </cell>
          <cell r="F260">
            <v>0</v>
          </cell>
          <cell r="G260">
            <v>150074.82</v>
          </cell>
        </row>
        <row r="261">
          <cell r="B261">
            <v>41412</v>
          </cell>
          <cell r="C261" t="str">
            <v>IPTU</v>
          </cell>
          <cell r="D261">
            <v>68894.23</v>
          </cell>
          <cell r="E261">
            <v>70442.429999999993</v>
          </cell>
          <cell r="F261">
            <v>0</v>
          </cell>
          <cell r="G261">
            <v>139336.66</v>
          </cell>
        </row>
        <row r="262">
          <cell r="B262">
            <v>41418</v>
          </cell>
          <cell r="C262" t="str">
            <v>Taxas Estaduais</v>
          </cell>
          <cell r="D262">
            <v>10738.16</v>
          </cell>
          <cell r="E262">
            <v>0</v>
          </cell>
          <cell r="F262">
            <v>0</v>
          </cell>
          <cell r="G262">
            <v>10738.16</v>
          </cell>
        </row>
        <row r="263">
          <cell r="B263">
            <v>416</v>
          </cell>
          <cell r="C263" t="str">
            <v>Custos Gerais - Serviços</v>
          </cell>
          <cell r="D263">
            <v>1569804.33</v>
          </cell>
          <cell r="E263">
            <v>2115060.63</v>
          </cell>
          <cell r="F263">
            <v>-5440.8</v>
          </cell>
          <cell r="G263">
            <v>3679424.16</v>
          </cell>
        </row>
        <row r="264">
          <cell r="B264">
            <v>4161</v>
          </cell>
          <cell r="C264" t="str">
            <v>Custos de Funcionamento das Instalações</v>
          </cell>
          <cell r="D264">
            <v>940764.58</v>
          </cell>
          <cell r="E264">
            <v>1053073.1399999999</v>
          </cell>
          <cell r="F264">
            <v>-1625.58</v>
          </cell>
          <cell r="G264">
            <v>1992212.14</v>
          </cell>
        </row>
        <row r="265">
          <cell r="B265">
            <v>41611</v>
          </cell>
          <cell r="C265" t="str">
            <v>Aluguéis</v>
          </cell>
          <cell r="D265">
            <v>437493.66</v>
          </cell>
          <cell r="E265">
            <v>437493.66</v>
          </cell>
          <cell r="F265">
            <v>0</v>
          </cell>
          <cell r="G265">
            <v>874987.32</v>
          </cell>
        </row>
        <row r="266">
          <cell r="B266">
            <v>41614</v>
          </cell>
          <cell r="C266" t="str">
            <v>Energia Elétrica</v>
          </cell>
          <cell r="D266">
            <v>137416.79999999999</v>
          </cell>
          <cell r="E266">
            <v>183541.64</v>
          </cell>
          <cell r="F266">
            <v>0</v>
          </cell>
          <cell r="G266">
            <v>320958.44</v>
          </cell>
        </row>
        <row r="267">
          <cell r="B267">
            <v>41616</v>
          </cell>
          <cell r="C267" t="str">
            <v>Telecomunicações</v>
          </cell>
          <cell r="D267">
            <v>5967.83</v>
          </cell>
          <cell r="E267">
            <v>11764.2</v>
          </cell>
          <cell r="F267">
            <v>-1625.58</v>
          </cell>
          <cell r="G267">
            <v>16106.45</v>
          </cell>
        </row>
        <row r="268">
          <cell r="B268">
            <v>416110</v>
          </cell>
          <cell r="C268" t="str">
            <v>Conduções e Lanches</v>
          </cell>
          <cell r="D268">
            <v>0</v>
          </cell>
          <cell r="E268">
            <v>52.87</v>
          </cell>
          <cell r="F268">
            <v>0</v>
          </cell>
          <cell r="G268">
            <v>52.87</v>
          </cell>
        </row>
        <row r="269">
          <cell r="B269">
            <v>416112</v>
          </cell>
          <cell r="C269" t="str">
            <v>Alugueis de Móveis, Máquinas e Equip.</v>
          </cell>
          <cell r="D269">
            <v>1060.0999999999999</v>
          </cell>
          <cell r="E269">
            <v>1060.1099999999999</v>
          </cell>
          <cell r="F269">
            <v>0</v>
          </cell>
          <cell r="G269">
            <v>2120.21</v>
          </cell>
        </row>
        <row r="270">
          <cell r="B270">
            <v>416114</v>
          </cell>
          <cell r="C270" t="str">
            <v>Serviço de Limpeza e Higiene</v>
          </cell>
          <cell r="D270">
            <v>87676.76</v>
          </cell>
          <cell r="E270">
            <v>117538.44</v>
          </cell>
          <cell r="F270">
            <v>0</v>
          </cell>
          <cell r="G270">
            <v>205215.2</v>
          </cell>
        </row>
        <row r="271">
          <cell r="B271">
            <v>416115</v>
          </cell>
          <cell r="C271" t="str">
            <v>Serviços Gerais</v>
          </cell>
          <cell r="D271">
            <v>57613.440000000002</v>
          </cell>
          <cell r="E271">
            <v>82763.77</v>
          </cell>
          <cell r="F271">
            <v>0</v>
          </cell>
          <cell r="G271">
            <v>140377.21</v>
          </cell>
        </row>
        <row r="272">
          <cell r="B272">
            <v>416116</v>
          </cell>
          <cell r="C272" t="str">
            <v>Condomínios</v>
          </cell>
          <cell r="D272">
            <v>213535.99</v>
          </cell>
          <cell r="E272">
            <v>218858.45</v>
          </cell>
          <cell r="F272">
            <v>0</v>
          </cell>
          <cell r="G272">
            <v>432394.44</v>
          </cell>
        </row>
        <row r="273">
          <cell r="B273">
            <v>4162</v>
          </cell>
          <cell r="C273" t="str">
            <v>Custos Gerais da Administração</v>
          </cell>
          <cell r="D273">
            <v>629039.75</v>
          </cell>
          <cell r="E273">
            <v>1061987.49</v>
          </cell>
          <cell r="F273">
            <v>-3815.22</v>
          </cell>
          <cell r="G273">
            <v>1687212.02</v>
          </cell>
        </row>
        <row r="274">
          <cell r="B274">
            <v>41621</v>
          </cell>
          <cell r="C274" t="str">
            <v>Honorários da Diretoria</v>
          </cell>
          <cell r="D274">
            <v>212412.99</v>
          </cell>
          <cell r="E274">
            <v>243759.65</v>
          </cell>
          <cell r="F274">
            <v>0</v>
          </cell>
          <cell r="G274">
            <v>456172.64</v>
          </cell>
        </row>
        <row r="275">
          <cell r="B275">
            <v>41622</v>
          </cell>
          <cell r="C275" t="str">
            <v>Honorários Conselhos de Adm. e Fiscal</v>
          </cell>
          <cell r="D275">
            <v>0</v>
          </cell>
          <cell r="E275">
            <v>3815.22</v>
          </cell>
          <cell r="F275">
            <v>-3815.22</v>
          </cell>
          <cell r="G275">
            <v>0</v>
          </cell>
        </row>
        <row r="276">
          <cell r="B276">
            <v>41624</v>
          </cell>
          <cell r="C276" t="str">
            <v>Custos de Viagens - Passagens Aéreas</v>
          </cell>
          <cell r="D276">
            <v>28513.279999999999</v>
          </cell>
          <cell r="E276">
            <v>230585.16</v>
          </cell>
          <cell r="F276">
            <v>0</v>
          </cell>
          <cell r="G276">
            <v>259098.44</v>
          </cell>
        </row>
        <row r="277">
          <cell r="B277">
            <v>41625</v>
          </cell>
          <cell r="C277" t="str">
            <v>Custos de Viagens - Hospedagens</v>
          </cell>
          <cell r="D277">
            <v>1253.04</v>
          </cell>
          <cell r="E277">
            <v>0</v>
          </cell>
          <cell r="F277">
            <v>0</v>
          </cell>
          <cell r="G277">
            <v>1253.04</v>
          </cell>
        </row>
        <row r="278">
          <cell r="B278">
            <v>41626</v>
          </cell>
          <cell r="C278" t="str">
            <v>Custos de Viagens - Outros</v>
          </cell>
          <cell r="D278">
            <v>3187.89</v>
          </cell>
          <cell r="E278">
            <v>92414.26</v>
          </cell>
          <cell r="F278">
            <v>0</v>
          </cell>
          <cell r="G278">
            <v>95602.15</v>
          </cell>
        </row>
        <row r="279">
          <cell r="B279">
            <v>41627</v>
          </cell>
          <cell r="C279" t="str">
            <v>Assinatura Banco de Dados e Portais</v>
          </cell>
          <cell r="D279">
            <v>330971.86</v>
          </cell>
          <cell r="E279">
            <v>386542.92</v>
          </cell>
          <cell r="F279">
            <v>0</v>
          </cell>
          <cell r="G279">
            <v>717514.78</v>
          </cell>
        </row>
        <row r="280">
          <cell r="B280">
            <v>416210</v>
          </cell>
          <cell r="C280" t="str">
            <v>Custo de Viagem ao Exterior</v>
          </cell>
          <cell r="D280">
            <v>52700.69</v>
          </cell>
          <cell r="E280">
            <v>104870.28</v>
          </cell>
          <cell r="F280">
            <v>0</v>
          </cell>
          <cell r="G280">
            <v>157570.97</v>
          </cell>
        </row>
        <row r="281">
          <cell r="B281">
            <v>42</v>
          </cell>
          <cell r="C281" t="str">
            <v>Despesas</v>
          </cell>
          <cell r="D281">
            <v>10234649.210000001</v>
          </cell>
          <cell r="E281">
            <v>12423067.689999999</v>
          </cell>
          <cell r="F281">
            <v>-1166239.21</v>
          </cell>
          <cell r="G281">
            <v>21491477.690000001</v>
          </cell>
        </row>
        <row r="282">
          <cell r="B282">
            <v>421</v>
          </cell>
          <cell r="C282" t="str">
            <v>Despesas com Pessoal</v>
          </cell>
          <cell r="D282">
            <v>5818575.9800000004</v>
          </cell>
          <cell r="E282">
            <v>6991231.2000000002</v>
          </cell>
          <cell r="F282">
            <v>-60314.73</v>
          </cell>
          <cell r="G282">
            <v>12749492.449999999</v>
          </cell>
        </row>
        <row r="283">
          <cell r="B283">
            <v>4211</v>
          </cell>
          <cell r="C283" t="str">
            <v>Remunerações</v>
          </cell>
          <cell r="D283">
            <v>3987790.15</v>
          </cell>
          <cell r="E283">
            <v>4815144.7</v>
          </cell>
          <cell r="F283">
            <v>-39229.07</v>
          </cell>
          <cell r="G283">
            <v>8763705.7799999993</v>
          </cell>
        </row>
        <row r="284">
          <cell r="B284">
            <v>42111</v>
          </cell>
          <cell r="C284" t="str">
            <v>Salários</v>
          </cell>
          <cell r="D284">
            <v>3276477.31</v>
          </cell>
          <cell r="E284">
            <v>3736418.22</v>
          </cell>
          <cell r="F284">
            <v>-13.19</v>
          </cell>
          <cell r="G284">
            <v>7012882.3399999999</v>
          </cell>
        </row>
        <row r="285">
          <cell r="B285">
            <v>42117</v>
          </cell>
          <cell r="C285" t="str">
            <v>Provisão de Férias e Encargos Sociais</v>
          </cell>
          <cell r="D285">
            <v>322118.14</v>
          </cell>
          <cell r="E285">
            <v>649676.03</v>
          </cell>
          <cell r="F285">
            <v>-39215.879999999997</v>
          </cell>
          <cell r="G285">
            <v>932578.29</v>
          </cell>
        </row>
        <row r="286">
          <cell r="B286">
            <v>42118</v>
          </cell>
          <cell r="C286" t="str">
            <v>Abono Pecuniário de Férias</v>
          </cell>
          <cell r="D286">
            <v>84904.12</v>
          </cell>
          <cell r="E286">
            <v>44272.81</v>
          </cell>
          <cell r="F286">
            <v>0</v>
          </cell>
          <cell r="G286">
            <v>129176.93</v>
          </cell>
        </row>
        <row r="287">
          <cell r="B287">
            <v>42119</v>
          </cell>
          <cell r="C287" t="str">
            <v>Provisão de 13º Salários e Encargos</v>
          </cell>
          <cell r="D287">
            <v>304290.58</v>
          </cell>
          <cell r="E287">
            <v>363863.66</v>
          </cell>
          <cell r="F287">
            <v>0</v>
          </cell>
          <cell r="G287">
            <v>668154.24</v>
          </cell>
        </row>
        <row r="288">
          <cell r="B288">
            <v>421110</v>
          </cell>
          <cell r="C288" t="str">
            <v>Salario Maternidade - Prorrogação</v>
          </cell>
          <cell r="D288">
            <v>0</v>
          </cell>
          <cell r="E288">
            <v>20913.98</v>
          </cell>
          <cell r="F288">
            <v>0</v>
          </cell>
          <cell r="G288">
            <v>20913.98</v>
          </cell>
        </row>
        <row r="289">
          <cell r="B289">
            <v>4212</v>
          </cell>
          <cell r="C289" t="str">
            <v>Encargos Sociais</v>
          </cell>
          <cell r="D289">
            <v>1186323.58</v>
          </cell>
          <cell r="E289">
            <v>1461431.95</v>
          </cell>
          <cell r="F289">
            <v>-12685.78</v>
          </cell>
          <cell r="G289">
            <v>2635069.75</v>
          </cell>
        </row>
        <row r="290">
          <cell r="B290">
            <v>42121</v>
          </cell>
          <cell r="C290" t="str">
            <v>INSS</v>
          </cell>
          <cell r="D290">
            <v>732468.62</v>
          </cell>
          <cell r="E290">
            <v>848710.63</v>
          </cell>
          <cell r="F290">
            <v>0</v>
          </cell>
          <cell r="G290">
            <v>1581179.25</v>
          </cell>
        </row>
        <row r="291">
          <cell r="B291">
            <v>42122</v>
          </cell>
          <cell r="C291" t="str">
            <v>FGTS</v>
          </cell>
          <cell r="D291">
            <v>275871.73</v>
          </cell>
          <cell r="E291">
            <v>321552.27</v>
          </cell>
          <cell r="F291">
            <v>-213.29</v>
          </cell>
          <cell r="G291">
            <v>597210.71</v>
          </cell>
        </row>
        <row r="292">
          <cell r="B292">
            <v>42124</v>
          </cell>
          <cell r="C292" t="str">
            <v>INSS s/ 13º Salário</v>
          </cell>
          <cell r="D292">
            <v>62690.879999999997</v>
          </cell>
          <cell r="E292">
            <v>74923.72</v>
          </cell>
          <cell r="F292">
            <v>0</v>
          </cell>
          <cell r="G292">
            <v>137614.6</v>
          </cell>
        </row>
        <row r="293">
          <cell r="B293">
            <v>42125</v>
          </cell>
          <cell r="C293" t="str">
            <v>INSS s/ Férias</v>
          </cell>
          <cell r="D293">
            <v>66032.789999999994</v>
          </cell>
          <cell r="E293">
            <v>136002.09</v>
          </cell>
          <cell r="F293">
            <v>-9031.7999999999993</v>
          </cell>
          <cell r="G293">
            <v>193003.08</v>
          </cell>
        </row>
        <row r="294">
          <cell r="B294">
            <v>42126</v>
          </cell>
          <cell r="C294" t="str">
            <v>FGTS s/ Férias</v>
          </cell>
          <cell r="D294">
            <v>25376.87</v>
          </cell>
          <cell r="E294">
            <v>51683.07</v>
          </cell>
          <cell r="F294">
            <v>-3440.69</v>
          </cell>
          <cell r="G294">
            <v>73619.25</v>
          </cell>
        </row>
        <row r="295">
          <cell r="B295">
            <v>42127</v>
          </cell>
          <cell r="C295" t="str">
            <v>FGTS s/ 13º Salário</v>
          </cell>
          <cell r="D295">
            <v>23882.69</v>
          </cell>
          <cell r="E295">
            <v>28560.17</v>
          </cell>
          <cell r="F295">
            <v>0</v>
          </cell>
          <cell r="G295">
            <v>52442.86</v>
          </cell>
        </row>
        <row r="296">
          <cell r="B296">
            <v>4213</v>
          </cell>
          <cell r="C296" t="str">
            <v>Benefícios</v>
          </cell>
          <cell r="D296">
            <v>644462.25</v>
          </cell>
          <cell r="E296">
            <v>714654.55</v>
          </cell>
          <cell r="F296">
            <v>-8399.8799999999992</v>
          </cell>
          <cell r="G296">
            <v>1350716.92</v>
          </cell>
        </row>
        <row r="297">
          <cell r="B297">
            <v>42131</v>
          </cell>
          <cell r="C297" t="str">
            <v>Previdência Privada Complementar</v>
          </cell>
          <cell r="D297">
            <v>267152.98</v>
          </cell>
          <cell r="E297">
            <v>312243.19</v>
          </cell>
          <cell r="F297">
            <v>0</v>
          </cell>
          <cell r="G297">
            <v>579396.17000000004</v>
          </cell>
        </row>
        <row r="298">
          <cell r="B298">
            <v>42132</v>
          </cell>
          <cell r="C298" t="str">
            <v>Auxílio Alimentação</v>
          </cell>
          <cell r="D298">
            <v>202659.04</v>
          </cell>
          <cell r="E298">
            <v>201831.88</v>
          </cell>
          <cell r="F298">
            <v>0</v>
          </cell>
          <cell r="G298">
            <v>404490.92</v>
          </cell>
        </row>
        <row r="299">
          <cell r="B299">
            <v>42133</v>
          </cell>
          <cell r="C299" t="str">
            <v>Auxílio Transporte</v>
          </cell>
          <cell r="D299">
            <v>0</v>
          </cell>
          <cell r="E299">
            <v>17455.16</v>
          </cell>
          <cell r="F299">
            <v>-7297.29</v>
          </cell>
          <cell r="G299">
            <v>10157.870000000001</v>
          </cell>
        </row>
        <row r="300">
          <cell r="B300">
            <v>42134</v>
          </cell>
          <cell r="C300" t="str">
            <v>Auxílio Moradia</v>
          </cell>
          <cell r="D300">
            <v>11700</v>
          </cell>
          <cell r="E300">
            <v>11700</v>
          </cell>
          <cell r="F300">
            <v>0</v>
          </cell>
          <cell r="G300">
            <v>23400</v>
          </cell>
        </row>
        <row r="301">
          <cell r="B301">
            <v>42135</v>
          </cell>
          <cell r="C301" t="str">
            <v>Auxílio Creche</v>
          </cell>
          <cell r="D301">
            <v>37068.93</v>
          </cell>
          <cell r="E301">
            <v>37906.910000000003</v>
          </cell>
          <cell r="F301">
            <v>-650.27</v>
          </cell>
          <cell r="G301">
            <v>74325.570000000007</v>
          </cell>
        </row>
        <row r="302">
          <cell r="B302">
            <v>42136</v>
          </cell>
          <cell r="C302" t="str">
            <v>Assistência Médica e  Odontológica</v>
          </cell>
          <cell r="D302">
            <v>113474.99</v>
          </cell>
          <cell r="E302">
            <v>121068.39</v>
          </cell>
          <cell r="F302">
            <v>0</v>
          </cell>
          <cell r="G302">
            <v>234543.38</v>
          </cell>
        </row>
        <row r="303">
          <cell r="B303">
            <v>421310</v>
          </cell>
          <cell r="C303" t="str">
            <v>Vale Cultura</v>
          </cell>
          <cell r="D303">
            <v>1989</v>
          </cell>
          <cell r="E303">
            <v>2400</v>
          </cell>
          <cell r="F303">
            <v>-425</v>
          </cell>
          <cell r="G303">
            <v>3964</v>
          </cell>
        </row>
        <row r="304">
          <cell r="B304">
            <v>421311</v>
          </cell>
          <cell r="C304" t="str">
            <v>Saúde Ocupacional</v>
          </cell>
          <cell r="D304">
            <v>10417.31</v>
          </cell>
          <cell r="E304">
            <v>10049.02</v>
          </cell>
          <cell r="F304">
            <v>-27.32</v>
          </cell>
          <cell r="G304">
            <v>20439.009999999998</v>
          </cell>
        </row>
        <row r="305">
          <cell r="B305">
            <v>422</v>
          </cell>
          <cell r="C305" t="str">
            <v>Despesas Com Materiais</v>
          </cell>
          <cell r="D305">
            <v>7666.05</v>
          </cell>
          <cell r="E305">
            <v>150636.64000000001</v>
          </cell>
          <cell r="F305">
            <v>-44940</v>
          </cell>
          <cell r="G305">
            <v>113362.69</v>
          </cell>
        </row>
        <row r="306">
          <cell r="B306">
            <v>4221</v>
          </cell>
          <cell r="C306" t="str">
            <v>Despesas com Materiais Nacionais</v>
          </cell>
          <cell r="D306">
            <v>7666.05</v>
          </cell>
          <cell r="E306">
            <v>150636.64000000001</v>
          </cell>
          <cell r="F306">
            <v>-44940</v>
          </cell>
          <cell r="G306">
            <v>113362.69</v>
          </cell>
        </row>
        <row r="307">
          <cell r="B307">
            <v>42211</v>
          </cell>
          <cell r="C307" t="str">
            <v>Materiais Adm. e de Expediente</v>
          </cell>
          <cell r="D307">
            <v>5598.05</v>
          </cell>
          <cell r="E307">
            <v>150636.64000000001</v>
          </cell>
          <cell r="F307">
            <v>-44940</v>
          </cell>
          <cell r="G307">
            <v>111294.69</v>
          </cell>
        </row>
        <row r="308">
          <cell r="B308">
            <v>42213</v>
          </cell>
          <cell r="C308" t="str">
            <v>Materiais e Equipamentos</v>
          </cell>
          <cell r="D308">
            <v>2068</v>
          </cell>
          <cell r="E308">
            <v>0</v>
          </cell>
          <cell r="F308">
            <v>0</v>
          </cell>
          <cell r="G308">
            <v>2068</v>
          </cell>
        </row>
        <row r="309">
          <cell r="B309">
            <v>423</v>
          </cell>
          <cell r="C309" t="str">
            <v>Desp.c/Serv. de Terceiros</v>
          </cell>
          <cell r="D309">
            <v>895735.95</v>
          </cell>
          <cell r="E309">
            <v>1583609.88</v>
          </cell>
          <cell r="F309">
            <v>-260276.26</v>
          </cell>
          <cell r="G309">
            <v>2219069.5699999998</v>
          </cell>
        </row>
        <row r="310">
          <cell r="B310">
            <v>4231</v>
          </cell>
          <cell r="C310" t="str">
            <v>Desp.c/Serv. de Terceiros - Nacionais</v>
          </cell>
          <cell r="D310">
            <v>895735.95</v>
          </cell>
          <cell r="E310">
            <v>1583609.88</v>
          </cell>
          <cell r="F310">
            <v>-260276.26</v>
          </cell>
          <cell r="G310">
            <v>2219069.5699999998</v>
          </cell>
        </row>
        <row r="311">
          <cell r="B311">
            <v>42311</v>
          </cell>
          <cell r="C311" t="str">
            <v>Serviços de Consultoria</v>
          </cell>
          <cell r="D311">
            <v>9921</v>
          </cell>
          <cell r="E311">
            <v>239275</v>
          </cell>
          <cell r="F311">
            <v>0</v>
          </cell>
          <cell r="G311">
            <v>249196</v>
          </cell>
        </row>
        <row r="312">
          <cell r="B312">
            <v>42312</v>
          </cell>
          <cell r="C312" t="str">
            <v>Serviços de Apoio Técnico e/ou Administrativo</v>
          </cell>
          <cell r="D312">
            <v>333343.24</v>
          </cell>
          <cell r="E312">
            <v>490431.88</v>
          </cell>
          <cell r="F312">
            <v>-50787.26</v>
          </cell>
          <cell r="G312">
            <v>772987.86</v>
          </cell>
        </row>
        <row r="313">
          <cell r="B313">
            <v>42313</v>
          </cell>
          <cell r="C313" t="str">
            <v>Cessão ou Requisição de Pessoal</v>
          </cell>
          <cell r="D313">
            <v>79548.39</v>
          </cell>
          <cell r="E313">
            <v>73210.59</v>
          </cell>
          <cell r="F313">
            <v>0</v>
          </cell>
          <cell r="G313">
            <v>152758.98000000001</v>
          </cell>
        </row>
        <row r="314">
          <cell r="B314">
            <v>42315</v>
          </cell>
          <cell r="C314" t="str">
            <v>Cursos, Seminários e Convenções</v>
          </cell>
          <cell r="D314">
            <v>37540.82</v>
          </cell>
          <cell r="E314">
            <v>136051.01</v>
          </cell>
          <cell r="F314">
            <v>0</v>
          </cell>
          <cell r="G314">
            <v>173591.83</v>
          </cell>
        </row>
        <row r="315">
          <cell r="B315">
            <v>42316</v>
          </cell>
          <cell r="C315" t="str">
            <v>Serviços de Processamentos de Dados</v>
          </cell>
          <cell r="D315">
            <v>97533.89</v>
          </cell>
          <cell r="E315">
            <v>99315.63</v>
          </cell>
          <cell r="F315">
            <v>0</v>
          </cell>
          <cell r="G315">
            <v>196849.52</v>
          </cell>
        </row>
        <row r="316">
          <cell r="B316">
            <v>42317</v>
          </cell>
          <cell r="C316" t="str">
            <v>Serviços Manut. Equipamentos Informática</v>
          </cell>
          <cell r="D316">
            <v>187603.05</v>
          </cell>
          <cell r="E316">
            <v>192673.35</v>
          </cell>
          <cell r="F316">
            <v>-208600</v>
          </cell>
          <cell r="G316">
            <v>171676.4</v>
          </cell>
        </row>
        <row r="317">
          <cell r="B317">
            <v>42318</v>
          </cell>
          <cell r="C317" t="str">
            <v>Serv. Tributários e Auditoria</v>
          </cell>
          <cell r="D317">
            <v>46604.99</v>
          </cell>
          <cell r="E317">
            <v>57666.34</v>
          </cell>
          <cell r="F317">
            <v>0</v>
          </cell>
          <cell r="G317">
            <v>104271.33</v>
          </cell>
        </row>
        <row r="318">
          <cell r="B318">
            <v>423111</v>
          </cell>
          <cell r="C318" t="str">
            <v>Serviços de Reforma das Instalações</v>
          </cell>
          <cell r="D318">
            <v>0</v>
          </cell>
          <cell r="E318">
            <v>11753.5</v>
          </cell>
          <cell r="F318">
            <v>0</v>
          </cell>
          <cell r="G318">
            <v>11753.5</v>
          </cell>
        </row>
        <row r="319">
          <cell r="B319">
            <v>423114</v>
          </cell>
          <cell r="C319" t="str">
            <v>Cessão Temporária e Manut. de Software</v>
          </cell>
          <cell r="D319">
            <v>51807.46</v>
          </cell>
          <cell r="E319">
            <v>213466.66</v>
          </cell>
          <cell r="F319">
            <v>-889</v>
          </cell>
          <cell r="G319">
            <v>264385.12</v>
          </cell>
        </row>
        <row r="320">
          <cell r="B320">
            <v>423117</v>
          </cell>
          <cell r="C320" t="str">
            <v>Despesas com Estagiarios</v>
          </cell>
          <cell r="D320">
            <v>42472.26</v>
          </cell>
          <cell r="E320">
            <v>60969.11</v>
          </cell>
          <cell r="F320">
            <v>0</v>
          </cell>
          <cell r="G320">
            <v>103441.37</v>
          </cell>
        </row>
        <row r="321">
          <cell r="B321">
            <v>423119</v>
          </cell>
          <cell r="C321" t="str">
            <v>Despesas com Jovem Aprendiz</v>
          </cell>
          <cell r="D321">
            <v>9360.85</v>
          </cell>
          <cell r="E321">
            <v>8796.81</v>
          </cell>
          <cell r="F321">
            <v>0</v>
          </cell>
          <cell r="G321">
            <v>18157.66</v>
          </cell>
        </row>
        <row r="322">
          <cell r="B322">
            <v>424</v>
          </cell>
          <cell r="C322" t="str">
            <v>Desp.c/Tributos</v>
          </cell>
          <cell r="D322">
            <v>73644.539999999994</v>
          </cell>
          <cell r="E322">
            <v>374519.21</v>
          </cell>
          <cell r="F322">
            <v>0</v>
          </cell>
          <cell r="G322">
            <v>448163.75</v>
          </cell>
        </row>
        <row r="323">
          <cell r="B323">
            <v>4241</v>
          </cell>
          <cell r="C323" t="str">
            <v>Desp.c/Tributos-Imp.,Txs e Contribuições</v>
          </cell>
          <cell r="D323">
            <v>73644.539999999994</v>
          </cell>
          <cell r="E323">
            <v>374519.21</v>
          </cell>
          <cell r="F323">
            <v>0</v>
          </cell>
          <cell r="G323">
            <v>448163.75</v>
          </cell>
        </row>
        <row r="324">
          <cell r="B324">
            <v>42412</v>
          </cell>
          <cell r="C324" t="str">
            <v>IPTU</v>
          </cell>
          <cell r="D324">
            <v>28510.32</v>
          </cell>
          <cell r="E324">
            <v>29151</v>
          </cell>
          <cell r="F324">
            <v>0</v>
          </cell>
          <cell r="G324">
            <v>57661.32</v>
          </cell>
        </row>
        <row r="325">
          <cell r="B325">
            <v>42415</v>
          </cell>
          <cell r="C325" t="str">
            <v>PIS s/ Outras Receitas</v>
          </cell>
          <cell r="D325">
            <v>6899.04</v>
          </cell>
          <cell r="E325">
            <v>59834.25</v>
          </cell>
          <cell r="F325">
            <v>0</v>
          </cell>
          <cell r="G325">
            <v>66733.289999999994</v>
          </cell>
        </row>
        <row r="326">
          <cell r="B326">
            <v>42416</v>
          </cell>
          <cell r="C326" t="str">
            <v>COFINS s/ outras Receitas</v>
          </cell>
          <cell r="D326">
            <v>32948.879999999997</v>
          </cell>
          <cell r="E326">
            <v>281645.31</v>
          </cell>
          <cell r="F326">
            <v>0</v>
          </cell>
          <cell r="G326">
            <v>314594.19</v>
          </cell>
        </row>
        <row r="327">
          <cell r="B327">
            <v>42418</v>
          </cell>
          <cell r="C327" t="str">
            <v>Outros Impostos e Taxas</v>
          </cell>
          <cell r="D327">
            <v>317.56</v>
          </cell>
          <cell r="E327">
            <v>0</v>
          </cell>
          <cell r="F327">
            <v>0</v>
          </cell>
          <cell r="G327">
            <v>317.56</v>
          </cell>
        </row>
        <row r="328">
          <cell r="B328">
            <v>424112</v>
          </cell>
          <cell r="C328" t="str">
            <v>Taxas Estaduais</v>
          </cell>
          <cell r="D328">
            <v>4968.74</v>
          </cell>
          <cell r="E328">
            <v>3888.65</v>
          </cell>
          <cell r="F328">
            <v>0</v>
          </cell>
          <cell r="G328">
            <v>8857.39</v>
          </cell>
        </row>
        <row r="329">
          <cell r="B329">
            <v>425</v>
          </cell>
          <cell r="C329" t="str">
            <v>Despesas com Provisôes</v>
          </cell>
          <cell r="D329">
            <v>758501.97</v>
          </cell>
          <cell r="E329">
            <v>355974.46</v>
          </cell>
          <cell r="F329">
            <v>-799965.06</v>
          </cell>
          <cell r="G329">
            <v>314511.37</v>
          </cell>
        </row>
        <row r="330">
          <cell r="B330">
            <v>4251</v>
          </cell>
          <cell r="C330" t="str">
            <v>Imposto de Renda</v>
          </cell>
          <cell r="D330">
            <v>414622.83</v>
          </cell>
          <cell r="E330">
            <v>253821.66</v>
          </cell>
          <cell r="F330">
            <v>-597612.79</v>
          </cell>
          <cell r="G330">
            <v>70831.7</v>
          </cell>
        </row>
        <row r="331">
          <cell r="B331">
            <v>42511</v>
          </cell>
          <cell r="C331" t="str">
            <v>Provisão p/ IRPJ</v>
          </cell>
          <cell r="D331">
            <v>414622.83</v>
          </cell>
          <cell r="E331">
            <v>253821.66</v>
          </cell>
          <cell r="F331">
            <v>-597612.79</v>
          </cell>
          <cell r="G331">
            <v>70831.7</v>
          </cell>
        </row>
        <row r="332">
          <cell r="B332">
            <v>4252</v>
          </cell>
          <cell r="C332" t="str">
            <v>Contribuição Social s/ Lucro Líquido</v>
          </cell>
          <cell r="D332">
            <v>165366.48000000001</v>
          </cell>
          <cell r="E332">
            <v>102152.8</v>
          </cell>
          <cell r="F332">
            <v>-202352.27</v>
          </cell>
          <cell r="G332">
            <v>65167.01</v>
          </cell>
        </row>
        <row r="333">
          <cell r="B333">
            <v>42521</v>
          </cell>
          <cell r="C333" t="str">
            <v>Provisão p/ CSLL</v>
          </cell>
          <cell r="D333">
            <v>165366.48000000001</v>
          </cell>
          <cell r="E333">
            <v>102152.8</v>
          </cell>
          <cell r="F333">
            <v>-202352.27</v>
          </cell>
          <cell r="G333">
            <v>65167.01</v>
          </cell>
        </row>
        <row r="334">
          <cell r="B334">
            <v>4254</v>
          </cell>
          <cell r="C334" t="str">
            <v>Despesas c/ Provisões - p/ Contingências</v>
          </cell>
          <cell r="D334">
            <v>178512.66</v>
          </cell>
          <cell r="E334">
            <v>0</v>
          </cell>
          <cell r="F334">
            <v>0</v>
          </cell>
          <cell r="G334">
            <v>178512.66</v>
          </cell>
        </row>
        <row r="335">
          <cell r="B335">
            <v>42541</v>
          </cell>
          <cell r="C335" t="str">
            <v>Provisões p/ Contingências Trabalhistas</v>
          </cell>
          <cell r="D335">
            <v>178512.66</v>
          </cell>
          <cell r="E335">
            <v>0</v>
          </cell>
          <cell r="F335">
            <v>0</v>
          </cell>
          <cell r="G335">
            <v>178512.66</v>
          </cell>
        </row>
        <row r="336">
          <cell r="B336">
            <v>426</v>
          </cell>
          <cell r="C336" t="str">
            <v>Despesas Gerais</v>
          </cell>
          <cell r="D336">
            <v>2096532.73</v>
          </cell>
          <cell r="E336">
            <v>2199181.31</v>
          </cell>
          <cell r="F336">
            <v>-672.71</v>
          </cell>
          <cell r="G336">
            <v>4295041.33</v>
          </cell>
        </row>
        <row r="337">
          <cell r="B337">
            <v>4261</v>
          </cell>
          <cell r="C337" t="str">
            <v>Desp. Gerais Funcionamento Instalações</v>
          </cell>
          <cell r="D337">
            <v>1199845.7</v>
          </cell>
          <cell r="E337">
            <v>1185244.43</v>
          </cell>
          <cell r="F337">
            <v>-672.71</v>
          </cell>
          <cell r="G337">
            <v>2384417.42</v>
          </cell>
        </row>
        <row r="338">
          <cell r="B338">
            <v>42611</v>
          </cell>
          <cell r="C338" t="str">
            <v>Aluguéis</v>
          </cell>
          <cell r="D338">
            <v>184305.51</v>
          </cell>
          <cell r="E338">
            <v>184416.25</v>
          </cell>
          <cell r="F338">
            <v>0</v>
          </cell>
          <cell r="G338">
            <v>368721.76</v>
          </cell>
        </row>
        <row r="339">
          <cell r="B339">
            <v>42613</v>
          </cell>
          <cell r="C339" t="str">
            <v>Manutenção e Reparos</v>
          </cell>
          <cell r="D339">
            <v>64315</v>
          </cell>
          <cell r="E339">
            <v>8400</v>
          </cell>
          <cell r="F339">
            <v>0</v>
          </cell>
          <cell r="G339">
            <v>72715</v>
          </cell>
        </row>
        <row r="340">
          <cell r="B340">
            <v>42614</v>
          </cell>
          <cell r="C340" t="str">
            <v>Energia Elétrica</v>
          </cell>
          <cell r="D340">
            <v>55866.17</v>
          </cell>
          <cell r="E340">
            <v>75954.8</v>
          </cell>
          <cell r="F340">
            <v>0</v>
          </cell>
          <cell r="G340">
            <v>131820.97</v>
          </cell>
        </row>
        <row r="341">
          <cell r="B341">
            <v>42616</v>
          </cell>
          <cell r="C341" t="str">
            <v>Telecomunicações</v>
          </cell>
          <cell r="D341">
            <v>2469.66</v>
          </cell>
          <cell r="E341">
            <v>5260.3</v>
          </cell>
          <cell r="F341">
            <v>-672.71</v>
          </cell>
          <cell r="G341">
            <v>7057.25</v>
          </cell>
        </row>
        <row r="342">
          <cell r="B342">
            <v>42617</v>
          </cell>
          <cell r="C342" t="str">
            <v>Correios e Malotes</v>
          </cell>
          <cell r="D342">
            <v>656.7</v>
          </cell>
          <cell r="E342">
            <v>0</v>
          </cell>
          <cell r="F342">
            <v>0</v>
          </cell>
          <cell r="G342">
            <v>656.7</v>
          </cell>
        </row>
        <row r="343">
          <cell r="B343">
            <v>42618</v>
          </cell>
          <cell r="C343" t="str">
            <v>Reproduções</v>
          </cell>
          <cell r="D343">
            <v>9204.7000000000007</v>
          </cell>
          <cell r="E343">
            <v>0</v>
          </cell>
          <cell r="F343">
            <v>0</v>
          </cell>
          <cell r="G343">
            <v>9204.7000000000007</v>
          </cell>
        </row>
        <row r="344">
          <cell r="B344">
            <v>426111</v>
          </cell>
          <cell r="C344" t="str">
            <v>Depreciação e Amortização</v>
          </cell>
          <cell r="D344">
            <v>734098.65</v>
          </cell>
          <cell r="E344">
            <v>737314.28</v>
          </cell>
          <cell r="F344">
            <v>0</v>
          </cell>
          <cell r="G344">
            <v>1471412.93</v>
          </cell>
        </row>
        <row r="345">
          <cell r="B345">
            <v>426112</v>
          </cell>
          <cell r="C345" t="str">
            <v>Alugueis de Móveis, Máquinas e Equip.</v>
          </cell>
          <cell r="D345">
            <v>438.7</v>
          </cell>
          <cell r="E345">
            <v>438.69</v>
          </cell>
          <cell r="F345">
            <v>0</v>
          </cell>
          <cell r="G345">
            <v>877.39</v>
          </cell>
        </row>
        <row r="346">
          <cell r="B346">
            <v>426114</v>
          </cell>
          <cell r="C346" t="str">
            <v>Serviço de Limpeza e Higiene</v>
          </cell>
          <cell r="D346">
            <v>36282.07</v>
          </cell>
          <cell r="E346">
            <v>48640.6</v>
          </cell>
          <cell r="F346">
            <v>0</v>
          </cell>
          <cell r="G346">
            <v>84922.67</v>
          </cell>
        </row>
        <row r="347">
          <cell r="B347">
            <v>426116</v>
          </cell>
          <cell r="C347" t="str">
            <v>Condomínios</v>
          </cell>
          <cell r="D347">
            <v>88367.01</v>
          </cell>
          <cell r="E347">
            <v>90569.58</v>
          </cell>
          <cell r="F347">
            <v>0</v>
          </cell>
          <cell r="G347">
            <v>178936.59</v>
          </cell>
        </row>
        <row r="348">
          <cell r="B348">
            <v>426117</v>
          </cell>
          <cell r="C348" t="str">
            <v>Serviços Gerais</v>
          </cell>
          <cell r="D348">
            <v>23841.53</v>
          </cell>
          <cell r="E348">
            <v>34249.93</v>
          </cell>
          <cell r="F348">
            <v>0</v>
          </cell>
          <cell r="G348">
            <v>58091.46</v>
          </cell>
        </row>
        <row r="349">
          <cell r="B349">
            <v>4262</v>
          </cell>
          <cell r="C349" t="str">
            <v>Despesas Gerais da Administração</v>
          </cell>
          <cell r="D349">
            <v>896687.03</v>
          </cell>
          <cell r="E349">
            <v>1013936.88</v>
          </cell>
          <cell r="F349">
            <v>0</v>
          </cell>
          <cell r="G349">
            <v>1910623.91</v>
          </cell>
        </row>
        <row r="350">
          <cell r="B350">
            <v>42621</v>
          </cell>
          <cell r="C350" t="str">
            <v>Honorários da Diretoria</v>
          </cell>
          <cell r="D350">
            <v>194892.78</v>
          </cell>
          <cell r="E350">
            <v>227374.92</v>
          </cell>
          <cell r="F350">
            <v>0</v>
          </cell>
          <cell r="G350">
            <v>422267.7</v>
          </cell>
        </row>
        <row r="351">
          <cell r="B351">
            <v>42622</v>
          </cell>
          <cell r="C351" t="str">
            <v>Honorários Conselhos de Adm. e Fiscal</v>
          </cell>
          <cell r="D351">
            <v>88243.03</v>
          </cell>
          <cell r="E351">
            <v>107703.83</v>
          </cell>
          <cell r="F351">
            <v>0</v>
          </cell>
          <cell r="G351">
            <v>195946.86</v>
          </cell>
        </row>
        <row r="352">
          <cell r="B352">
            <v>42624</v>
          </cell>
          <cell r="C352" t="str">
            <v>Despesas de Viagens - Passagens Aéreas</v>
          </cell>
          <cell r="D352">
            <v>63843.27</v>
          </cell>
          <cell r="E352">
            <v>101242.64</v>
          </cell>
          <cell r="F352">
            <v>0</v>
          </cell>
          <cell r="G352">
            <v>165085.91</v>
          </cell>
        </row>
        <row r="353">
          <cell r="B353">
            <v>42625</v>
          </cell>
          <cell r="C353" t="str">
            <v>Despesas de Viagens - Hospedagens</v>
          </cell>
          <cell r="D353">
            <v>2243.2199999999998</v>
          </cell>
          <cell r="E353">
            <v>0</v>
          </cell>
          <cell r="F353">
            <v>0</v>
          </cell>
          <cell r="G353">
            <v>2243.2199999999998</v>
          </cell>
        </row>
        <row r="354">
          <cell r="B354">
            <v>42626</v>
          </cell>
          <cell r="C354" t="str">
            <v>Despesas de Viagens - Outros</v>
          </cell>
          <cell r="D354">
            <v>897.22</v>
          </cell>
          <cell r="E354">
            <v>23107.62</v>
          </cell>
          <cell r="F354">
            <v>0</v>
          </cell>
          <cell r="G354">
            <v>24004.84</v>
          </cell>
        </row>
        <row r="355">
          <cell r="B355">
            <v>42627</v>
          </cell>
          <cell r="C355" t="str">
            <v>Assinaturas Banco de Dados e Portais</v>
          </cell>
          <cell r="D355">
            <v>365235.21</v>
          </cell>
          <cell r="E355">
            <v>460614.87</v>
          </cell>
          <cell r="F355">
            <v>0</v>
          </cell>
          <cell r="G355">
            <v>825850.08</v>
          </cell>
        </row>
        <row r="356">
          <cell r="B356">
            <v>42629</v>
          </cell>
          <cell r="C356" t="str">
            <v>Despesas Legais e Judiciais</v>
          </cell>
          <cell r="D356">
            <v>1658.32</v>
          </cell>
          <cell r="E356">
            <v>112.88</v>
          </cell>
          <cell r="F356">
            <v>0</v>
          </cell>
          <cell r="G356">
            <v>1771.2</v>
          </cell>
        </row>
        <row r="357">
          <cell r="B357">
            <v>426210</v>
          </cell>
          <cell r="C357" t="str">
            <v>Despesa de Viagem ao Exterior</v>
          </cell>
          <cell r="D357">
            <v>57777.03</v>
          </cell>
          <cell r="E357">
            <v>6224.31</v>
          </cell>
          <cell r="F357">
            <v>0</v>
          </cell>
          <cell r="G357">
            <v>64001.34</v>
          </cell>
        </row>
        <row r="358">
          <cell r="B358">
            <v>426213</v>
          </cell>
          <cell r="C358" t="str">
            <v>DESPESAS NÃO DEDUTIVEIS</v>
          </cell>
          <cell r="D358">
            <v>31031.3</v>
          </cell>
          <cell r="E358">
            <v>8529</v>
          </cell>
          <cell r="F358">
            <v>0</v>
          </cell>
          <cell r="G358">
            <v>39560.300000000003</v>
          </cell>
        </row>
        <row r="359">
          <cell r="B359">
            <v>426214</v>
          </cell>
          <cell r="C359" t="str">
            <v>Honorários Comite de Auditoria</v>
          </cell>
          <cell r="D359">
            <v>31670.1</v>
          </cell>
          <cell r="E359">
            <v>30497.14</v>
          </cell>
          <cell r="F359">
            <v>0</v>
          </cell>
          <cell r="G359">
            <v>62167.24</v>
          </cell>
        </row>
        <row r="360">
          <cell r="B360">
            <v>426215</v>
          </cell>
          <cell r="C360" t="str">
            <v>Seguro de Responsabilidade Cívil</v>
          </cell>
          <cell r="D360">
            <v>59195.55</v>
          </cell>
          <cell r="E360">
            <v>48529.67</v>
          </cell>
          <cell r="F360">
            <v>0</v>
          </cell>
          <cell r="G360">
            <v>107725.22</v>
          </cell>
        </row>
        <row r="361">
          <cell r="B361">
            <v>427</v>
          </cell>
          <cell r="C361" t="str">
            <v>Despesas Financeiras</v>
          </cell>
          <cell r="D361">
            <v>283991.99</v>
          </cell>
          <cell r="E361">
            <v>317914.99</v>
          </cell>
          <cell r="F361">
            <v>-70.45</v>
          </cell>
          <cell r="G361">
            <v>601836.53</v>
          </cell>
        </row>
        <row r="362">
          <cell r="B362">
            <v>42701</v>
          </cell>
          <cell r="C362" t="str">
            <v>Despesas Financeiras</v>
          </cell>
          <cell r="D362">
            <v>283991.99</v>
          </cell>
          <cell r="E362">
            <v>317914.99</v>
          </cell>
          <cell r="F362">
            <v>-70.45</v>
          </cell>
          <cell r="G362">
            <v>601836.53</v>
          </cell>
        </row>
        <row r="363">
          <cell r="B363">
            <v>42711</v>
          </cell>
          <cell r="C363" t="str">
            <v>Juros Pagos ou Incorridos</v>
          </cell>
          <cell r="D363">
            <v>3.15</v>
          </cell>
          <cell r="E363">
            <v>0</v>
          </cell>
          <cell r="F363">
            <v>0</v>
          </cell>
          <cell r="G363">
            <v>3.15</v>
          </cell>
        </row>
        <row r="364">
          <cell r="B364">
            <v>42720</v>
          </cell>
          <cell r="C364" t="str">
            <v>Prov. Contingências Variações Monetárias</v>
          </cell>
          <cell r="D364">
            <v>283988.84000000003</v>
          </cell>
          <cell r="E364">
            <v>317914.99</v>
          </cell>
          <cell r="F364">
            <v>-70.45</v>
          </cell>
          <cell r="G364">
            <v>601833.38</v>
          </cell>
        </row>
        <row r="365">
          <cell r="B365">
            <v>429</v>
          </cell>
          <cell r="C365" t="str">
            <v>Outras Despesas</v>
          </cell>
          <cell r="D365">
            <v>300000</v>
          </cell>
          <cell r="E365">
            <v>450000</v>
          </cell>
          <cell r="F365">
            <v>0</v>
          </cell>
          <cell r="G365">
            <v>750000</v>
          </cell>
        </row>
        <row r="366">
          <cell r="B366">
            <v>42910</v>
          </cell>
          <cell r="C366" t="str">
            <v>Despesas Concurso Público</v>
          </cell>
          <cell r="D366">
            <v>300000</v>
          </cell>
          <cell r="E366">
            <v>450000</v>
          </cell>
          <cell r="F366">
            <v>0</v>
          </cell>
          <cell r="G366">
            <v>750000</v>
          </cell>
        </row>
        <row r="367">
          <cell r="B367">
            <v>429101</v>
          </cell>
          <cell r="C367" t="str">
            <v>Despesa de Concurso Público</v>
          </cell>
          <cell r="D367">
            <v>300000</v>
          </cell>
          <cell r="E367">
            <v>450000</v>
          </cell>
          <cell r="F367">
            <v>0</v>
          </cell>
          <cell r="G367">
            <v>750000</v>
          </cell>
        </row>
        <row r="368">
          <cell r="B368">
            <v>5</v>
          </cell>
          <cell r="C368" t="str">
            <v>Resultado do Período</v>
          </cell>
          <cell r="D368">
            <v>-1055104.97</v>
          </cell>
          <cell r="E368">
            <v>3733895.49</v>
          </cell>
          <cell r="F368">
            <v>-2677740.44</v>
          </cell>
          <cell r="G368">
            <v>1050.08</v>
          </cell>
        </row>
        <row r="369">
          <cell r="B369">
            <v>51</v>
          </cell>
          <cell r="C369" t="str">
            <v>Resultado do Período</v>
          </cell>
          <cell r="D369">
            <v>-1055104.97</v>
          </cell>
          <cell r="E369">
            <v>3733895.49</v>
          </cell>
          <cell r="F369">
            <v>-2677740.44</v>
          </cell>
          <cell r="G369">
            <v>1050.08</v>
          </cell>
        </row>
        <row r="370">
          <cell r="B370">
            <v>511</v>
          </cell>
          <cell r="C370" t="str">
            <v>Lucro do Período</v>
          </cell>
          <cell r="D370">
            <v>1736883.03</v>
          </cell>
          <cell r="E370">
            <v>3733895.49</v>
          </cell>
          <cell r="F370">
            <v>0</v>
          </cell>
          <cell r="G370">
            <v>5470778.5199999996</v>
          </cell>
        </row>
        <row r="371">
          <cell r="B371">
            <v>5111</v>
          </cell>
          <cell r="C371" t="str">
            <v>Janeiro</v>
          </cell>
          <cell r="D371">
            <v>801472.64</v>
          </cell>
          <cell r="E371">
            <v>0</v>
          </cell>
          <cell r="F371">
            <v>0</v>
          </cell>
          <cell r="G371">
            <v>801472.64</v>
          </cell>
        </row>
        <row r="372">
          <cell r="B372">
            <v>5112</v>
          </cell>
          <cell r="C372" t="str">
            <v>Fevereiro</v>
          </cell>
          <cell r="D372">
            <v>935410.39</v>
          </cell>
          <cell r="E372">
            <v>0</v>
          </cell>
          <cell r="F372">
            <v>0</v>
          </cell>
          <cell r="G372">
            <v>935410.39</v>
          </cell>
        </row>
        <row r="373">
          <cell r="B373">
            <v>5114</v>
          </cell>
          <cell r="C373" t="str">
            <v>Abril</v>
          </cell>
          <cell r="D373">
            <v>0</v>
          </cell>
          <cell r="E373">
            <v>3733895.49</v>
          </cell>
          <cell r="F373">
            <v>0</v>
          </cell>
          <cell r="G373">
            <v>3733895.49</v>
          </cell>
        </row>
        <row r="374">
          <cell r="B374">
            <v>512</v>
          </cell>
          <cell r="C374" t="str">
            <v>Prejuízo do Período</v>
          </cell>
          <cell r="D374">
            <v>-2791988</v>
          </cell>
          <cell r="E374">
            <v>0</v>
          </cell>
          <cell r="F374">
            <v>-2677740.44</v>
          </cell>
          <cell r="G374">
            <v>5469728.4400000004</v>
          </cell>
        </row>
        <row r="375">
          <cell r="B375">
            <v>5123</v>
          </cell>
          <cell r="C375" t="str">
            <v>Março</v>
          </cell>
          <cell r="D375">
            <v>-2791988</v>
          </cell>
          <cell r="E375">
            <v>0</v>
          </cell>
          <cell r="F375">
            <v>0</v>
          </cell>
          <cell r="G375">
            <v>2791988</v>
          </cell>
        </row>
        <row r="376">
          <cell r="B376">
            <v>5125</v>
          </cell>
          <cell r="C376" t="str">
            <v>Maio</v>
          </cell>
          <cell r="D376">
            <v>0</v>
          </cell>
          <cell r="E376">
            <v>0</v>
          </cell>
          <cell r="F376">
            <v>-1383594.51</v>
          </cell>
          <cell r="G376">
            <v>1383594.51</v>
          </cell>
        </row>
        <row r="377">
          <cell r="B377">
            <v>5126</v>
          </cell>
          <cell r="C377" t="str">
            <v>Junho</v>
          </cell>
          <cell r="D377">
            <v>0</v>
          </cell>
          <cell r="E377">
            <v>0</v>
          </cell>
          <cell r="F377">
            <v>-1294145.93</v>
          </cell>
          <cell r="G377">
            <v>1294145.93</v>
          </cell>
        </row>
      </sheetData>
      <sheetData sheetId="25">
        <row r="4">
          <cell r="B4" t="str">
            <v>Reduzido</v>
          </cell>
          <cell r="C4" t="str">
            <v>Descrição</v>
          </cell>
          <cell r="D4" t="str">
            <v>Anterior</v>
          </cell>
          <cell r="E4" t="str">
            <v>Débitos</v>
          </cell>
          <cell r="F4" t="str">
            <v>Créditos</v>
          </cell>
          <cell r="G4" t="str">
            <v>Saldo Atual</v>
          </cell>
        </row>
        <row r="5">
          <cell r="B5">
            <v>1</v>
          </cell>
          <cell r="C5" t="str">
            <v>Ativo</v>
          </cell>
          <cell r="D5">
            <v>54858202.390000001</v>
          </cell>
          <cell r="E5">
            <v>10432029.23</v>
          </cell>
          <cell r="F5">
            <v>-11822759.359999999</v>
          </cell>
          <cell r="G5">
            <v>53467472.259999998</v>
          </cell>
        </row>
        <row r="6">
          <cell r="B6">
            <v>11</v>
          </cell>
          <cell r="C6" t="str">
            <v>Circulante</v>
          </cell>
          <cell r="D6">
            <v>40180691.350000001</v>
          </cell>
          <cell r="E6">
            <v>10342535.32</v>
          </cell>
          <cell r="F6">
            <v>-11471383.779999999</v>
          </cell>
          <cell r="G6">
            <v>39051842.890000001</v>
          </cell>
        </row>
        <row r="7">
          <cell r="B7">
            <v>111</v>
          </cell>
          <cell r="C7" t="str">
            <v>Disponibilidades</v>
          </cell>
          <cell r="D7">
            <v>32908377.140000001</v>
          </cell>
          <cell r="E7">
            <v>9692537.8200000003</v>
          </cell>
          <cell r="F7">
            <v>-8497287.1400000006</v>
          </cell>
          <cell r="G7">
            <v>34103627.82</v>
          </cell>
        </row>
        <row r="8">
          <cell r="B8">
            <v>1111</v>
          </cell>
          <cell r="C8" t="str">
            <v>Caixa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11111</v>
          </cell>
          <cell r="C9" t="str">
            <v>Fundo Fixo Matriz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11112</v>
          </cell>
          <cell r="C10" t="str">
            <v>Fundo Fixo Filial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1112</v>
          </cell>
          <cell r="C11" t="str">
            <v>Bancos</v>
          </cell>
          <cell r="D11">
            <v>32908377.140000001</v>
          </cell>
          <cell r="E11">
            <v>9692537.8200000003</v>
          </cell>
          <cell r="F11">
            <v>-8497287.1400000006</v>
          </cell>
          <cell r="G11">
            <v>34103627.82</v>
          </cell>
        </row>
        <row r="12">
          <cell r="B12" t="str">
            <v>BB</v>
          </cell>
          <cell r="C12" t="str">
            <v>Banco do Brasil conta única União</v>
          </cell>
          <cell r="D12">
            <v>32908377.140000001</v>
          </cell>
          <cell r="E12">
            <v>6760258.5999999996</v>
          </cell>
          <cell r="F12">
            <v>-5565007.9199999999</v>
          </cell>
          <cell r="G12">
            <v>34103627.82</v>
          </cell>
        </row>
        <row r="13">
          <cell r="B13" t="str">
            <v>CO</v>
          </cell>
          <cell r="C13" t="str">
            <v>Receita Cota Orçamentária</v>
          </cell>
          <cell r="D13">
            <v>0</v>
          </cell>
          <cell r="E13">
            <v>2932279.22</v>
          </cell>
          <cell r="F13">
            <v>-2932279.22</v>
          </cell>
          <cell r="G13">
            <v>0</v>
          </cell>
        </row>
        <row r="14">
          <cell r="B14">
            <v>112</v>
          </cell>
          <cell r="C14" t="str">
            <v>Créditos, Direitos e Bens</v>
          </cell>
          <cell r="D14">
            <v>4583640.0199999996</v>
          </cell>
          <cell r="E14">
            <v>639380.9</v>
          </cell>
          <cell r="F14">
            <v>-2615985.42</v>
          </cell>
          <cell r="G14">
            <v>2607035.5</v>
          </cell>
        </row>
        <row r="15">
          <cell r="B15">
            <v>1121</v>
          </cell>
          <cell r="C15" t="str">
            <v>Clientes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11211</v>
          </cell>
          <cell r="C16" t="str">
            <v>Faturamento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11212</v>
          </cell>
          <cell r="C17" t="str">
            <v>Venda de Livros Técnicos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1121998</v>
          </cell>
          <cell r="C18" t="str">
            <v>(-) Duplicatas Descontadas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1121999</v>
          </cell>
          <cell r="C19" t="str">
            <v>(-) Provisão p/ Devedores Duvidosos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1122</v>
          </cell>
          <cell r="C20" t="str">
            <v>Rendas a Receber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11221</v>
          </cell>
          <cell r="C21" t="str">
            <v>Encargos Financeiros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11222</v>
          </cell>
          <cell r="C22" t="str">
            <v>Aplicações Financeiras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1123</v>
          </cell>
          <cell r="C23" t="str">
            <v>Tributos a Recuperar ou Compensáveis</v>
          </cell>
          <cell r="D23">
            <v>7424.31</v>
          </cell>
          <cell r="E23">
            <v>34754.15</v>
          </cell>
          <cell r="F23">
            <v>0</v>
          </cell>
          <cell r="G23">
            <v>42178.46</v>
          </cell>
        </row>
        <row r="24">
          <cell r="B24">
            <v>11231</v>
          </cell>
          <cell r="C24" t="str">
            <v>IRPJ a Recuperar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11232</v>
          </cell>
          <cell r="C25" t="str">
            <v>IRPJ s/ Adições Temporárias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11233</v>
          </cell>
          <cell r="C26" t="str">
            <v>IRPJ s/ Prejuízo Fiscal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11234</v>
          </cell>
          <cell r="C27" t="str">
            <v>ISS a Recuperar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11235</v>
          </cell>
          <cell r="C28" t="str">
            <v>CSLL a Recuperar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11236</v>
          </cell>
          <cell r="C29" t="str">
            <v>CSLL s/ Adições Temporárias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11237</v>
          </cell>
          <cell r="C30" t="str">
            <v>CSLL s/ Base de Cálculo Negativa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11238</v>
          </cell>
          <cell r="C31" t="str">
            <v>PASEP a Recuperar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11239</v>
          </cell>
          <cell r="C32" t="str">
            <v>COFINS a Recuperar</v>
          </cell>
          <cell r="D32">
            <v>1367.05</v>
          </cell>
          <cell r="E32">
            <v>14.08</v>
          </cell>
          <cell r="F32">
            <v>0</v>
          </cell>
          <cell r="G32">
            <v>1381.13</v>
          </cell>
        </row>
        <row r="33">
          <cell r="B33">
            <v>112310</v>
          </cell>
          <cell r="C33" t="str">
            <v>INSS a Recuperar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112311</v>
          </cell>
          <cell r="C34" t="str">
            <v>IRPJ a Compensar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112312</v>
          </cell>
          <cell r="C35" t="str">
            <v>CSLL a Compensar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112313</v>
          </cell>
          <cell r="C36" t="str">
            <v>PASEP a Compensar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112314</v>
          </cell>
          <cell r="C37" t="str">
            <v>COFINS a Compensar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112315</v>
          </cell>
          <cell r="C38" t="str">
            <v>FGTS a Recuperar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112316</v>
          </cell>
          <cell r="C39" t="str">
            <v>IRPJ Estimativa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112317</v>
          </cell>
          <cell r="C40" t="str">
            <v>CSLL Estimativa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112318</v>
          </cell>
          <cell r="C41" t="str">
            <v>IRPJ Diferido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112319</v>
          </cell>
          <cell r="C42" t="str">
            <v>CSLL Diferida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112320</v>
          </cell>
          <cell r="C43" t="str">
            <v>IRPJ s/ Aplicação Financeira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112321</v>
          </cell>
          <cell r="C44" t="str">
            <v>Antecipação de IRRF - 0561</v>
          </cell>
          <cell r="D44">
            <v>0</v>
          </cell>
          <cell r="E44">
            <v>34692.54</v>
          </cell>
          <cell r="F44">
            <v>0</v>
          </cell>
          <cell r="G44">
            <v>34692.54</v>
          </cell>
        </row>
        <row r="45">
          <cell r="B45">
            <v>112322</v>
          </cell>
          <cell r="C45" t="str">
            <v>Antecipação - COSIRF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112323</v>
          </cell>
          <cell r="C46" t="str">
            <v>IRRF a Compensar</v>
          </cell>
          <cell r="D46">
            <v>5835.69</v>
          </cell>
          <cell r="E46">
            <v>45.41</v>
          </cell>
          <cell r="F46">
            <v>0</v>
          </cell>
          <cell r="G46">
            <v>5881.1</v>
          </cell>
        </row>
        <row r="47">
          <cell r="B47">
            <v>112324</v>
          </cell>
          <cell r="C47" t="str">
            <v>IOF a Restituir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112325</v>
          </cell>
          <cell r="C48" t="str">
            <v>IRRF a Restituir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112326</v>
          </cell>
          <cell r="C49" t="str">
            <v>CIDE  a Restituir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112327</v>
          </cell>
          <cell r="C50" t="str">
            <v>PIS a Restituir</v>
          </cell>
          <cell r="D50">
            <v>221.57</v>
          </cell>
          <cell r="E50">
            <v>2.12</v>
          </cell>
          <cell r="F50">
            <v>0</v>
          </cell>
          <cell r="G50">
            <v>223.69</v>
          </cell>
        </row>
        <row r="51">
          <cell r="B51">
            <v>112328</v>
          </cell>
          <cell r="C51" t="str">
            <v>COFINS  a Restituir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112329</v>
          </cell>
          <cell r="C52" t="str">
            <v>ISS a Restituir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112330</v>
          </cell>
          <cell r="C53" t="str">
            <v>CSLL a Restituir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112331</v>
          </cell>
          <cell r="C54" t="str">
            <v>CIDE a compensar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1123999</v>
          </cell>
          <cell r="C55" t="str">
            <v>Outras Retenções de Tributos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1124</v>
          </cell>
          <cell r="C56" t="str">
            <v>Adiantamentos a Empregados</v>
          </cell>
          <cell r="D56">
            <v>772900.23</v>
          </cell>
          <cell r="E56">
            <v>604626.75</v>
          </cell>
          <cell r="F56">
            <v>-453236.35</v>
          </cell>
          <cell r="G56">
            <v>924290.63</v>
          </cell>
        </row>
        <row r="57">
          <cell r="B57">
            <v>11241</v>
          </cell>
          <cell r="C57" t="str">
            <v>Adiantamento de Férias</v>
          </cell>
          <cell r="D57">
            <v>183759.26</v>
          </cell>
          <cell r="E57">
            <v>424621.7</v>
          </cell>
          <cell r="F57">
            <v>-390271.44</v>
          </cell>
          <cell r="G57">
            <v>218109.52</v>
          </cell>
        </row>
        <row r="58">
          <cell r="B58">
            <v>11242</v>
          </cell>
          <cell r="C58" t="str">
            <v>Adiantamento de 13º Salário</v>
          </cell>
          <cell r="D58">
            <v>589140.97</v>
          </cell>
          <cell r="E58">
            <v>117040.14</v>
          </cell>
          <cell r="F58">
            <v>0</v>
          </cell>
          <cell r="G58">
            <v>706181.11</v>
          </cell>
        </row>
        <row r="59">
          <cell r="B59">
            <v>11243</v>
          </cell>
          <cell r="C59" t="str">
            <v>Adiantamento de Viagem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11244</v>
          </cell>
          <cell r="C60" t="str">
            <v>Adiantamento de Salário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11245</v>
          </cell>
          <cell r="C61" t="str">
            <v>Adiant. p/Atender Compromissos da EPE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11246</v>
          </cell>
          <cell r="C62" t="str">
            <v>Adiantamento de Viagem ao Exterior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112424</v>
          </cell>
          <cell r="C63" t="str">
            <v>Empréstimo a funcionários</v>
          </cell>
          <cell r="D63">
            <v>0</v>
          </cell>
          <cell r="E63">
            <v>58387.46</v>
          </cell>
          <cell r="F63">
            <v>-58387.46</v>
          </cell>
          <cell r="G63">
            <v>0</v>
          </cell>
        </row>
        <row r="64">
          <cell r="B64">
            <v>112425</v>
          </cell>
          <cell r="C64" t="str">
            <v>Mensalidade AEPE</v>
          </cell>
          <cell r="D64">
            <v>0</v>
          </cell>
          <cell r="E64">
            <v>4577.45</v>
          </cell>
          <cell r="F64">
            <v>-4577.45</v>
          </cell>
          <cell r="G64">
            <v>0</v>
          </cell>
        </row>
        <row r="65">
          <cell r="B65">
            <v>1124999</v>
          </cell>
          <cell r="C65" t="str">
            <v>Adiantamentos p/ Outros Gastos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1125</v>
          </cell>
          <cell r="C66" t="str">
            <v>Adiantamentos a Terceiros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11251</v>
          </cell>
          <cell r="C67" t="str">
            <v>Adiantamentos a Fornecedores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11252</v>
          </cell>
          <cell r="C68" t="str">
            <v>Adiantamento p/ Seminários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11253</v>
          </cell>
          <cell r="C69" t="str">
            <v>Outros Adiantamentos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11254</v>
          </cell>
          <cell r="C70" t="str">
            <v>Adiantamento p/ Órgãos Federais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1126</v>
          </cell>
          <cell r="C71" t="str">
            <v>Títulos e Valores Mobiliários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11261</v>
          </cell>
          <cell r="C72" t="str">
            <v>Ações - Preço de Aquisição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11262</v>
          </cell>
          <cell r="C73" t="str">
            <v>(-) Ações - Provisão p/ Redução ao Valor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1127</v>
          </cell>
          <cell r="C74" t="str">
            <v>Estoques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11271</v>
          </cell>
          <cell r="C75" t="str">
            <v>Material de Escritório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11272</v>
          </cell>
          <cell r="C76" t="str">
            <v>Estoque de Livros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11273</v>
          </cell>
          <cell r="C77" t="str">
            <v>Estoque de Livros - em consignação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1128</v>
          </cell>
          <cell r="C78" t="str">
            <v>Depositos judiciais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11281</v>
          </cell>
          <cell r="C79" t="str">
            <v>Depósitos Judiciais - Previdenciários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11282</v>
          </cell>
          <cell r="C80" t="str">
            <v>Depósitos Judiciais - Trabalhistas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11283</v>
          </cell>
          <cell r="C81" t="str">
            <v>Depósitos Judiciais - Cíveis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11284</v>
          </cell>
          <cell r="C82" t="str">
            <v>Depósitos Judiciais –Tributários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1129</v>
          </cell>
          <cell r="C83" t="str">
            <v>Conta a Receber - Leilões ANEEL</v>
          </cell>
          <cell r="D83">
            <v>3803183.5</v>
          </cell>
          <cell r="E83">
            <v>0</v>
          </cell>
          <cell r="F83">
            <v>-2162749.0699999998</v>
          </cell>
          <cell r="G83">
            <v>1640434.43</v>
          </cell>
        </row>
        <row r="84">
          <cell r="B84">
            <v>11291</v>
          </cell>
          <cell r="C84" t="str">
            <v>Reembolso de custos a Receber - ANEEL</v>
          </cell>
          <cell r="D84">
            <v>3803183.5</v>
          </cell>
          <cell r="E84">
            <v>0</v>
          </cell>
          <cell r="F84">
            <v>-2162749.0699999998</v>
          </cell>
          <cell r="G84">
            <v>1640434.43</v>
          </cell>
        </row>
        <row r="85">
          <cell r="B85">
            <v>11299</v>
          </cell>
          <cell r="C85" t="str">
            <v>Outros Créditos</v>
          </cell>
          <cell r="D85">
            <v>131.97999999999999</v>
          </cell>
          <cell r="E85">
            <v>0</v>
          </cell>
          <cell r="F85">
            <v>0</v>
          </cell>
          <cell r="G85">
            <v>131.97999999999999</v>
          </cell>
        </row>
        <row r="86">
          <cell r="B86">
            <v>112991</v>
          </cell>
          <cell r="C86" t="str">
            <v>Cauções e Depósitos Vinculados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112992</v>
          </cell>
          <cell r="C87" t="str">
            <v>Glosas Petrobras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112993</v>
          </cell>
          <cell r="C88" t="str">
            <v>Glosas Furnas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112994</v>
          </cell>
          <cell r="C89" t="str">
            <v>Glosas Cepel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>
            <v>112995</v>
          </cell>
          <cell r="C90" t="str">
            <v>Ressarcimento de Cedidos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11299999</v>
          </cell>
          <cell r="C91" t="str">
            <v>Créditos Diversos</v>
          </cell>
          <cell r="D91">
            <v>131.97999999999999</v>
          </cell>
          <cell r="E91">
            <v>0</v>
          </cell>
          <cell r="F91">
            <v>0</v>
          </cell>
          <cell r="G91">
            <v>131.97999999999999</v>
          </cell>
        </row>
        <row r="92">
          <cell r="B92">
            <v>113</v>
          </cell>
          <cell r="C92" t="str">
            <v>Despesas Antecipadas</v>
          </cell>
          <cell r="D92">
            <v>2688674.19</v>
          </cell>
          <cell r="E92">
            <v>10616.6</v>
          </cell>
          <cell r="F92">
            <v>-358111.22</v>
          </cell>
          <cell r="G92">
            <v>2341179.5699999998</v>
          </cell>
        </row>
        <row r="93">
          <cell r="B93">
            <v>1131</v>
          </cell>
          <cell r="C93" t="str">
            <v>Despesas Antecipadas</v>
          </cell>
          <cell r="D93">
            <v>2688674.19</v>
          </cell>
          <cell r="E93">
            <v>10616.6</v>
          </cell>
          <cell r="F93">
            <v>-358111.22</v>
          </cell>
          <cell r="G93">
            <v>2341179.5699999998</v>
          </cell>
        </row>
        <row r="94">
          <cell r="B94">
            <v>11311</v>
          </cell>
          <cell r="C94" t="str">
            <v>Prêmio de Seguros Pagos Antecipadamente</v>
          </cell>
          <cell r="D94">
            <v>119457.64</v>
          </cell>
          <cell r="E94">
            <v>0</v>
          </cell>
          <cell r="F94">
            <v>-16532.09</v>
          </cell>
          <cell r="G94">
            <v>102925.55</v>
          </cell>
        </row>
        <row r="95">
          <cell r="B95">
            <v>11312</v>
          </cell>
          <cell r="C95" t="str">
            <v>Assinaturas e Anuidades</v>
          </cell>
          <cell r="D95">
            <v>666801.36</v>
          </cell>
          <cell r="E95">
            <v>10616.6</v>
          </cell>
          <cell r="F95">
            <v>-93213.65</v>
          </cell>
          <cell r="G95">
            <v>584204.31000000006</v>
          </cell>
        </row>
        <row r="96">
          <cell r="B96">
            <v>11313</v>
          </cell>
          <cell r="C96" t="str">
            <v>Provedores de Informações</v>
          </cell>
          <cell r="D96">
            <v>135331.31</v>
          </cell>
          <cell r="E96">
            <v>0</v>
          </cell>
          <cell r="F96">
            <v>-16104.52</v>
          </cell>
          <cell r="G96">
            <v>119226.79</v>
          </cell>
        </row>
        <row r="97">
          <cell r="B97">
            <v>11314</v>
          </cell>
          <cell r="C97" t="str">
            <v>Aluguéis e Arrendamentos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11315</v>
          </cell>
          <cell r="C98" t="str">
            <v>Iptu a Apropriar</v>
          </cell>
          <cell r="D98">
            <v>269230.53000000003</v>
          </cell>
          <cell r="E98">
            <v>0</v>
          </cell>
          <cell r="F98">
            <v>-33927.43</v>
          </cell>
          <cell r="G98">
            <v>235303.1</v>
          </cell>
        </row>
        <row r="99">
          <cell r="B99">
            <v>11316</v>
          </cell>
          <cell r="C99" t="str">
            <v>Manutenção de Software</v>
          </cell>
          <cell r="D99">
            <v>1497853.35</v>
          </cell>
          <cell r="E99">
            <v>0</v>
          </cell>
          <cell r="F99">
            <v>-198333.53</v>
          </cell>
          <cell r="G99">
            <v>1299519.82</v>
          </cell>
        </row>
        <row r="100">
          <cell r="B100">
            <v>1131999</v>
          </cell>
          <cell r="C100" t="str">
            <v>Outras Despesas Antecipadas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</v>
          </cell>
          <cell r="C101" t="str">
            <v>Ativo Não Circulante</v>
          </cell>
          <cell r="D101">
            <v>14677511.039999999</v>
          </cell>
          <cell r="E101">
            <v>89493.91</v>
          </cell>
          <cell r="F101">
            <v>-351375.58</v>
          </cell>
          <cell r="G101">
            <v>14415629.369999999</v>
          </cell>
        </row>
        <row r="102">
          <cell r="B102">
            <v>121</v>
          </cell>
          <cell r="C102" t="str">
            <v>Realizavel a Longo Prazo</v>
          </cell>
          <cell r="D102">
            <v>4469560.76</v>
          </cell>
          <cell r="E102">
            <v>89493.91</v>
          </cell>
          <cell r="F102">
            <v>-105589.16</v>
          </cell>
          <cell r="G102">
            <v>4453465.51</v>
          </cell>
        </row>
        <row r="103">
          <cell r="B103">
            <v>1211</v>
          </cell>
          <cell r="C103" t="str">
            <v>Clientes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12111</v>
          </cell>
          <cell r="C104" t="str">
            <v>Faturamento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1211998</v>
          </cell>
          <cell r="C105" t="str">
            <v>(-) Duplicatas Descontadas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B106">
            <v>1211999</v>
          </cell>
          <cell r="C106" t="str">
            <v>(-) Provisão p/ Devedores Duvidosos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1212</v>
          </cell>
          <cell r="C107" t="str">
            <v>Rendas a Receber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12121</v>
          </cell>
          <cell r="C108" t="str">
            <v>Encargos Financeiros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12122</v>
          </cell>
          <cell r="C109" t="str">
            <v>Aplicações Financeiras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>
            <v>12123</v>
          </cell>
          <cell r="C110" t="str">
            <v>Multas Aplicadas a Fornecedores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B111">
            <v>1213</v>
          </cell>
          <cell r="C111" t="str">
            <v>Tributos a Recuperar ou Compensáveis</v>
          </cell>
          <cell r="D111">
            <v>204342.29</v>
          </cell>
          <cell r="E111">
            <v>54743.61</v>
          </cell>
          <cell r="F111">
            <v>-105415.29</v>
          </cell>
          <cell r="G111">
            <v>153670.60999999999</v>
          </cell>
        </row>
        <row r="112">
          <cell r="B112">
            <v>12131</v>
          </cell>
          <cell r="C112" t="str">
            <v>IRPJ a Compensar</v>
          </cell>
          <cell r="D112">
            <v>71915.94</v>
          </cell>
          <cell r="E112">
            <v>53530.25</v>
          </cell>
          <cell r="F112">
            <v>-105415.29</v>
          </cell>
          <cell r="G112">
            <v>20030.900000000001</v>
          </cell>
        </row>
        <row r="113">
          <cell r="B113">
            <v>12132</v>
          </cell>
          <cell r="C113" t="str">
            <v>IRPJ s/ Adições Temporárias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12133</v>
          </cell>
          <cell r="C114" t="str">
            <v>IRPJ s/ Prejuízo Fiscal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12134</v>
          </cell>
          <cell r="C115" t="str">
            <v>ISS a Restituir</v>
          </cell>
          <cell r="D115">
            <v>4640.58</v>
          </cell>
          <cell r="E115">
            <v>0</v>
          </cell>
          <cell r="F115">
            <v>0</v>
          </cell>
          <cell r="G115">
            <v>4640.58</v>
          </cell>
        </row>
        <row r="116">
          <cell r="B116">
            <v>12135</v>
          </cell>
          <cell r="C116" t="str">
            <v>CSLL a Compensar</v>
          </cell>
          <cell r="D116">
            <v>127785.77</v>
          </cell>
          <cell r="E116">
            <v>1213.3599999999999</v>
          </cell>
          <cell r="F116">
            <v>0</v>
          </cell>
          <cell r="G116">
            <v>128999.13</v>
          </cell>
        </row>
        <row r="117">
          <cell r="B117">
            <v>12136</v>
          </cell>
          <cell r="C117" t="str">
            <v>CSLL s/ Adições Temporárias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12137</v>
          </cell>
          <cell r="C118" t="str">
            <v>CSLL s/ Base de Cálculo Negativa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12138</v>
          </cell>
          <cell r="C119" t="str">
            <v>PASEP a Recuperar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12139</v>
          </cell>
          <cell r="C120" t="str">
            <v>COFINS a Recuperar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121310</v>
          </cell>
          <cell r="C121" t="str">
            <v>IRPJ s/ Base de Cálculo Negativa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1213999</v>
          </cell>
          <cell r="C122" t="str">
            <v>Outras Retenções de Tributos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1214</v>
          </cell>
          <cell r="C123" t="str">
            <v>Adiantamentos a Terceiros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12141</v>
          </cell>
          <cell r="C124" t="str">
            <v>Adiantamentos a Fornecedores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1215</v>
          </cell>
          <cell r="C125" t="str">
            <v>Créditos a Diretores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12151</v>
          </cell>
          <cell r="C126" t="str">
            <v>Adiantamento a Diretores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1216</v>
          </cell>
          <cell r="C127" t="str">
            <v>Despesas Antecipadas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12161</v>
          </cell>
          <cell r="C128" t="str">
            <v>Prêmios de Seguros Pagos Antecipadamente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12162</v>
          </cell>
          <cell r="C129" t="str">
            <v>Assinatura de Jornais e Revistas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12163</v>
          </cell>
          <cell r="C130" t="str">
            <v>Provedores de Informações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12164</v>
          </cell>
          <cell r="C131" t="str">
            <v>Assinaturas e anuidades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121699</v>
          </cell>
          <cell r="C132" t="str">
            <v>Outras Despesas Antecipadas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1217</v>
          </cell>
          <cell r="C133" t="str">
            <v>Títulos e Valores Mobiliários</v>
          </cell>
          <cell r="D133">
            <v>215</v>
          </cell>
          <cell r="E133">
            <v>0</v>
          </cell>
          <cell r="F133">
            <v>0</v>
          </cell>
          <cell r="G133">
            <v>215</v>
          </cell>
        </row>
        <row r="134">
          <cell r="B134">
            <v>12171</v>
          </cell>
          <cell r="C134" t="str">
            <v>Ações - Preço de Aquisição</v>
          </cell>
          <cell r="D134">
            <v>215</v>
          </cell>
          <cell r="E134">
            <v>0</v>
          </cell>
          <cell r="F134">
            <v>0</v>
          </cell>
          <cell r="G134">
            <v>215</v>
          </cell>
        </row>
        <row r="135">
          <cell r="B135">
            <v>12172</v>
          </cell>
          <cell r="C135" t="str">
            <v>(-) Ações - Provisão p/ Redução ao Valor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1218</v>
          </cell>
          <cell r="C136" t="str">
            <v>Depósitos Judiciais</v>
          </cell>
          <cell r="D136">
            <v>4265003.47</v>
          </cell>
          <cell r="E136">
            <v>34750.300000000003</v>
          </cell>
          <cell r="F136">
            <v>-173.87</v>
          </cell>
          <cell r="G136">
            <v>4299579.9000000004</v>
          </cell>
        </row>
        <row r="137">
          <cell r="B137">
            <v>12181</v>
          </cell>
          <cell r="C137" t="str">
            <v>Depósitos Judiciais - Previdenciários</v>
          </cell>
          <cell r="D137">
            <v>3835113.68</v>
          </cell>
          <cell r="E137">
            <v>31415.51</v>
          </cell>
          <cell r="F137">
            <v>0</v>
          </cell>
          <cell r="G137">
            <v>3866529.19</v>
          </cell>
        </row>
        <row r="138">
          <cell r="B138">
            <v>12182</v>
          </cell>
          <cell r="C138" t="str">
            <v>Depósitos Judiciais - Trabalhistas</v>
          </cell>
          <cell r="D138">
            <v>270805.36</v>
          </cell>
          <cell r="E138">
            <v>1668</v>
          </cell>
          <cell r="F138">
            <v>0</v>
          </cell>
          <cell r="G138">
            <v>272473.36</v>
          </cell>
        </row>
        <row r="139">
          <cell r="B139">
            <v>12183</v>
          </cell>
          <cell r="C139" t="str">
            <v>Depósitos Judiciais - Cíveis</v>
          </cell>
          <cell r="D139">
            <v>159084.43</v>
          </cell>
          <cell r="E139">
            <v>1666.79</v>
          </cell>
          <cell r="F139">
            <v>-173.87</v>
          </cell>
          <cell r="G139">
            <v>160577.35</v>
          </cell>
        </row>
        <row r="140">
          <cell r="B140">
            <v>12199</v>
          </cell>
          <cell r="C140" t="str">
            <v>Outros Créditos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>
            <v>121991</v>
          </cell>
          <cell r="C141" t="str">
            <v>Cauções e Depósitos Vinculados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>
            <v>12199999</v>
          </cell>
          <cell r="C142" t="str">
            <v>Créditos Diversos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B143">
            <v>122</v>
          </cell>
          <cell r="C143" t="str">
            <v>Investimentos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B144">
            <v>1221</v>
          </cell>
          <cell r="C144" t="str">
            <v>Particip. Permanentes em Outras Empresas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B145">
            <v>12211</v>
          </cell>
          <cell r="C145" t="str">
            <v>Investimento em Empresas Coligadas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B146">
            <v>12212</v>
          </cell>
          <cell r="C146" t="str">
            <v>Investimento em Empresas Controladas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>
            <v>1222</v>
          </cell>
          <cell r="C147" t="str">
            <v>Outros Investimentos Permanentes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B148">
            <v>12221</v>
          </cell>
          <cell r="C148" t="str">
            <v>Obras de Arte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12222</v>
          </cell>
          <cell r="C149" t="str">
            <v>Terrenos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123</v>
          </cell>
          <cell r="C150" t="str">
            <v>Imobilizado</v>
          </cell>
          <cell r="D150">
            <v>6159668.9400000004</v>
          </cell>
          <cell r="E150">
            <v>0</v>
          </cell>
          <cell r="F150">
            <v>-131403.76</v>
          </cell>
          <cell r="G150">
            <v>6028265.1799999997</v>
          </cell>
        </row>
        <row r="151">
          <cell r="B151">
            <v>1231</v>
          </cell>
          <cell r="C151" t="str">
            <v>Bens em Operação</v>
          </cell>
          <cell r="D151">
            <v>15234523.779999999</v>
          </cell>
          <cell r="E151">
            <v>0</v>
          </cell>
          <cell r="F151">
            <v>0</v>
          </cell>
          <cell r="G151">
            <v>15234523.779999999</v>
          </cell>
        </row>
        <row r="152">
          <cell r="B152">
            <v>12311</v>
          </cell>
          <cell r="C152" t="str">
            <v>Terrenos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>
            <v>12312</v>
          </cell>
          <cell r="C153" t="str">
            <v>Imóveis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>
            <v>12313</v>
          </cell>
          <cell r="C154" t="str">
            <v>Instalações</v>
          </cell>
          <cell r="D154">
            <v>2490440.14</v>
          </cell>
          <cell r="E154">
            <v>0</v>
          </cell>
          <cell r="F154">
            <v>0</v>
          </cell>
          <cell r="G154">
            <v>2490440.14</v>
          </cell>
        </row>
        <row r="155">
          <cell r="B155">
            <v>12314</v>
          </cell>
          <cell r="C155" t="str">
            <v>Máquinas e Equipamentos</v>
          </cell>
          <cell r="D155">
            <v>791662.23</v>
          </cell>
          <cell r="E155">
            <v>0</v>
          </cell>
          <cell r="F155">
            <v>0</v>
          </cell>
          <cell r="G155">
            <v>791662.23</v>
          </cell>
        </row>
        <row r="156">
          <cell r="B156">
            <v>12315</v>
          </cell>
          <cell r="C156" t="str">
            <v>Equipamentos de Informática</v>
          </cell>
          <cell r="D156">
            <v>9793991.5</v>
          </cell>
          <cell r="E156">
            <v>0</v>
          </cell>
          <cell r="F156">
            <v>0</v>
          </cell>
          <cell r="G156">
            <v>9793991.5</v>
          </cell>
        </row>
        <row r="157">
          <cell r="B157">
            <v>12317</v>
          </cell>
          <cell r="C157" t="str">
            <v>Móveis e Utensílios</v>
          </cell>
          <cell r="D157">
            <v>2158429.91</v>
          </cell>
          <cell r="E157">
            <v>0</v>
          </cell>
          <cell r="F157">
            <v>0</v>
          </cell>
          <cell r="G157">
            <v>2158429.91</v>
          </cell>
        </row>
        <row r="158">
          <cell r="B158">
            <v>12318</v>
          </cell>
          <cell r="C158" t="str">
            <v>Veículos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12319</v>
          </cell>
          <cell r="C159" t="str">
            <v>Ferramentas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B160">
            <v>123111</v>
          </cell>
          <cell r="C160" t="str">
            <v>Benfeitorias em Imóveis de Terceiros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B161">
            <v>123112</v>
          </cell>
          <cell r="C161" t="str">
            <v>Benfeitorias em andamentos em Imóveis de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12397</v>
          </cell>
          <cell r="C162" t="str">
            <v>(-) Redução ao Valor Recuperável Imobil.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123971</v>
          </cell>
          <cell r="C163" t="str">
            <v>(-) Redução ao Valor Recuperável Imobil.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12398</v>
          </cell>
          <cell r="C164" t="str">
            <v>(-) Depreciação, Amortização e Exaustão</v>
          </cell>
          <cell r="D164">
            <v>-9074854.8399999999</v>
          </cell>
          <cell r="E164">
            <v>0</v>
          </cell>
          <cell r="F164">
            <v>-131403.76</v>
          </cell>
          <cell r="G164">
            <v>9206258.5999999996</v>
          </cell>
        </row>
        <row r="165">
          <cell r="B165">
            <v>123981</v>
          </cell>
          <cell r="C165" t="str">
            <v>(-) Imóveis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123982</v>
          </cell>
          <cell r="C166" t="str">
            <v>(-) Instalações</v>
          </cell>
          <cell r="D166">
            <v>-409590.68</v>
          </cell>
          <cell r="E166">
            <v>0</v>
          </cell>
          <cell r="F166">
            <v>-20000.46</v>
          </cell>
          <cell r="G166">
            <v>429591.14</v>
          </cell>
        </row>
        <row r="167">
          <cell r="B167">
            <v>123983</v>
          </cell>
          <cell r="C167" t="str">
            <v>(-) Máquinas e Equipamentos</v>
          </cell>
          <cell r="D167">
            <v>-700960.57</v>
          </cell>
          <cell r="E167">
            <v>0</v>
          </cell>
          <cell r="F167">
            <v>-1779</v>
          </cell>
          <cell r="G167">
            <v>702739.57</v>
          </cell>
        </row>
        <row r="168">
          <cell r="B168">
            <v>123984</v>
          </cell>
          <cell r="C168" t="str">
            <v>(-) Equipamentos de Informática</v>
          </cell>
          <cell r="D168">
            <v>-5993058.71</v>
          </cell>
          <cell r="E168">
            <v>0</v>
          </cell>
          <cell r="F168">
            <v>-106519.67</v>
          </cell>
          <cell r="G168">
            <v>6099578.3799999999</v>
          </cell>
        </row>
        <row r="169">
          <cell r="B169">
            <v>123985</v>
          </cell>
          <cell r="C169" t="str">
            <v>(-) Software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123986</v>
          </cell>
          <cell r="C170" t="str">
            <v>(-) Móveis e Utensílios</v>
          </cell>
          <cell r="D170">
            <v>-1971244.88</v>
          </cell>
          <cell r="E170">
            <v>0</v>
          </cell>
          <cell r="F170">
            <v>-3104.63</v>
          </cell>
          <cell r="G170">
            <v>1974349.51</v>
          </cell>
        </row>
        <row r="171">
          <cell r="B171">
            <v>123987</v>
          </cell>
          <cell r="C171" t="str">
            <v>(-) Veículos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>
            <v>123988</v>
          </cell>
          <cell r="C172" t="str">
            <v>(-) Ferramentas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>
            <v>1239810</v>
          </cell>
          <cell r="C173" t="str">
            <v>(-) Benfeitorias em Imóveis de Terceiros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124</v>
          </cell>
          <cell r="C174" t="str">
            <v>Intangível</v>
          </cell>
          <cell r="D174">
            <v>4048281.34</v>
          </cell>
          <cell r="E174">
            <v>0</v>
          </cell>
          <cell r="F174">
            <v>-114382.66</v>
          </cell>
          <cell r="G174">
            <v>3933898.68</v>
          </cell>
        </row>
        <row r="175">
          <cell r="B175">
            <v>1241</v>
          </cell>
          <cell r="C175" t="str">
            <v>Software</v>
          </cell>
          <cell r="D175">
            <v>11738715.48</v>
          </cell>
          <cell r="E175">
            <v>0</v>
          </cell>
          <cell r="F175">
            <v>0</v>
          </cell>
          <cell r="G175">
            <v>11738715.48</v>
          </cell>
        </row>
        <row r="176">
          <cell r="B176">
            <v>124101</v>
          </cell>
          <cell r="C176" t="str">
            <v>Software</v>
          </cell>
          <cell r="D176">
            <v>11738715.48</v>
          </cell>
          <cell r="E176">
            <v>0</v>
          </cell>
          <cell r="F176">
            <v>0</v>
          </cell>
          <cell r="G176">
            <v>11738715.48</v>
          </cell>
        </row>
        <row r="177">
          <cell r="B177">
            <v>123110</v>
          </cell>
          <cell r="C177" t="str">
            <v>Marcas e Patentes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12497</v>
          </cell>
          <cell r="C178" t="str">
            <v>(-) Redução ao Valor Recuperável Intang.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B179">
            <v>124971</v>
          </cell>
          <cell r="C179" t="str">
            <v>(-) Redução ao Valor Recuperável Intang.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B180">
            <v>12498</v>
          </cell>
          <cell r="C180" t="str">
            <v>( - ) Amortização</v>
          </cell>
          <cell r="D180">
            <v>-7690434.1399999997</v>
          </cell>
          <cell r="E180">
            <v>0</v>
          </cell>
          <cell r="F180">
            <v>-114382.66</v>
          </cell>
          <cell r="G180">
            <v>7804816.7999999998</v>
          </cell>
        </row>
        <row r="181">
          <cell r="B181">
            <v>1242</v>
          </cell>
          <cell r="C181" t="str">
            <v>( - ) Amortização Software</v>
          </cell>
          <cell r="D181">
            <v>-7690434.1399999997</v>
          </cell>
          <cell r="E181">
            <v>0</v>
          </cell>
          <cell r="F181">
            <v>-114382.66</v>
          </cell>
          <cell r="G181">
            <v>7804816.7999999998</v>
          </cell>
        </row>
        <row r="182">
          <cell r="B182">
            <v>123989</v>
          </cell>
          <cell r="C182" t="str">
            <v>(-) Marcas e Patentes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</v>
          </cell>
          <cell r="C183" t="str">
            <v>Passivo</v>
          </cell>
          <cell r="D183">
            <v>-54858202.390000001</v>
          </cell>
          <cell r="E183">
            <v>11525006.98</v>
          </cell>
          <cell r="F183">
            <v>-10134276.85</v>
          </cell>
          <cell r="G183">
            <v>53467472.259999998</v>
          </cell>
        </row>
        <row r="184">
          <cell r="B184">
            <v>21</v>
          </cell>
          <cell r="C184" t="str">
            <v>Circulante</v>
          </cell>
          <cell r="D184">
            <v>-19140014.859999999</v>
          </cell>
          <cell r="E184">
            <v>10142202.949999999</v>
          </cell>
          <cell r="F184">
            <v>-9992692.3100000005</v>
          </cell>
          <cell r="G184">
            <v>18990504.219999999</v>
          </cell>
        </row>
        <row r="185">
          <cell r="B185">
            <v>211</v>
          </cell>
          <cell r="C185" t="str">
            <v>Obrigações de Curto Prazo</v>
          </cell>
          <cell r="D185">
            <v>-19140014.859999999</v>
          </cell>
          <cell r="E185">
            <v>10142202.949999999</v>
          </cell>
          <cell r="F185">
            <v>-9992692.3100000005</v>
          </cell>
          <cell r="G185">
            <v>18990504.219999999</v>
          </cell>
        </row>
        <row r="186">
          <cell r="B186">
            <v>2111</v>
          </cell>
          <cell r="C186" t="str">
            <v>Empréstimos e Financiamentos - Em Moeda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21111</v>
          </cell>
          <cell r="C187" t="str">
            <v>Banco do Brasil - Empréstimos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21112</v>
          </cell>
          <cell r="C188" t="str">
            <v>Banco do Brasil - Financ.de Bens e Serv.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2113</v>
          </cell>
          <cell r="C189" t="str">
            <v>Debêntures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21131</v>
          </cell>
          <cell r="C190" t="str">
            <v>Conversíveis em Ações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21132</v>
          </cell>
          <cell r="C191" t="str">
            <v>Não Conversíveis em Ações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2114</v>
          </cell>
          <cell r="C192" t="str">
            <v>Fornecedores Nacionais</v>
          </cell>
          <cell r="D192">
            <v>-259071.76</v>
          </cell>
          <cell r="E192">
            <v>1478020.24</v>
          </cell>
          <cell r="F192">
            <v>-1508806.18</v>
          </cell>
          <cell r="G192">
            <v>289857.7</v>
          </cell>
        </row>
        <row r="193">
          <cell r="B193">
            <v>60444400000000</v>
          </cell>
          <cell r="C193" t="str">
            <v>LIGHT SERVICOS DE ELETRICIDADE S.A</v>
          </cell>
          <cell r="D193">
            <v>-11673.2</v>
          </cell>
          <cell r="E193">
            <v>46576.53</v>
          </cell>
          <cell r="F193">
            <v>-46576.53</v>
          </cell>
          <cell r="G193">
            <v>11673.2</v>
          </cell>
        </row>
        <row r="194">
          <cell r="B194">
            <v>57143000000000</v>
          </cell>
          <cell r="C194" t="str">
            <v>BRASOFTWARE INFORMATICA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34028300000000</v>
          </cell>
          <cell r="C195" t="str">
            <v>EMPRESA BRASILEIRA DE CORREIOS E TELEGRA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 t="str">
            <v>75609123/0001-23</v>
          </cell>
          <cell r="C196" t="str">
            <v>OURO VERDE TRANSPORTES E LOCAÇÃO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 t="str">
            <v>02877566/0001-21</v>
          </cell>
          <cell r="C197" t="str">
            <v>IBROWSE CONSULTORIA &amp; INFORMATICA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 t="str">
            <v>42429480/0001-50</v>
          </cell>
          <cell r="C198" t="str">
            <v>FUNDAÇAO UNIVERSITARIA JOSE BONIFACIO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1489070000000</v>
          </cell>
          <cell r="C199" t="str">
            <v>UHY MOREIRA - AUDITORES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00366080/0001-01</v>
          </cell>
          <cell r="C200" t="str">
            <v>THEMAG ENGENHARIA E GERENCIAMENTO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33162512/0001-03</v>
          </cell>
          <cell r="C201" t="str">
            <v>GUANABARA PALACE HOTEL LTDA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72060999/0001-75</v>
          </cell>
          <cell r="C202" t="str">
            <v>FUNDACAO COPPETEC - MATRIZ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33641663/0001-44</v>
          </cell>
          <cell r="C203" t="str">
            <v>FUNDACAO GETULIO VARGAS</v>
          </cell>
          <cell r="D203">
            <v>-3975.88</v>
          </cell>
          <cell r="E203">
            <v>7951.76</v>
          </cell>
          <cell r="F203">
            <v>-7951.76</v>
          </cell>
          <cell r="G203">
            <v>3975.88</v>
          </cell>
        </row>
        <row r="204">
          <cell r="B204" t="str">
            <v>67987883/0001-44</v>
          </cell>
          <cell r="C204" t="str">
            <v>HYDROS ENGENHARIA LTDA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02760660/0002-87</v>
          </cell>
          <cell r="C205" t="str">
            <v>LINK TV CLIPPING ELETRONICO LTDA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33146648/0001-20</v>
          </cell>
          <cell r="C206" t="str">
            <v>CONCREMAT ENGENHARIA E TECNOLOGIA S.A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00869125/0001-52</v>
          </cell>
          <cell r="C207" t="str">
            <v>CALMA INFORMATICA LTDA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01799993/0001-76</v>
          </cell>
          <cell r="C208" t="str">
            <v>CMD MEDICAL CENTER S/C LTDA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02449992/0181-01</v>
          </cell>
          <cell r="C209" t="str">
            <v>VIVO S.A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01012559/0001-02</v>
          </cell>
          <cell r="C210" t="str">
            <v>JATO AEROTAXI LTDA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08401303/0001-28</v>
          </cell>
          <cell r="C211" t="str">
            <v>COMERCIAL DE REFRIGERACAO ICE FRIO LTDA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09168704/0001-42</v>
          </cell>
          <cell r="C212" t="str">
            <v>EMPRESA BRASILEIRA DE COMUNICACAO - EBC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02986452/0001-10</v>
          </cell>
          <cell r="C213" t="str">
            <v>EMIDA INSTALACOES LTDA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07615598/0001-72</v>
          </cell>
          <cell r="C214" t="str">
            <v>BRANDAO DO ITANHANGA SERV. GRAFICOS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72109291/0001-61</v>
          </cell>
          <cell r="C215" t="str">
            <v>FACILITY CENTRAL DE SERV. LTDA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32985244/0001-67</v>
          </cell>
          <cell r="C216" t="str">
            <v>VIADOTTO E MOLINA LTDA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01245055/0001-24</v>
          </cell>
          <cell r="C217" t="str">
            <v>HENRY EQUIPAMENTOS ELETRONICOS E SISTEMA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08689801/0001-18</v>
          </cell>
          <cell r="C218" t="str">
            <v>ALERTE - AUTOMATIZACAO DE LEITURA REC.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07228550/0001-01</v>
          </cell>
          <cell r="C219" t="str">
            <v>MUNDIVOX TELECOMUNICACOES LTDA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00119796/0001-04</v>
          </cell>
          <cell r="C220" t="str">
            <v>A2 EMPREENDIMENTOS LTDA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68665355/0001-33</v>
          </cell>
          <cell r="C221" t="str">
            <v>RL SISTEC SERV. E SISTEMAS ELETRONICOS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35795210/0001-06</v>
          </cell>
          <cell r="C222" t="str">
            <v>AGRAR CONSULTORIA E ESTUDOS TECNICOS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09305983/0001-49</v>
          </cell>
          <cell r="C223" t="str">
            <v>PSR SOLUCOES E CONSULTORIA EM ENERGIA LT</v>
          </cell>
          <cell r="D223">
            <v>0</v>
          </cell>
          <cell r="E223">
            <v>5080.13</v>
          </cell>
          <cell r="F223">
            <v>-5080.13</v>
          </cell>
          <cell r="G223">
            <v>0</v>
          </cell>
        </row>
        <row r="224">
          <cell r="B224" t="str">
            <v>30280440/0001-00</v>
          </cell>
          <cell r="C224" t="str">
            <v>TECNOMOVEL INDUSTRIA COMERCIO E SERVICOS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 t="str">
            <v>10697727/0001-12</v>
          </cell>
          <cell r="C225" t="str">
            <v>BAZAR SHOPPING SOLUCOES LTDA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 t="str">
            <v>32185357/0001-88</v>
          </cell>
          <cell r="C226" t="str">
            <v>ALK ENGENHARIA E COMERCIO LTDA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 t="str">
            <v>02558157/0001-62</v>
          </cell>
          <cell r="C227" t="str">
            <v>TELEFONICA BRASIL S.A.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 t="str">
            <v>04571978/0001-64</v>
          </cell>
          <cell r="C228" t="str">
            <v>BELLATRIX NETWORK COM. E SERVICOS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 t="str">
            <v>01342499/0005-01</v>
          </cell>
          <cell r="C229" t="str">
            <v>BRASVENDING COMERCIAL LTDA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 t="str">
            <v>31563034/0001-18</v>
          </cell>
          <cell r="C230" t="str">
            <v>FEEDBACKTUR VIAGENS LTDA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B231" t="str">
            <v>05102672/0001-21</v>
          </cell>
          <cell r="C231" t="str">
            <v>CLAUDIA WATANABE ADVOGADOS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 t="str">
            <v>76436849/0001-74</v>
          </cell>
          <cell r="C232" t="str">
            <v>ENGEFOTO ENGENHARIA E AEROLEVANTAMENTOS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 t="str">
            <v>69034668/0001-56</v>
          </cell>
          <cell r="C233" t="str">
            <v>SODEXO PASS DO BRASIL SERVC. E COMERCIO</v>
          </cell>
          <cell r="D233">
            <v>0</v>
          </cell>
          <cell r="E233">
            <v>212803.66</v>
          </cell>
          <cell r="F233">
            <v>-212803.66</v>
          </cell>
          <cell r="G233">
            <v>0</v>
          </cell>
        </row>
        <row r="234">
          <cell r="B234" t="str">
            <v>00877761/0001-26</v>
          </cell>
          <cell r="C234" t="str">
            <v>DEL MORO E DE MORO LTDA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02604000/0001-26</v>
          </cell>
          <cell r="C235" t="str">
            <v>ASSOCIACAO VALE TELES PIRES DE COMUNICAC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10141728/0001-97</v>
          </cell>
          <cell r="C236" t="str">
            <v>ODAIR MARTINS DA SILVA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70424882/0001-06</v>
          </cell>
          <cell r="C237" t="str">
            <v>AUTO POSTO M5 LTDA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 t="str">
            <v>24752610/0001-00</v>
          </cell>
          <cell r="C238" t="str">
            <v>L. DE SOUZA &amp; CIA LTDA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 t="str">
            <v>04694533/0001-71</v>
          </cell>
          <cell r="C239" t="str">
            <v>PROCANA BRASIL CENTRO DE INFORMACOES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09480867/0001-66</v>
          </cell>
          <cell r="C240" t="str">
            <v>IRMAS SISTERS PRODUCOES CINEMATOGRAFICAS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08007596/0001-63</v>
          </cell>
          <cell r="C241" t="str">
            <v>MES EVENTOS LTDA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 t="str">
            <v>09388514/0001-30</v>
          </cell>
          <cell r="C242" t="str">
            <v>BRC 1 PRODUCOES LTDA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10502944/0001-10</v>
          </cell>
          <cell r="C243" t="str">
            <v>IDEA PROMOCOES SERV. E LOCACOES LTDA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02907387/0001-90</v>
          </cell>
          <cell r="C244" t="str">
            <v>AMERICA DO SUL TAXI AEREO LTDA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 t="str">
            <v>07940977/0001-38</v>
          </cell>
          <cell r="C245" t="str">
            <v>INFOTECH SOLUCOES EM INFORMATICA LTDA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B246" t="str">
            <v>04926160/0001-17</v>
          </cell>
          <cell r="C246" t="str">
            <v>POWERBRAS IND. E COM. LTDA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B247" t="str">
            <v>01310499/0001-04</v>
          </cell>
          <cell r="C247" t="str">
            <v>ASSOCIACAO COMUNITARIA RADIO FM CLAUDIA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09603902/0001-97</v>
          </cell>
          <cell r="C248" t="str">
            <v>SHOPNETWORKS COMERCIO DE PRODUTOS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B249" t="str">
            <v>02299257/0001-11</v>
          </cell>
          <cell r="C249" t="str">
            <v>GEODESING SISTEMAS DE INFORMACAO LTDA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B250" t="str">
            <v>04999113/0001-01</v>
          </cell>
          <cell r="C250" t="str">
            <v>LC EMPREENDIMENTOS E SERVICOS LTDA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B251" t="str">
            <v>10345104/0001-91</v>
          </cell>
          <cell r="C251" t="str">
            <v>MACTECNOLOGY COM. DE INFORMATICA LTDA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B252" t="str">
            <v>06241557/0001-09</v>
          </cell>
          <cell r="C252" t="str">
            <v>INGRAM MICRO TECNOLOGIA E INFORMATICA LT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B253" t="str">
            <v>08322782/0001-97</v>
          </cell>
          <cell r="C253" t="str">
            <v>AQUA GENESIS INSTITUTO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B254" t="str">
            <v>00604122/0001-97</v>
          </cell>
          <cell r="C254" t="str">
            <v>TRIVALE ADM. LTDA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 t="str">
            <v>11050205/0001-06</v>
          </cell>
          <cell r="C255" t="str">
            <v>CNEC PROJETOS DE ENGENHARIA S.A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 t="str">
            <v>10925387/0001-40</v>
          </cell>
          <cell r="C256" t="str">
            <v>TITAN SOLUTIONS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 t="str">
            <v>33661745/0001-50</v>
          </cell>
          <cell r="C257" t="str">
            <v>CIEE</v>
          </cell>
          <cell r="D257">
            <v>0</v>
          </cell>
          <cell r="E257">
            <v>2423.3000000000002</v>
          </cell>
          <cell r="F257">
            <v>-2423.3000000000002</v>
          </cell>
          <cell r="G257">
            <v>0</v>
          </cell>
        </row>
        <row r="258">
          <cell r="B258" t="str">
            <v>12335320/0001-81</v>
          </cell>
          <cell r="C258" t="str">
            <v>VN AUTOMACAO E ENTRETENIMENTOS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 t="str">
            <v>09461568/0001-84</v>
          </cell>
          <cell r="C259" t="str">
            <v>ECOMETRIKA CONSULTORIA EMPRESARIAL LTDA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 t="str">
            <v>67393181/0001-34</v>
          </cell>
          <cell r="C260" t="str">
            <v>IMAGEM GEOSISTEMAS E COMERCIO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08496003/0001-70</v>
          </cell>
          <cell r="C261" t="str">
            <v>MISTER X PRODUTOS ALIMENTICIOS LTDA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 t="str">
            <v>29508686/0001-01</v>
          </cell>
          <cell r="C262" t="str">
            <v>THOMSON REUTERS SERVICOS ECONOMICOS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>43283811/0001-50</v>
          </cell>
          <cell r="C263" t="str">
            <v>KALUNGA COM. E. IND. GRAFICA LTDA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 t="str">
            <v>03136691/0001-75</v>
          </cell>
          <cell r="C264" t="str">
            <v>RADIODIFUSAO LTDA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 t="str">
            <v>68314830/0001-27</v>
          </cell>
          <cell r="C265" t="str">
            <v>FUND. DE APOIO A UNIVERSIDADE DE SAO PAU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 t="str">
            <v>33530486/0001-29</v>
          </cell>
          <cell r="C266" t="str">
            <v>EMP. BRAS. TELECOMUNICACOES - EMBRATEL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 t="str">
            <v>61797924/0007-40</v>
          </cell>
          <cell r="C267" t="str">
            <v>HEWLETT PACKARD DO BRASIL LTDA</v>
          </cell>
          <cell r="D267">
            <v>-8454.1200000000008</v>
          </cell>
          <cell r="E267">
            <v>8454.1200000000008</v>
          </cell>
          <cell r="F267">
            <v>-8454.1200000000008</v>
          </cell>
          <cell r="G267">
            <v>8454.1200000000008</v>
          </cell>
        </row>
        <row r="268">
          <cell r="B268" t="str">
            <v>71208516/0171-40</v>
          </cell>
          <cell r="C268" t="str">
            <v>COMPANHIA DE TELECOMUNICACAO DO BRASIL C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 t="str">
            <v>31153877/0001-46</v>
          </cell>
          <cell r="C269" t="str">
            <v>ASSOCIACAO NACIONAL DE PESQUISA E ENSINO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33747288/0001-11</v>
          </cell>
          <cell r="C270" t="str">
            <v>FEDERAÇÃO DAS EMPRESAS DE TRANSPORTES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 t="str">
            <v>05152318/0001-01</v>
          </cell>
          <cell r="C271" t="str">
            <v>AGUIAR FERES AUDITORES INDEPENDENTES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 t="str">
            <v>07604035/0001-89</v>
          </cell>
          <cell r="C272" t="str">
            <v>RTA COMERCIO E SERVICO DE ASSISTENCIA</v>
          </cell>
          <cell r="D272">
            <v>-2581</v>
          </cell>
          <cell r="E272">
            <v>2900</v>
          </cell>
          <cell r="F272">
            <v>-2900</v>
          </cell>
          <cell r="G272">
            <v>2581</v>
          </cell>
        </row>
        <row r="273">
          <cell r="B273" t="str">
            <v>42270058/0001-03</v>
          </cell>
          <cell r="C273" t="str">
            <v>GMR EQUIPAMENTOS ELETRICOS LTDA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 t="str">
            <v>08273068/0001-56</v>
          </cell>
          <cell r="C274" t="str">
            <v>LODI E LOBO ADVOGADOS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 t="str">
            <v>04491285/0001-61</v>
          </cell>
          <cell r="C275" t="str">
            <v>DOMINIO E CONTABIL LTDA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01579387/0007-30</v>
          </cell>
          <cell r="C276" t="str">
            <v>INVESTIPLAN COMPUTADORES E SISTEMAS LTDA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 t="str">
            <v>01724795/0001-43</v>
          </cell>
          <cell r="C277" t="str">
            <v>MICROWARE TECNOLOGIA DE INFORMATICA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 t="str">
            <v>07737772/0001-50</v>
          </cell>
          <cell r="C278" t="str">
            <v>CURI GOMES ASSOCIADOS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 t="str">
            <v>07566239/0001-72</v>
          </cell>
          <cell r="C279" t="str">
            <v>GAS ENERGY ASSESSORIA EMPRESARIAL LTDA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B280" t="str">
            <v>34163329/0002-61</v>
          </cell>
          <cell r="C280" t="str">
            <v>IBEF RIO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B281">
            <v>211049</v>
          </cell>
          <cell r="C281" t="str">
            <v>VINIPEL COMERCIAL LTDA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VET</v>
          </cell>
          <cell r="C282" t="str">
            <v>TECHNICAL BOOKS LIVRARIA LTDA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22945226/0001-64</v>
          </cell>
          <cell r="C283" t="str">
            <v>ASSOCIACAO DE UNIVERSIDADES AMAZONICAS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B284">
            <v>60925200000000</v>
          </cell>
          <cell r="C284" t="str">
            <v>INSTITUTO ACO BRASIL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>
            <v>5633720000000</v>
          </cell>
          <cell r="C285" t="str">
            <v>INSTITUTO OLHAR PESQUISA E INFORMACAO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 t="str">
            <v>02837642/0001-75</v>
          </cell>
          <cell r="C286" t="str">
            <v>ACADEMIA DE DESEN. PROF. E ORG. LTDA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 t="str">
            <v>32086274/0001-31</v>
          </cell>
          <cell r="C287" t="str">
            <v>A CHAVE NEIDE ME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B288" t="str">
            <v>01017250/0001-05</v>
          </cell>
          <cell r="C288" t="str">
            <v>VOETUR TURISMO E REPRESENTACOES LTDA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B289" t="str">
            <v>06320095/0001-07</v>
          </cell>
          <cell r="C289" t="str">
            <v>UNIQUE RENTA CAR LOCADORA DE VEICULOS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 t="str">
            <v>08071768/0001-68</v>
          </cell>
          <cell r="C290" t="str">
            <v>BIODIESELBR ON LINE LTDA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 t="str">
            <v>07347790/0001-25</v>
          </cell>
          <cell r="C291" t="str">
            <v>PLC REFRIGERACO E SSERVICOS LTDA-ME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 t="str">
            <v>58619404/0001-48</v>
          </cell>
          <cell r="C292" t="str">
            <v>SEAL TELECOM SERVICO TELECOMUNICACOES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 t="str">
            <v>71208516/0001-74</v>
          </cell>
          <cell r="C293" t="str">
            <v>ALGAR SERVICO E TELECOMUNICACOES</v>
          </cell>
          <cell r="D293">
            <v>-176.73</v>
          </cell>
          <cell r="E293">
            <v>392.78</v>
          </cell>
          <cell r="F293">
            <v>-1451.27</v>
          </cell>
          <cell r="G293">
            <v>1235.22</v>
          </cell>
        </row>
        <row r="294">
          <cell r="B294" t="str">
            <v>07877167/0001-84</v>
          </cell>
          <cell r="C294" t="str">
            <v>HOROS COMUNICACAO E EVENTOS LTDA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 t="str">
            <v>65649154/0001-54</v>
          </cell>
          <cell r="C295" t="str">
            <v>DATAGRO PUBLICACOES LTDA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 t="str">
            <v>05984239/0001-67</v>
          </cell>
          <cell r="C296" t="str">
            <v>AMMPLANAC SOLUTIONS DE INFORMATICA LTDA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 t="str">
            <v>00278452/0001-30</v>
          </cell>
          <cell r="C297" t="str">
            <v>IDEMP INSTITUTO DE DESENVOLVIMENTO EMPRE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 t="str">
            <v>00758743/0001-25</v>
          </cell>
          <cell r="C298" t="str">
            <v>LCA CONSULTORES LTDA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 t="str">
            <v>39130646/0001-29</v>
          </cell>
          <cell r="C299" t="str">
            <v>SOCIEDADE BRASILEIRA DE PLANEJAMENTO ENE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 t="str">
            <v>09228201/0001-15</v>
          </cell>
          <cell r="C300" t="str">
            <v>JG 2008 EDITORA E COMUNICACAO LTDA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 t="str">
            <v>00063069/0001-64</v>
          </cell>
          <cell r="C301" t="str">
            <v>STAR INFO SERVICOS DE INFORMATICA LTDA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 t="str">
            <v>27128875/0001-20</v>
          </cell>
          <cell r="C302" t="str">
            <v>CARTORIO 17 OFICIO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 t="str">
            <v>03309608/0001-90</v>
          </cell>
          <cell r="C303" t="str">
            <v>MAXLUX COMERCIO DE DECORACOES LTDA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 t="str">
            <v>00974211/0001-25</v>
          </cell>
          <cell r="C304" t="str">
            <v>LINHA AMARELA SA - LAMSA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 t="str">
            <v>07892266/0001-35</v>
          </cell>
          <cell r="C305" t="str">
            <v>KAWA COMERCIO, PROJETOS E SERV. EM AR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110245</v>
          </cell>
          <cell r="C306" t="str">
            <v>FUNDO DE IMPRENSA NACIONAL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 t="str">
            <v>30482814/0001-70</v>
          </cell>
          <cell r="C307" t="str">
            <v>NIPOMAQ MAQUINAS DE ESCRITORIO LTDA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 t="str">
            <v>07725342/0001-18</v>
          </cell>
          <cell r="C308" t="str">
            <v>N.SILVA COMERCIO E SERVICOS LTDA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 t="str">
            <v>12293822/0001-97</v>
          </cell>
          <cell r="C309" t="str">
            <v>ASSOCIACAO DOS PESQUISADORES EM PLANTAS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 t="str">
            <v>11124330/0001-05</v>
          </cell>
          <cell r="C310" t="str">
            <v>IDETI EVENTOS E PESQUISAS EM INFORMATICA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 t="str">
            <v>31247083/0001-41</v>
          </cell>
          <cell r="C311" t="str">
            <v>ASSOCIAÇÃO BRASILEIRA DE RECURSOS HUMANO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 t="str">
            <v>07295815/0001-94</v>
          </cell>
          <cell r="C312" t="str">
            <v>PRONTIDAO COM. E SERV. DE INFO. LTDA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 t="str">
            <v>05128653/0001-74</v>
          </cell>
          <cell r="C313" t="str">
            <v>NDJ SIMPOSIOS E TREINAMENTOS LTDA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 t="str">
            <v>27958859/0001-64</v>
          </cell>
          <cell r="C314" t="str">
            <v>EDITORA BRASIL ENERGIA LTDA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00710799/0001-00</v>
          </cell>
          <cell r="C315" t="str">
            <v>ALLEN RIO SERV. COM. DE INFORMATICA LTDA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22642565/0001-05</v>
          </cell>
          <cell r="C316" t="str">
            <v>CP2 CONSULTORIA PESQUISA E PLANEJAMENTO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04053315/0001-58</v>
          </cell>
          <cell r="C317" t="str">
            <v>NSI TRAINING TECNOLOGIA S/C LTDA.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59453225/0001-46</v>
          </cell>
          <cell r="C318" t="str">
            <v>FLOKART IND. COM. PRODUTOS PROMOCIONAIS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08906581/0001-37</v>
          </cell>
          <cell r="C319" t="str">
            <v>MARTENSEN E BRAGA LTDA-EPP.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00103582/0005-65</v>
          </cell>
          <cell r="C320" t="str">
            <v>ENGEVIX ENGENHARIA S.A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61562112/0002-01</v>
          </cell>
          <cell r="C321" t="str">
            <v>PRICEWATERHOUSECOOPERS AUDITORES INDEPEN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29408770/0001-50</v>
          </cell>
          <cell r="C322" t="str">
            <v>CIARLINI CONSULTORIA E PROJETOS LTDA.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04216871/0001-06</v>
          </cell>
          <cell r="C323" t="str">
            <v>EXECUTIVE VANS LOCADORA DE VEICULOS LTDA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10015425/0001-28</v>
          </cell>
          <cell r="C324" t="str">
            <v>DAMIER RIO DESENTUPIDORA LTDA.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43730787/0001-50</v>
          </cell>
          <cell r="C325" t="str">
            <v>ABTD - ASSOCIACAO BRASILEIRA DE TREINAME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21040001/0001-30</v>
          </cell>
          <cell r="C326" t="str">
            <v>UNIVERSIDADE FEDERAL DE ITAJUBA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13376180/0001-52</v>
          </cell>
          <cell r="C327" t="str">
            <v>CEAP CONCURSOS LTDA-ME.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>
            <v>33634300000000</v>
          </cell>
          <cell r="C328" t="str">
            <v>IBP - INST. BRASILEIRO PET. GAS E BIOC.</v>
          </cell>
          <cell r="D328">
            <v>0</v>
          </cell>
          <cell r="E328">
            <v>0</v>
          </cell>
          <cell r="F328">
            <v>-1965.2</v>
          </cell>
          <cell r="G328">
            <v>1965.2</v>
          </cell>
        </row>
        <row r="329">
          <cell r="B329" t="str">
            <v>33170515/0001-99</v>
          </cell>
          <cell r="C329" t="str">
            <v>L´HENRIETTE CONFEITARIA LTDA.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32323115/0001-03</v>
          </cell>
          <cell r="C330" t="str">
            <v>PRO FIT COACHING CONS. TREINAMENTO PROF.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06987364/0001-93</v>
          </cell>
          <cell r="C331" t="str">
            <v>CTEE - CENTRO TREIN. ESTUDOS EM ENERGIA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04765777/0001-06</v>
          </cell>
          <cell r="C332" t="str">
            <v>ESTRATEGIA EM RECURSOS HUMANOS LTDA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05983000/0001-72</v>
          </cell>
          <cell r="C333" t="str">
            <v>ADJUVARE EVENTOS E SERVICOS LTDA.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61160768/0001-17</v>
          </cell>
          <cell r="C334" t="str">
            <v>LEX EDITORA SA.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05230078/0001-16</v>
          </cell>
          <cell r="C335" t="str">
            <v>PERSIANAS BRASIL BLINDS LTDA.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08403264/0001-06</v>
          </cell>
          <cell r="C336" t="str">
            <v>COMPLEXO JURIDICO RENATO SARAIVA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58900622/0001-56</v>
          </cell>
          <cell r="C337" t="str">
            <v>EDITORA CL-A CULTURAL LTDA.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 t="str">
            <v>33402892/0002-97</v>
          </cell>
          <cell r="C338" t="str">
            <v>ASSOCIAÇÃO BRASILEIRA DE NORMAS TECNICAS</v>
          </cell>
          <cell r="D338">
            <v>0</v>
          </cell>
          <cell r="E338">
            <v>1458.33</v>
          </cell>
          <cell r="F338">
            <v>-1458.33</v>
          </cell>
          <cell r="G338">
            <v>0</v>
          </cell>
        </row>
        <row r="339">
          <cell r="B339" t="str">
            <v>10476565/0001-01</v>
          </cell>
          <cell r="C339" t="str">
            <v>OCEANO SERVICOS LTDA.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 t="str">
            <v>60540333/0002-16</v>
          </cell>
          <cell r="C340" t="str">
            <v>THE BRITISH CHAMBER OF COMMERCE AND INDU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12867225/0001-29</v>
          </cell>
          <cell r="C341" t="str">
            <v>DC STUDIO PRODUCOES LTDA.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00543800/0001-59</v>
          </cell>
          <cell r="C342" t="str">
            <v>IIR INFORMA SEMINARIOS LTDA.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 t="str">
            <v>04106216/0001-97</v>
          </cell>
          <cell r="C343" t="str">
            <v>SOUZA E PINHO ENGENHARIA E ARQUITETURA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 t="str">
            <v>12404897/0001-06</v>
          </cell>
          <cell r="C344" t="str">
            <v>DOUGLAS WILLE &amp; CIA LTDA - ME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 t="str">
            <v>04217374/0001-14</v>
          </cell>
          <cell r="C345" t="str">
            <v>STOCK GRAF COMERCIO MATERIAIS GRAFICOS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42417493/0001-00</v>
          </cell>
          <cell r="C346" t="str">
            <v>MUNDIVIDROS VIDROS CRISTAIS E MOLDURAS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 t="str">
            <v>26976381/0001-32</v>
          </cell>
          <cell r="C347" t="str">
            <v>MULTPAPER DISTRIBUIDORA DE PAPAEIS LTDA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 t="str">
            <v>09677300/0001-84</v>
          </cell>
          <cell r="C348" t="str">
            <v>JC&amp;I DESIGN E STUDIO LTDA.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 t="str">
            <v>13373975/0001-07</v>
          </cell>
          <cell r="C349" t="str">
            <v>THIAGO KAZOROSKY PINHEIRO &amp; CIA LTDA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02105010/0001-17</v>
          </cell>
          <cell r="C350" t="str">
            <v>AGENCIA VIRTUAL LTDA.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30033800000000</v>
          </cell>
          <cell r="C351" t="str">
            <v>COMITE NAC. BRASILEIRO PROD. TRANS. ENER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 t="str">
            <v>04619903/0001-06</v>
          </cell>
          <cell r="C352" t="str">
            <v>SEND COPY CANDELARIA SERV. REPROGRAFICOS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13488395/0001-65</v>
          </cell>
          <cell r="C353" t="str">
            <v>MARCENARIA SAO JORGE SAO JOSE EIERLI ME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72414691/0001-80</v>
          </cell>
          <cell r="C354" t="str">
            <v>INOVATIVA - APRIMORAMENTO TREINAMENTO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11281612/0001-16</v>
          </cell>
          <cell r="C355" t="str">
            <v>SOLUCAO BRASIL TECNOLOGIA INFORMACAO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01138264/0001-79</v>
          </cell>
          <cell r="C356" t="str">
            <v>BIOVET SERVICOS LTDA.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07282970/0001-76</v>
          </cell>
          <cell r="C357" t="str">
            <v>NTX COMERCIO CONSULTORIA E SERVICOS LTDA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29317518/0001-35</v>
          </cell>
          <cell r="C358" t="str">
            <v>JH SATURNO COM. MAT. ESC. LIMP. E INF.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02485591/0001-60</v>
          </cell>
          <cell r="C359" t="str">
            <v>TENDENCIAS CONSULTORIA INTEGRADA S/S LTD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00316087/0001-00</v>
          </cell>
          <cell r="C360" t="str">
            <v>CONCARP CONSERVACAO E LIMPEZA LTDA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04572946/0001-83</v>
          </cell>
          <cell r="C361" t="str">
            <v>BOOKHUNTER LIVRARIA LTDA.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05292903/0001-07</v>
          </cell>
          <cell r="C362" t="str">
            <v>PETT &amp; CAPELLATO REPRESENTACOES LTDA.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18025536/0001-27</v>
          </cell>
          <cell r="C363" t="str">
            <v>FUNDACAO DE PESQ. E ASSESSORAMENTO A IND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02704211/0001-30</v>
          </cell>
          <cell r="C364" t="str">
            <v>EXPERTISE TECNOLOGIA DESENVOLVIMENTO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03811232/0001-18</v>
          </cell>
          <cell r="C365" t="str">
            <v>COMERCIAL GAULIA LTDA.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27014752/0001-68</v>
          </cell>
          <cell r="C366" t="str">
            <v>FLOAT - GLASS - COMERCIO E SERVICOS LTDA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00729829/0001-20</v>
          </cell>
          <cell r="C367" t="str">
            <v>KARTROLIN BRINDES MATERIAL P/ ESCRITORIO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36003671/0001-53</v>
          </cell>
          <cell r="C368" t="str">
            <v>CONSULTRE CONSULTORIA E TREINAMENTO LTDA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09335355/0001-06</v>
          </cell>
          <cell r="C369" t="str">
            <v>FACIL - BRASILIA TRANSPORTE INTEGRADO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35963479/0001-46</v>
          </cell>
          <cell r="C370" t="str">
            <v>ESAFI - ESCOLA ADMINISTRACAO TREINAMENTO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02911903/0001-50</v>
          </cell>
          <cell r="C371" t="str">
            <v>FUNDACAO COMITE DE GESTAO EMPRESARIAL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01377071/0001-70</v>
          </cell>
          <cell r="C372" t="str">
            <v>LANTELE COMERCIAL ELETRICA LTDA.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04708116/0001-30</v>
          </cell>
          <cell r="C373" t="str">
            <v>ZENITE TECNOLOGIA E TELEINFORMATICA LTDA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03712467/0001-52</v>
          </cell>
          <cell r="C374" t="str">
            <v>FLAMA RAMOS ACABAMENTO E MANUSEIO GRAFIC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61705380/0001-54</v>
          </cell>
          <cell r="C375" t="str">
            <v>FUNDAG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42334193/0001-67</v>
          </cell>
          <cell r="C376" t="str">
            <v>COMITE BRASILEIRO DE BARRAGENS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03307532/0001-64</v>
          </cell>
          <cell r="C377" t="str">
            <v>SIVIC PLACAS E BRINDES LTDA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 t="str">
            <v>32157042/0001-27</v>
          </cell>
          <cell r="C378" t="str">
            <v>PERSIANAS COIMBRA LTDA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 t="str">
            <v>00348003/0129-84</v>
          </cell>
          <cell r="C379" t="str">
            <v>EMPRESA BRAS DE PESQ AGROP EMBRAPA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 t="str">
            <v>02270142/0001-02</v>
          </cell>
          <cell r="C380" t="str">
            <v>GERMANISCHER LLOYD IND. SERVICES DO BRAS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 t="str">
            <v>04655786/0001-36</v>
          </cell>
          <cell r="C381" t="str">
            <v>NORTHIA ASSESSORIA DE SEGURANCA NO TRABA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 t="str">
            <v>40181919/0001-43</v>
          </cell>
          <cell r="C382" t="str">
            <v>JURIS AMBIENTIS CONSULTORES S/S LTDA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 t="str">
            <v>04832526/0001-99</v>
          </cell>
          <cell r="C383" t="str">
            <v>CASTRO &amp; CASTRO ADV. E CONSULTORES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 t="str">
            <v>13013046/0001-97</v>
          </cell>
          <cell r="C384" t="str">
            <v>SITIAR COM. DE REFRIGERACAO LTDA - ME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 t="str">
            <v>06353807/0001-94</v>
          </cell>
          <cell r="C385" t="str">
            <v>DEWI DO BRASIL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 t="str">
            <v>08257771/0001-70</v>
          </cell>
          <cell r="C386" t="str">
            <v>FABBIO VEMGIZ LOBO CONS. TREINAMENTO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 t="str">
            <v>08844668/0001-27</v>
          </cell>
          <cell r="C387" t="str">
            <v>AGUIAR &amp; VERISSIMO LTDA - ME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 t="str">
            <v>11865040/0001-12</v>
          </cell>
          <cell r="C388" t="str">
            <v>ZFL TRANSPORTE EXECUTIVO LTDA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 t="str">
            <v>02552009/0001-30</v>
          </cell>
          <cell r="C389" t="str">
            <v>DMSS SOFTWARE LTDA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 t="str">
            <v>03557247/0001-00</v>
          </cell>
          <cell r="C390" t="str">
            <v>INTEGRAR CLIMATIZACAO LTDA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1554290000000</v>
          </cell>
          <cell r="C391" t="str">
            <v>CERTISIGN CERTIFICADORA DIGITAL S.A.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 t="str">
            <v>12661222/0001-34</v>
          </cell>
          <cell r="C392" t="str">
            <v>SHOPPING MATRIZ FABRIL LTDA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05085929/0002-65</v>
          </cell>
          <cell r="C393" t="str">
            <v>GIOCONDA E JOSE CAFE E CULINARIA LTDA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 t="str">
            <v>33438300/0001-06</v>
          </cell>
          <cell r="C394" t="str">
            <v>PAPELARIA COLUMBIA LTDA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 t="str">
            <v>09305304/0001-31</v>
          </cell>
          <cell r="C395" t="str">
            <v>BRISSETT &amp; BRISSETT EVENTOS LTDA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 t="str">
            <v>08575670/000148</v>
          </cell>
          <cell r="C396" t="str">
            <v>DALA AR CONDICIONADO LTDA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 t="str">
            <v>28711539/0001-78</v>
          </cell>
          <cell r="C397" t="str">
            <v>A C BURLAMAQUI CONSULTORES S/C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 t="str">
            <v>10258575/0001-62</v>
          </cell>
          <cell r="C398" t="str">
            <v>SOUZA E VENTURELI LTDA - ME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5902040000000</v>
          </cell>
          <cell r="C399" t="str">
            <v>INST. AMBIENTAL BRA SUSTENTAVEL - IABS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 t="str">
            <v>00885818/000139</v>
          </cell>
          <cell r="C400" t="str">
            <v>TECNOLOGIA E INFORMACAO LTDA - BPGR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 t="str">
            <v>13317281/0001-52</v>
          </cell>
          <cell r="C401" t="str">
            <v>FORUM CULTURAL ORGANI DE EVENTOS LTDA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 t="str">
            <v>15734197/0002-61</v>
          </cell>
          <cell r="C402" t="str">
            <v>SANTOS &amp; SARUBBI LTDA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 t="str">
            <v>07668381/0001-20</v>
          </cell>
          <cell r="C403" t="str">
            <v>JONKOPING BUFFET LTDA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 t="str">
            <v>10383122/0001-68</v>
          </cell>
          <cell r="C404" t="str">
            <v>GAS ENERGY CHEMICALS LTDA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 t="str">
            <v>02606932/0001-08</v>
          </cell>
          <cell r="C405" t="str">
            <v>RM TREINAMENTO EMPRESARIAL LTDA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 t="str">
            <v>01423190/0001-12</v>
          </cell>
          <cell r="C406" t="str">
            <v>R MAIA DESENVOLVIMENTO EMPRESARIAL LTDA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 t="str">
            <v>10559255/0001-42</v>
          </cell>
          <cell r="C407" t="str">
            <v>ZACCHI E ZACCHI LTDA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 t="str">
            <v>33636523/0001-88</v>
          </cell>
          <cell r="C408" t="str">
            <v>CENTRO INDUSTRIAL DO RJ - CIRJ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 t="str">
            <v>33611617/0001-00</v>
          </cell>
          <cell r="C409" t="str">
            <v>ASSOCIACAO COMERCIAL DO RJ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 t="str">
            <v>11061406/0001-09</v>
          </cell>
          <cell r="C410" t="str">
            <v>ZIVA RJ TECNOLOGIA E SOLUCOES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 t="str">
            <v>03829453/0001-13</v>
          </cell>
          <cell r="C411" t="str">
            <v>CONGER ENCADERNACAO LTDA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 t="str">
            <v>13775131/0001-92</v>
          </cell>
          <cell r="C412" t="str">
            <v>U DE ALMEIDA FARIA JUNIOR - BEM BOM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 t="str">
            <v>04918514/0001-81</v>
          </cell>
          <cell r="C413" t="str">
            <v>MAPH - AUDITORIA E ASSESSORIA LTDA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 t="str">
            <v>07544975/0001-20</v>
          </cell>
          <cell r="C414" t="str">
            <v>LUROVA AUTOMACAO INDUSTRIAL  E COME LTDA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 t="str">
            <v>06939256/0001-45</v>
          </cell>
          <cell r="C415" t="str">
            <v>AUGE EVENTOS E AUDIOVISUAL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 t="str">
            <v>13439080/0001-28</v>
          </cell>
          <cell r="C416" t="str">
            <v>JDG SERRALHERIA VIDRACARIA E SERV LTDA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 t="str">
            <v>00572914/0001-27</v>
          </cell>
          <cell r="C417" t="str">
            <v>CENTRAL POINT COMERCIO E SERV LTDA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 t="str">
            <v>07316919/0001-38</v>
          </cell>
          <cell r="C418" t="str">
            <v>GOVERNET EDITORA LTDA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 t="str">
            <v>09663019/0001-92</v>
          </cell>
          <cell r="C419" t="str">
            <v>GBR CONSULTORIA ECONOMICA S/S LTDA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 t="str">
            <v>03662199/0001-01</v>
          </cell>
          <cell r="C420" t="str">
            <v>BACHIANA POLIS PRODUCOES LTDA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 t="str">
            <v>51978633/0001-00</v>
          </cell>
          <cell r="C421" t="str">
            <v>SEMINARIOS ADUANEIRAS SOCIEDADE SIMPLES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 t="str">
            <v>00001172/0001-80</v>
          </cell>
          <cell r="C422" t="str">
            <v>S/A CORREIO BRAZILIENSE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02537929/0001-80</v>
          </cell>
          <cell r="C423" t="str">
            <v>EIBSNET TREINAMENTO EM INFORMATICA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 t="str">
            <v>02309061/0001-60</v>
          </cell>
          <cell r="C424" t="str">
            <v>BARBOSA E BARBOSA ENGENHARIA ELE LTDA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 t="str">
            <v>01998348/0001-82</v>
          </cell>
          <cell r="C425" t="str">
            <v>BENICIO BIZ EDITORES ASSOCIADOS LTDA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 t="str">
            <v>10762976/0001-55</v>
          </cell>
          <cell r="C426" t="str">
            <v>MINUTA COMUNICACAO LTDA - ME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 t="str">
            <v>05154259/0001-00</v>
          </cell>
          <cell r="C427" t="str">
            <v>2M DESIGN LTDA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 t="str">
            <v>04358563/0001-07</v>
          </cell>
          <cell r="C428" t="str">
            <v>NEOTROPICAL CONSUL. E ASSESS. AMB. LTDA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 t="str">
            <v>40401341/0001-93</v>
          </cell>
          <cell r="C429" t="str">
            <v>HIDROFIRE COM DE MAT CONT INCENDIO LTDA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28912970/0001-82</v>
          </cell>
          <cell r="C430" t="str">
            <v>ADEMIR DE OLIVEIRA TEIXEIRA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 t="str">
            <v>10933120/0001-03</v>
          </cell>
          <cell r="C431" t="str">
            <v>ATOL CONSULTORIA AMBIENTAL LTDA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 t="str">
            <v>04724924/0001-91</v>
          </cell>
          <cell r="C432" t="str">
            <v>ACTIVEWEB TECHNOLOGIES INFORMATICA LTDA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 t="str">
            <v>33573791/0001-06</v>
          </cell>
          <cell r="C433" t="str">
            <v>CAMARA DE COMERCIO AMER. PARA O BRASIL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 t="str">
            <v>50827039/0001-55</v>
          </cell>
          <cell r="C434" t="str">
            <v>ANTHROPOS CONSULTING LTDA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 t="str">
            <v>07774090/0001-17</v>
          </cell>
          <cell r="C435" t="str">
            <v>ESCOLA DE NEG CONEX EDUC EMPRES LTDA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 t="str">
            <v>42569459/0001-50</v>
          </cell>
          <cell r="C436" t="str">
            <v>ORG BRANCO DE MAQ E EQUIP LTDA - OBM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 t="str">
            <v>09240519/0001-11</v>
          </cell>
          <cell r="C437" t="str">
            <v>TARGETWARE INFORMATICA LTDA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 t="str">
            <v>39092598/0001-21</v>
          </cell>
          <cell r="C438" t="str">
            <v>BAKTRON MICROBIOLOGICA LTDA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 t="str">
            <v>66582784/0001-11</v>
          </cell>
          <cell r="C439" t="str">
            <v>MAPDATA TECNOLOGIA, INFOR. COMERCIO LTDA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 t="str">
            <v>07268152/0001-09</v>
          </cell>
          <cell r="C440" t="str">
            <v>VSDATA COMERCIAL DE INF. LTDA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 t="str">
            <v>11563387/0001-00</v>
          </cell>
          <cell r="C441" t="str">
            <v>EDER DE SOUZA CAVALHEIRO ME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 t="str">
            <v>05347213/0001-08</v>
          </cell>
          <cell r="C442" t="str">
            <v>HSRNET INFORMATICA LTDA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 t="str">
            <v>11329948/0001-01</v>
          </cell>
          <cell r="C443" t="str">
            <v>SANET COMERCIO E SERV. INFOR. LTDA EPP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 t="str">
            <v>01178068/0001-28</v>
          </cell>
          <cell r="C444" t="str">
            <v>ASSOCIACAO BRAS. DE GEOLOGOS DE PETROLEO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 t="str">
            <v>05310737/0001-24</v>
          </cell>
          <cell r="C445" t="str">
            <v>IRJR PRINT CARTUCHOS E SERVICOS LTDA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 t="str">
            <v>13200172/0001-50</v>
          </cell>
          <cell r="C446" t="str">
            <v>SHALLON INST. DE DRY WAL E PERSIANA LTDA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 t="str">
            <v>07998546/0001-22</v>
          </cell>
          <cell r="C447" t="str">
            <v>UNIVERSO DO SOM ELET. LTDA - NALUBEL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 t="str">
            <v>38066296/0001-16</v>
          </cell>
          <cell r="C448" t="str">
            <v>CRISTINA ROBERTO BUFFET PROD CULT. LTDA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 t="str">
            <v>127.091.159-72</v>
          </cell>
          <cell r="C449" t="str">
            <v>ALUGUEL - ROBERTO DORNER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 t="str">
            <v>04637111/0001-64</v>
          </cell>
          <cell r="C450" t="str">
            <v>MCPAR ENGEN. COMER. E SERV LTDA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 t="str">
            <v>11662976/0001-46</v>
          </cell>
          <cell r="C451" t="str">
            <v>F CARDOSO SERV DE INFORMAÇÃO LTDA ME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 t="str">
            <v>33787094/0001-40</v>
          </cell>
          <cell r="C452" t="str">
            <v>IBGE - INST. BRASI. DE GEO E ESTA.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31925530/0001-74</v>
          </cell>
          <cell r="C453" t="str">
            <v>SHAFT CONSULTORIA LTDA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 t="str">
            <v>06975694/0001-69</v>
          </cell>
          <cell r="C454" t="str">
            <v>ATM SIST. ENERG. INFOR. LTDA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 t="str">
            <v>02309990/0001-70</v>
          </cell>
          <cell r="C455" t="str">
            <v>AZEVEDO E LUZ COMER. E SERV DE INFO. S/A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08819627/0001-80</v>
          </cell>
          <cell r="C456" t="str">
            <v>DOMINIO CONTABILIDADE LTDA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 t="str">
            <v>12347988/0001-49</v>
          </cell>
          <cell r="C457" t="str">
            <v>4Q TELECOMUNICACOES E MULTIMIDIA LTDA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 t="str">
            <v>10484330/0001-53</v>
          </cell>
          <cell r="C458" t="str">
            <v>LOC MASTER AUTO LOCACAO LTDA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 t="str">
            <v>33183724/0001-77</v>
          </cell>
          <cell r="C459" t="str">
            <v>MODERNOS HOTEIS DO BRASIL LTDA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 t="str">
            <v>14294521/0001-03</v>
          </cell>
          <cell r="C460" t="str">
            <v>TOTAL FILM RJ INST. DE PELICULAS LTDA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 t="str">
            <v>09323210/0001-95</v>
          </cell>
          <cell r="C461" t="str">
            <v>BRAGA E NOVAES LOC. DE VEIC. LTDA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 t="str">
            <v>02558157/0014-87</v>
          </cell>
          <cell r="C462" t="str">
            <v>TELEFONICA BRASIL S.A.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 t="str">
            <v>03873788/0001-39</v>
          </cell>
          <cell r="C463" t="str">
            <v>CANDELABRUS FESTAS LTDA - VIRGINIA D'ARC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 t="str">
            <v>39074190/0006-31</v>
          </cell>
          <cell r="C464" t="str">
            <v>LE TOUR PROD. ALIMENTICIOS LTDA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 t="str">
            <v>03025227/0001-80</v>
          </cell>
          <cell r="C465" t="str">
            <v>I C NASSER E CIA LTDA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 t="str">
            <v>08961200/0001-12</v>
          </cell>
          <cell r="C466" t="str">
            <v>ATHENAS CONTABILIDADE LTDA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 t="str">
            <v>13422884/0001-14</v>
          </cell>
          <cell r="C467" t="str">
            <v>NADJA REGIANE DO NASCIMENTO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 t="str">
            <v>08003201/0001-54</v>
          </cell>
          <cell r="C468" t="str">
            <v>RL CLEAN SERV. DE LIMPEZA E CONS. LTDA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 t="str">
            <v>49351919/0001-19</v>
          </cell>
          <cell r="C469" t="str">
            <v>ASSOC. NAC. DE TRANS. PUBLICOS - ANTP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 t="str">
            <v>10341804/0001-08</v>
          </cell>
          <cell r="C470" t="str">
            <v>PIRES E SCHUNK DESIGN LTDA ME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 t="str">
            <v>01754239/0005-43</v>
          </cell>
          <cell r="C471" t="str">
            <v>REFRIG DUFRIO COM E IMP LTDA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 t="str">
            <v>03582662/0001-05</v>
          </cell>
          <cell r="C472" t="str">
            <v>TRADE CUSTOMS IMPORTE EXPORT LTDA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 t="str">
            <v>78931474/0001-44</v>
          </cell>
          <cell r="C473" t="str">
            <v>REDISUL INFORMATICA LTDA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 t="str">
            <v>02292557/0001-79</v>
          </cell>
          <cell r="C474" t="str">
            <v>SUPER TRAFOS INDUSTRIA E COMERCIO LTDA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 t="str">
            <v>31424369/0001-55</v>
          </cell>
          <cell r="C475" t="str">
            <v>MULTITEC INSTRUMENTOS DE MEDICAO LTDA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 t="str">
            <v>03142200/0001-77</v>
          </cell>
          <cell r="C476" t="str">
            <v>NORMATEC DE SAO CRISTOVAO LTDA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 t="str">
            <v>03687592/0001-50</v>
          </cell>
          <cell r="C477" t="str">
            <v>VALOR ECONOMICO S.A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 t="str">
            <v>14059340/0001-00</v>
          </cell>
          <cell r="C478" t="str">
            <v>PANDORA COM. DE MAT.  DE ESC. DE LIMP.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 t="str">
            <v>26994285/0001-17</v>
          </cell>
          <cell r="C479" t="str">
            <v>TOPOCART TOPOGRAFIA ENG. E AEROL. LTDA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>03951066/0001-55</v>
          </cell>
          <cell r="C480" t="str">
            <v>FOCO ARQUITETOS ASSOCIADOS LTDA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 t="str">
            <v>33717976/0001-39</v>
          </cell>
          <cell r="C481" t="str">
            <v>RIOTRON COMERCIO E INDUSTRIA DE MAQ LTDA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 t="str">
            <v>04656762/0001-00</v>
          </cell>
          <cell r="C482" t="str">
            <v>WALPRINT GRAFICA E EDITORA LTDA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 t="str">
            <v>00441200/0001-80</v>
          </cell>
          <cell r="C483" t="str">
            <v>SERGIO MACHADO REIS EPP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 t="str">
            <v>15278683/0001-10</v>
          </cell>
          <cell r="C484" t="str">
            <v>TAYNAH KAUANY DE OLIV SILVA TRANSPORTE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 t="str">
            <v>31249774/0001-84</v>
          </cell>
          <cell r="C485" t="str">
            <v>MENON COPIAS LTDA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 t="str">
            <v>43217850/0001-59</v>
          </cell>
          <cell r="C486" t="str">
            <v>IOB INFORMACOES OBJ PUB JURIDICAS LTDA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 t="str">
            <v>08740327/0001-01</v>
          </cell>
          <cell r="C487" t="str">
            <v>SYSTEM CARD 460 CONT DE ACESSO E IDENT.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 t="str">
            <v>06281829/0001-96</v>
          </cell>
          <cell r="C488" t="str">
            <v>JP SMART VEND. OP. MAQ. AUTOMATICAS LTDA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 t="str">
            <v>32922205/0001-10</v>
          </cell>
          <cell r="C489" t="str">
            <v>CENTRAL DE AVALIACAO E PERICIAS LTDA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 t="str">
            <v>28015634/0003-07</v>
          </cell>
          <cell r="C490" t="str">
            <v>ESAD CONSULTORIA S/S LTDA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 t="str">
            <v>33073800/0001-91</v>
          </cell>
          <cell r="C491" t="str">
            <v>DANIEL ADVOGADOS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62277041/0001-87</v>
          </cell>
          <cell r="C492" t="str">
            <v>DISAL S.A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10418927/0001-08</v>
          </cell>
          <cell r="C493" t="str">
            <v>ECO PLUS 92 NAT WEAR COM PROD ECOL LTDA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33540014/0001-57</v>
          </cell>
          <cell r="C494" t="str">
            <v>UNIVERSIDADE DO ESTADO DO RIO DE JANEIRO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05170462/0001-70</v>
          </cell>
          <cell r="C495" t="str">
            <v>SMH ASSESSORIA E CONSULTORIA EMPRE. LTDA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05764629/0001-21</v>
          </cell>
          <cell r="C496" t="str">
            <v>DFTRANS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06913480/0001-68</v>
          </cell>
          <cell r="C497" t="str">
            <v>CENTELHA EQUIPAMENTOS ELETRONICOS LTDA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60455193/0001-05</v>
          </cell>
          <cell r="C498" t="str">
            <v>OPENCADD ADVANCED TECHNOLOGY LTDA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68646600000000</v>
          </cell>
          <cell r="C499" t="str">
            <v>INSTITUTO NAC. DE EFICIENCIA ENERGETICA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53113791/0001-22</v>
          </cell>
          <cell r="C500" t="str">
            <v>TOTVS SA</v>
          </cell>
          <cell r="D500">
            <v>-5577.4</v>
          </cell>
          <cell r="E500">
            <v>10710.3</v>
          </cell>
          <cell r="F500">
            <v>-18810.400000000001</v>
          </cell>
          <cell r="G500">
            <v>13677.5</v>
          </cell>
        </row>
        <row r="501">
          <cell r="B501" t="str">
            <v>02687045/0001-01</v>
          </cell>
          <cell r="C501" t="str">
            <v>ADMINISTRADORA SANTA CAROLINA LTDA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33732991/0001-56</v>
          </cell>
          <cell r="C502" t="str">
            <v>ELETRICA ARTURO LTDA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11425781/0001-82</v>
          </cell>
          <cell r="C503" t="str">
            <v>GRP SOLUTIONS INFORMATICA LTDA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10354189/0001-74</v>
          </cell>
          <cell r="C504" t="str">
            <v>MACEIO SERVICOS LTDA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39119656/0001-63</v>
          </cell>
          <cell r="C505" t="str">
            <v>MULTISUPRIMENTOS SUP E EQUIP P/ ESC INFO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32265811/0001-00</v>
          </cell>
          <cell r="C506" t="str">
            <v>BOLSA DE NEGOCIO IMOBILARIOS DO RIO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34135509/0001-63</v>
          </cell>
          <cell r="C507" t="str">
            <v>APIMEC RIO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33368762/0001-02</v>
          </cell>
          <cell r="C508" t="str">
            <v>EMD RIO GUARDA MOVEIS E MUDANCAS LTDA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32106536/0001-82</v>
          </cell>
          <cell r="C509" t="str">
            <v>EDITORA OBJETIVA LTDA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33633561/0001-87</v>
          </cell>
          <cell r="C510" t="str">
            <v>LEME ENGENHARIA LTDA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04911597/00001-87</v>
          </cell>
          <cell r="C511" t="str">
            <v>TREINAMENTO AVANCADO LTDA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09512865/0001-01</v>
          </cell>
          <cell r="C512" t="str">
            <v>SANDERCOM COMERCIO DE INFORMATICA LTDA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07522669/0001-92</v>
          </cell>
          <cell r="C513" t="str">
            <v>CEB DISTRIBUICAO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08208924/0001-90</v>
          </cell>
          <cell r="C514" t="str">
            <v>FORT SAFE COMERCIO DE COFRE LTDA ME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02605452/0001-22</v>
          </cell>
          <cell r="C515" t="str">
            <v>VIP SERVICE CLUB LOCADORA LTDA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 t="str">
            <v>04982263/0001-02</v>
          </cell>
          <cell r="C516" t="str">
            <v>MONTALVO ADMINISTRACAO E PARTICIPACOES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 t="str">
            <v>33569146/0001-01</v>
          </cell>
          <cell r="C517" t="str">
            <v>BAZAR DOS PRATOS LTDA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 t="str">
            <v>09116592/0001-86</v>
          </cell>
          <cell r="C518" t="str">
            <v>BELLCOMS COM E PREST SERV INFORM LTDA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 t="str">
            <v>62410352/0019-00</v>
          </cell>
          <cell r="C519" t="str">
            <v>LIVRARIA CULTURA S.A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 t="str">
            <v>05977006/0001-37</v>
          </cell>
          <cell r="C520" t="str">
            <v>YP PERSIANAS LTDA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 t="str">
            <v>15272192/0001-62</v>
          </cell>
          <cell r="C521" t="str">
            <v>NOVA TECNICA EDITORA LTDA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 t="str">
            <v>12063470/0001-83</v>
          </cell>
          <cell r="C522" t="str">
            <v>ECOENERGIA EDITORA LTDA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 t="str">
            <v>02990717/0001-53</v>
          </cell>
          <cell r="C523" t="str">
            <v>MACROPLAN PROSPECTVA ESTRATEGIA E GESTAO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 t="str">
            <v>03584647/0001-04</v>
          </cell>
          <cell r="C524" t="str">
            <v>NELSON WILIANS E ADVOGADOS ASSOCIADOS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 t="str">
            <v>07022584/0001-45</v>
          </cell>
          <cell r="C525" t="str">
            <v>LIVRARIA CAFE DO WILSINHO LTDA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 t="str">
            <v>42288886/0001-60</v>
          </cell>
          <cell r="C526" t="str">
            <v>CENTRO DE PESQ DE ENERGIA ELETRICA CEPEL</v>
          </cell>
          <cell r="D526">
            <v>0</v>
          </cell>
          <cell r="E526">
            <v>11111.12</v>
          </cell>
          <cell r="F526">
            <v>-11111.12</v>
          </cell>
          <cell r="G526">
            <v>0</v>
          </cell>
        </row>
        <row r="527">
          <cell r="B527" t="str">
            <v>60215282/0001-76</v>
          </cell>
          <cell r="C527" t="str">
            <v>SOCIEDADE BRAS. DE PESQ. OPER. SOBRAPO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 t="str">
            <v>05313684/0001-03</v>
          </cell>
          <cell r="C528" t="str">
            <v>MOURAO MARMORES E GRANITOS LTDA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62958863/0001-23</v>
          </cell>
          <cell r="C529" t="str">
            <v>WGR INDUSTRIA COM. IMP. E EXP. LTDA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02718533/0001-39</v>
          </cell>
          <cell r="C530" t="str">
            <v>SHOPPING HOUSE UTIL. PARA O LAR LTDA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1250701</v>
          </cell>
          <cell r="C531" t="str">
            <v>CRISDINBASTOS LTDA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3623409</v>
          </cell>
          <cell r="C532" t="str">
            <v>BAZAR FLOR DO ACRE LTDA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00673757/0001-46</v>
          </cell>
          <cell r="C533" t="str">
            <v>INFNET EDUCACAO LTDA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04927672/0001-06</v>
          </cell>
          <cell r="C534" t="str">
            <v>SC&amp;M COMER. DE MAT. DE ESCR. E INFO. LT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02309765/0001-03</v>
          </cell>
          <cell r="C535" t="str">
            <v>EGIDE COM. DE VEST. E ELETROD. LTDA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30069850/0001-07</v>
          </cell>
          <cell r="C536" t="str">
            <v>MAXPEL DIST. DE INFORM. E PAPELARIA LTDA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03420926/0058-60</v>
          </cell>
          <cell r="C537" t="str">
            <v>GLOBAL VILLAGE TELECOM LTDA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01085952/0001-18</v>
          </cell>
          <cell r="C538" t="str">
            <v>PRONTIDAO SERVICOS LTDA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11114463/0001-09</v>
          </cell>
          <cell r="C539" t="str">
            <v>GRAF EDIT FORMU CONTI E ETIQUE F&amp;F LTDA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03620596/0012-73</v>
          </cell>
          <cell r="C540" t="str">
            <v>DIDICO COMERCIO CONSULTORIA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14314927/0001-00</v>
          </cell>
          <cell r="C541" t="str">
            <v>VEM QUE AQUI TEM INFORMATICA LTDA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33085796/0001-81</v>
          </cell>
          <cell r="C542" t="str">
            <v>FERRAGENS SCALEA LTDA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10979108/0001-21</v>
          </cell>
          <cell r="C543" t="str">
            <v>DHI BRASIL LTDA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05875886/0001-30</v>
          </cell>
          <cell r="C544" t="str">
            <v>MENEGHITTIS GRAFICA E EDITORA LTDA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01778924/0001-86</v>
          </cell>
          <cell r="C545" t="str">
            <v>GELSO ANTONIO LORENZI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07267692/0001-88</v>
          </cell>
          <cell r="C546" t="str">
            <v>TIMELINE LEARNING SYSTEMS COMP GRAF LTDA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02707366/0001-20</v>
          </cell>
          <cell r="C547" t="str">
            <v>AMS INFORMATICA LTDA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01398737/0001-77</v>
          </cell>
          <cell r="C548" t="str">
            <v>CURSO ADV LTDA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14208689/0001-59</v>
          </cell>
          <cell r="C549" t="str">
            <v>BARLOVENTO BRASIL ENERG RENOVAVEIS LTDA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14798807/0001-26</v>
          </cell>
          <cell r="C550" t="str">
            <v>GENEBRA RESTAURANTE LTDA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04073247/0001-99</v>
          </cell>
          <cell r="C551" t="str">
            <v>LEMA PROMOCOES E EVENTOS LTDA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08964597/0001-04</v>
          </cell>
          <cell r="C552" t="str">
            <v>REPUBLICA DO SOM ELETRONICA LTDA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 t="str">
            <v>51536795/0001-98</v>
          </cell>
          <cell r="C553" t="str">
            <v>SANTIAGO &amp; CINTRA IMPORT E EXPORT LTDA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 t="str">
            <v>0448141/0001-52</v>
          </cell>
          <cell r="C554" t="str">
            <v>IGUACU TUR AGENC DE VIAG E TUR LTDA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32578400000000</v>
          </cell>
          <cell r="C555" t="str">
            <v>UNITECH-RIO COM. E SERV. LTDA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 t="str">
            <v>01797423/0001-47</v>
          </cell>
          <cell r="C556" t="str">
            <v>GHS INDUSTRIA E SERVICOS LTDA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 t="str">
            <v>05777480/0001-15</v>
          </cell>
          <cell r="C557" t="str">
            <v>JBP DOMINICI ME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 t="str">
            <v>53828620/0001-80</v>
          </cell>
          <cell r="C558" t="str">
            <v>SOCIEDADE BRASILEIRA DE ICTIOLOGIA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 t="str">
            <v>16687498/0001-42</v>
          </cell>
          <cell r="C559" t="str">
            <v>PEX SA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 t="str">
            <v>05824164/0001-28</v>
          </cell>
          <cell r="C560" t="str">
            <v>IBDE INST BRAS DE EST DIREITO ENERGIA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 t="str">
            <v>08311546/0001-75</v>
          </cell>
          <cell r="C561" t="str">
            <v>FRAGMEUSER COM D MAQ E EQUIP D ESCR LTDA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 t="str">
            <v>10830126/000147</v>
          </cell>
          <cell r="C562" t="str">
            <v>RESOLUTION CONSUL EM GEST EMPRE E TECN D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B563" t="str">
            <v>33769639/000195</v>
          </cell>
          <cell r="C563" t="str">
            <v>ELETRICA SANTO MICHELE LTDA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B564" t="str">
            <v>04325027/0001-05</v>
          </cell>
          <cell r="C564" t="str">
            <v>CALIFORNIA 2001 INFO E MAT LIMPEZA LTDA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B565" t="str">
            <v>08794730/0001-13</v>
          </cell>
          <cell r="C565" t="str">
            <v>RIOOFFSITE SERVICOS DE FITOTECA LTDA</v>
          </cell>
          <cell r="D565">
            <v>0</v>
          </cell>
          <cell r="E565">
            <v>1418.9</v>
          </cell>
          <cell r="F565">
            <v>-1418.9</v>
          </cell>
          <cell r="G565">
            <v>0</v>
          </cell>
        </row>
        <row r="566">
          <cell r="B566" t="str">
            <v>62916366/0001-62</v>
          </cell>
          <cell r="C566" t="str">
            <v>SOCIEDADE BRASILEIRA DE GEOLOGIA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B567" t="str">
            <v>10787431/0001-01</v>
          </cell>
          <cell r="C567" t="str">
            <v>INTITUTO BESC DE HUMANIDADE E ECONOMIA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B568" t="str">
            <v>00771775/0001-60</v>
          </cell>
          <cell r="C568" t="str">
            <v>JOBAF REFORMAS DE MOVEIS LTDA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B569" t="str">
            <v>13293067/0001-03</v>
          </cell>
          <cell r="C569" t="str">
            <v>MC QUILLING BRASIL SERV MARITIMOS LTDA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B570" t="str">
            <v>07668045/0001-88</v>
          </cell>
          <cell r="C570" t="str">
            <v>IMAGEM SISTEMAS DE INFORMACOES LTDA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B571" t="str">
            <v>14132747/0001-08</v>
          </cell>
          <cell r="C571" t="str">
            <v>ESCOLA DE AUDIT E GOVER CORPORATIVA LTDA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B572" t="str">
            <v>02317176/0001-05</v>
          </cell>
          <cell r="C572" t="str">
            <v>ESCOLA DE ADMINISTRACAO FAZENDARIA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B573" t="str">
            <v>06952344/000187</v>
          </cell>
          <cell r="C573" t="str">
            <v>CONSULTOC-CONSULTORIA E TREINAMENTO LTDA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B574" t="str">
            <v>06229883/0001-92</v>
          </cell>
          <cell r="C574" t="str">
            <v>QUANTUM DO BRASIL LTDA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B575">
            <v>14084400000000</v>
          </cell>
          <cell r="C575" t="str">
            <v>INSTITUTO CAPACITAR DE EDUCACAO PROF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B576" t="str">
            <v>13242948/0001-03</v>
          </cell>
          <cell r="C576" t="str">
            <v>DATAGRO MARKETS DADOS E ANALISES LTDA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B577" t="str">
            <v>66542002/0017-88</v>
          </cell>
          <cell r="C577" t="str">
            <v>BLUE TREE HOTELS &amp; RESORTS DO BRASIL S.A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B578" t="str">
            <v>73681603/0001-70</v>
          </cell>
          <cell r="C578" t="str">
            <v>NEO CARE CONSUL INFANTIL LTDA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B579" t="str">
            <v>08493691/0001-14</v>
          </cell>
          <cell r="C579" t="str">
            <v>FLAMAM IND E COM DE FILTROS INDUS LTDA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B580" t="str">
            <v>04629369/000119</v>
          </cell>
          <cell r="C580" t="str">
            <v>CA SIMPLES COMERCIO E TECNOLOGIA LTDA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B581" t="str">
            <v>14242413/000197</v>
          </cell>
          <cell r="C581" t="str">
            <v>GL GARRAD HASSAN ENER RENOVAVEL BR LTDA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B582" t="str">
            <v>32059016/0001-66</v>
          </cell>
          <cell r="C582" t="str">
            <v>ENGEPLAC SIST DE COM VISU LTDA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B583" t="str">
            <v>13425600/0001-43</v>
          </cell>
          <cell r="C583" t="str">
            <v>SAID AUDIOVISUAL LOC DE EQUI P/ TRAD SIM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B584" t="str">
            <v>11290557/0001-20</v>
          </cell>
          <cell r="C584" t="str">
            <v>FRANCA COM DE ELTR IMP E EXP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B585" t="str">
            <v>28948222/0001-50</v>
          </cell>
          <cell r="C585" t="str">
            <v>PAPELARIA ZAP LTDA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B586" t="str">
            <v>87270690/0001-87</v>
          </cell>
          <cell r="C586" t="str">
            <v>COMERCIO DE APAR MUSICAIS MIL SONS LTDA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B587" t="str">
            <v>08463170/0003-86</v>
          </cell>
          <cell r="C587" t="str">
            <v>EDITORA WMF MARTINS FONTES LTDA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B588" t="str">
            <v>32578387/0001-54</v>
          </cell>
          <cell r="C588" t="str">
            <v>UNITECH RIO COMERCIO E SERV LTDA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B589" t="str">
            <v>07661783/0001-01</v>
          </cell>
          <cell r="C589" t="str">
            <v>AGC RIO FRETAMENTO E TURISMO LTDA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B590" t="str">
            <v>27158039/0001-98</v>
          </cell>
          <cell r="C590" t="str">
            <v>AGEL COP SERVICOS GERAIS LTDA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B591" t="str">
            <v>01000601/0001-57</v>
          </cell>
          <cell r="C591" t="str">
            <v>KAHN CONSULTORIA E TREINAMENTO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B592" t="str">
            <v>07797967/0001-95</v>
          </cell>
          <cell r="C592" t="str">
            <v>NP-EVENTOS E SERVICOS LTDA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B593" t="str">
            <v>54394630/0002-06</v>
          </cell>
          <cell r="C593" t="str">
            <v>SERVICES LIVRARIA E EDITORA LTDA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B594" t="str">
            <v>02660104/0001-58</v>
          </cell>
          <cell r="C594" t="str">
            <v>LOGUS DETETIZADORA LTDA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B595" t="str">
            <v>06326048/0001-70</v>
          </cell>
          <cell r="C595" t="str">
            <v>OVERSTRESS RIO SERVICOS DE RELAXAMENTO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B596" t="str">
            <v>07271878/0001-00</v>
          </cell>
          <cell r="C596" t="str">
            <v>GRUPO JAM AGENC DE PUBLICIDADE LTDA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B597" t="str">
            <v>81241515/0001-85</v>
          </cell>
          <cell r="C597" t="str">
            <v>AEROIMAGENS S/A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B598" t="str">
            <v>01312265/0001-98</v>
          </cell>
          <cell r="C598" t="str">
            <v>VIRTUAL OFFICE COM E IND DE PROD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B599" t="str">
            <v>05816526/0001-68</v>
          </cell>
          <cell r="C599" t="str">
            <v>ZIVA TECNOLOGIA E SOLUCOES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B600" t="str">
            <v>35949858/0001-81</v>
          </cell>
          <cell r="C600" t="str">
            <v>ESCOLA DA MAGISTRATURA DO ESTADO RJ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B601" t="str">
            <v>04183043/0001-00</v>
          </cell>
          <cell r="C601" t="str">
            <v>INNOLAB DO BRASIL LTDA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B602" t="str">
            <v>62567821/0001-61</v>
          </cell>
          <cell r="C602" t="str">
            <v>ABEGAS - ASSOCIACAO BRASILEIRA DAS EMPRE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B603" t="str">
            <v>02457524/0001-31</v>
          </cell>
          <cell r="C603" t="str">
            <v>PUBLINT-PUBL NAC E INT LTDA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B604" t="str">
            <v>12711505/0001-43</v>
          </cell>
          <cell r="C604" t="str">
            <v>EDITORA PAPEIS NOVA ALIANCA LTDA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B605" t="str">
            <v>12964018/0001-92</v>
          </cell>
          <cell r="C605" t="str">
            <v>AS MARIAS PROPAGANDA LTDA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B606" t="str">
            <v>09385180/0001-41</v>
          </cell>
          <cell r="C606" t="str">
            <v>IMPRIMINDO CONHECIMENTOS GRAF EDIT LTDA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B607" t="str">
            <v>04576573/0001-19</v>
          </cell>
          <cell r="C607" t="str">
            <v>IGPLAN INTELIGENCIA GEOGRAFICA LTDA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B608" t="str">
            <v>11050925/0001-63</v>
          </cell>
          <cell r="C608" t="str">
            <v>GESEQ COMERCIO E SERVICOS DE SEGURANCA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B609" t="str">
            <v>07134279/0001-45</v>
          </cell>
          <cell r="C609" t="str">
            <v>NOVATERRA GEOP. E CONS. EM MEIO AMBIENTE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B610" t="str">
            <v>35808948/00001-52</v>
          </cell>
          <cell r="C610" t="str">
            <v>HABTEC ENGENHARIA SANITARIA E AMBIENTAL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B611" t="str">
            <v>10785597/0001-80</v>
          </cell>
          <cell r="C611" t="str">
            <v>PALISADE COMERCIALIZADORA  DE SOFTWARES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B612" t="str">
            <v>36084895/0001-37</v>
          </cell>
          <cell r="C612" t="str">
            <v>STRAICK CENTRO DE TREINAMENTO E INF LTDA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B613" t="str">
            <v>31304371/00001-90</v>
          </cell>
          <cell r="C613" t="str">
            <v>JOALHERIA SILVA CAMPOS  LTDA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B614" t="str">
            <v>08942118-0001/40</v>
          </cell>
          <cell r="C614" t="str">
            <v>ART DECOR CARPETES PISOS  E REVESTIMENTO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B615" t="str">
            <v>05325136/0001-95</v>
          </cell>
          <cell r="C615" t="str">
            <v>UB BRASIL EVENTOS LTDA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B616" t="str">
            <v>08824171/0003-09</v>
          </cell>
          <cell r="C616" t="str">
            <v>JCM NITEROI REFRIGERACAO LTDA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B617" t="str">
            <v>35808088/0001-57</v>
          </cell>
          <cell r="C617" t="str">
            <v>P C E PROJETOS E CONSULT DE ENG LTDA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B618" t="str">
            <v>03851171/0001-12</v>
          </cell>
          <cell r="C618" t="str">
            <v>SERVICO SOCIAL DA INDUSTRIA - SESI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B619" t="str">
            <v>05396069/0001-08</v>
          </cell>
          <cell r="C619" t="str">
            <v>NOVO PONTO DIGITAL COMERCIO LTDA EPP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B620" t="str">
            <v>11209430/0001-34</v>
          </cell>
          <cell r="C620" t="str">
            <v>EASYTS ASSESSORIA LINGUISTICA LTDA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B621" t="str">
            <v>03928633/0017-10</v>
          </cell>
          <cell r="C621" t="str">
            <v>HOUTER DO BRASIL LTDA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B622" t="str">
            <v>10411968/0001-64</v>
          </cell>
          <cell r="C622" t="str">
            <v>WOOD MACKENZE CONSULTORIA E ASSESSORIA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B623" t="str">
            <v>72381189/0006-25</v>
          </cell>
          <cell r="C623" t="str">
            <v>DELL COMPUTADORES DO BRASIL LTDA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B624" t="str">
            <v>01113391/0001-13</v>
          </cell>
          <cell r="C624" t="str">
            <v>DOCUMENTAR TECNOLOGIA E INFORMACAO  LTDA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B625" t="str">
            <v>15208337/0001-66</v>
          </cell>
          <cell r="C625" t="str">
            <v>RICETE CONSERTOS E MANUTENCAO LTDA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B626" t="str">
            <v>15276795/0001-32</v>
          </cell>
          <cell r="C626" t="str">
            <v>SERCOM SOLUCOES LTDA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B627" t="str">
            <v>88766936/0001-79</v>
          </cell>
          <cell r="C627" t="str">
            <v>MARELLI MOVEIS PARA ESCRITORIO LTDA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B628" t="str">
            <v>13098174/0001-80</v>
          </cell>
          <cell r="C628" t="str">
            <v>MACIEL AUDITORES S/S - EPP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B629" t="str">
            <v>36207710/0001-34</v>
          </cell>
          <cell r="C629" t="str">
            <v>DUPLICA SOM IND. COM. LTDA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B630" t="str">
            <v>07815873/0001-00</v>
          </cell>
          <cell r="C630" t="str">
            <v>FUNDACAO TROMPOWSKY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B631" t="str">
            <v>04234330/0001-00</v>
          </cell>
          <cell r="C631" t="str">
            <v>MENEGATTI SOLUCOES SOFTWARE LTDA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B632" t="str">
            <v>05102374/0001-31</v>
          </cell>
          <cell r="C632" t="str">
            <v>EXTINFIRE EXTINTORES LTDA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B633" t="str">
            <v>07055987/0001-90</v>
          </cell>
          <cell r="C633" t="str">
            <v>INOVAMAX TELEINFORMATICA LTDA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 t="str">
            <v>07799454/0001-13</v>
          </cell>
          <cell r="C634" t="str">
            <v>CENOFISCO CENTRO DE CAP. PROFISSIONAL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B635" t="str">
            <v>09308557/0001-69</v>
          </cell>
          <cell r="C635" t="str">
            <v>BUREAURIO REPROGRAFIA E SERVICOS LTDA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 t="str">
            <v>76703404/0001-03</v>
          </cell>
          <cell r="C636" t="str">
            <v>FERMA ENGENHARIA LTDA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B637" t="str">
            <v>33683111/0008-75</v>
          </cell>
          <cell r="C637" t="str">
            <v>SERVICO FEDERAL DE PROC DE DADOS SERPRO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 t="str">
            <v>02249861/0001-33</v>
          </cell>
          <cell r="C638" t="str">
            <v>ASMEP ASSISTENCIAL DE MOLAS E PORTAS LTD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>
            <v>10282700000000</v>
          </cell>
          <cell r="C639" t="str">
            <v>INSTITUTO SOCIAL IRIS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B640" t="str">
            <v>04672955/0001-46</v>
          </cell>
          <cell r="C640" t="str">
            <v>MR IRMAO MANSUR LTDA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B641" t="str">
            <v>90051160/0001-52</v>
          </cell>
          <cell r="C641" t="str">
            <v>BORTOLINI INDUSTRIA DE MOVEIS LTDA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 t="str">
            <v>31401128/0001-90</v>
          </cell>
          <cell r="C642" t="str">
            <v>META EXTINTORES LTDA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B643" t="str">
            <v>17299828/0001-95</v>
          </cell>
          <cell r="C643" t="str">
            <v>JOSE ARMESINO RODRIGUES NETO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B644" t="str">
            <v>86781069/0001-15</v>
          </cell>
          <cell r="C644" t="str">
            <v>ZENITE INFORMACAO E CONSULTORIA S/A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B645" t="str">
            <v>06309379/0001-00</v>
          </cell>
          <cell r="C645" t="str">
            <v>NOVE ORGANIZACAO DE EVENTOS LTDA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B646" t="str">
            <v>03734114/0001-53</v>
          </cell>
          <cell r="C646" t="str">
            <v>A. ALMEIDA NAVEGACAO E TURISMO LTDA - ME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B647" t="str">
            <v>09545938/0001-61</v>
          </cell>
          <cell r="C647" t="str">
            <v>INDUSTRIA GOMES MOVEIS DE ACO LTDA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B648" t="str">
            <v>01802270/0001-89</v>
          </cell>
          <cell r="C648" t="str">
            <v>SOCIEDADE BRASILEIRA DE METROLOGIA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 t="str">
            <v>16455078/0001-30</v>
          </cell>
          <cell r="C649" t="str">
            <v>BRASILIMP LIMPEZA CERTA LTDA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B650" t="str">
            <v>05276095/0001-94</v>
          </cell>
          <cell r="C650" t="str">
            <v>M. M. 36 MATERIAIS DE LIMPEZA LTDA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 t="str">
            <v>08726836/0001-80</v>
          </cell>
          <cell r="C651" t="str">
            <v>SUPRIWEB COM E SERV INFORMATICA LTDA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B652" t="str">
            <v>08255393/0001-96</v>
          </cell>
          <cell r="C652" t="str">
            <v>FOCO OPINIAO E MERCADO LTDA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 t="str">
            <v>10213136/0001-33</v>
          </cell>
          <cell r="C653" t="str">
            <v>INDUSTEC COM. E SERV. DE EQUIP. ELET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 t="str">
            <v>00276225/0001-75</v>
          </cell>
          <cell r="C654" t="str">
            <v>BELO HORIZONTE SISTEMAS LTDA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B655" t="str">
            <v>30055164/0001-87</v>
          </cell>
          <cell r="C655" t="str">
            <v>ROSARIO PLACAS E CARIMBOS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B656" t="str">
            <v>10828695/0001-58</v>
          </cell>
          <cell r="C656" t="str">
            <v>V3 AGENCIA DE PUBLICIDADE E EVENTOS LTDA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B657" t="str">
            <v>18546745/0001-16</v>
          </cell>
          <cell r="C657" t="str">
            <v>LB SERVICOS DE INSTALACOES EIRELI EPP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B658" t="str">
            <v>06954157/0001-32</v>
          </cell>
          <cell r="C658" t="str">
            <v>FRANCISCO A A MEDEIRO IND E COMERCIO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B659" t="str">
            <v>10646995/0001-16</v>
          </cell>
          <cell r="C659" t="str">
            <v>DCL BRASIL DISTRIBUIDORA LTDA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B660" t="str">
            <v>47866934/0001-74</v>
          </cell>
          <cell r="C660" t="str">
            <v>TICKET SERVICOS SA</v>
          </cell>
          <cell r="D660">
            <v>0</v>
          </cell>
          <cell r="E660">
            <v>0</v>
          </cell>
          <cell r="F660">
            <v>-1450</v>
          </cell>
          <cell r="G660">
            <v>1450</v>
          </cell>
        </row>
        <row r="661">
          <cell r="B661" t="str">
            <v>20198527/0001-80</v>
          </cell>
          <cell r="C661" t="str">
            <v>PABIO FERREIRA VILELA - ME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>
            <v>2794423</v>
          </cell>
          <cell r="C662" t="str">
            <v>UILIAN DE OLIVEIRA JUNIOR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 t="str">
            <v>08060705/0001-06</v>
          </cell>
          <cell r="C663" t="str">
            <v>BCA SERVICOS DE INFORMATICA LTDA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B664" t="str">
            <v>31823255/0001-88</v>
          </cell>
          <cell r="C664" t="str">
            <v>AGENCIA PORA LTDA ME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 t="str">
            <v>08050705/0001-06</v>
          </cell>
          <cell r="C665" t="str">
            <v>BCA SERVICOS DE INFORMATICA LTDA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B666">
            <v>7874590000000</v>
          </cell>
          <cell r="C666" t="str">
            <v>INSTITUTO BRAMANTE DE DESEN PROFISSIONAL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B667" t="str">
            <v>16887672/0001-09</v>
          </cell>
          <cell r="C667" t="str">
            <v>PROTON COM DE ELETRO-ELETRONICOS EIRELI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B668" t="str">
            <v>03718164/0001-47</v>
          </cell>
          <cell r="C668" t="str">
            <v>WEINSTEIN INFORMATICA LTDA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B669" t="str">
            <v>15165950/0001-43</v>
          </cell>
          <cell r="C669" t="str">
            <v>ATUALIZACAO PROFISSIONAL CONT E JUR LTDA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B670" t="str">
            <v>06955770/0001-74</v>
          </cell>
          <cell r="C670" t="str">
            <v>P&amp;P TURISMO LTDA ME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B671" t="str">
            <v>59527788/0002-12</v>
          </cell>
          <cell r="C671" t="str">
            <v>ERNST &amp; YOUNG ASSESSORIA EMPRESARIAL LTD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 t="str">
            <v>49058654/0001-65</v>
          </cell>
          <cell r="C672" t="str">
            <v>FLEXFORM INDUSTRIA METALURGICA LTDA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 t="str">
            <v>00714403/0001-80</v>
          </cell>
          <cell r="C673" t="str">
            <v>ELO CONSULTORIA EMP. E PROD. DE EVENTOS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 t="str">
            <v>15691419/0001-04</v>
          </cell>
          <cell r="C674" t="str">
            <v>STRUTTURA COM E INST DE PERFIS MET LTDA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B675" t="str">
            <v>17066652/0001-21</v>
          </cell>
          <cell r="C675" t="str">
            <v>COMFAST COMERCIO DE MATERIAL DE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B676" t="str">
            <v>01516572/0001-90</v>
          </cell>
          <cell r="C676" t="str">
            <v>COMPUSOFTWARE INFORMATICA LTDA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B677" t="str">
            <v>09604060/0001-98</v>
          </cell>
          <cell r="C677" t="str">
            <v>BRACIER - COMITE BRASILEIRO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 t="str">
            <v>11373634/0001-06</v>
          </cell>
          <cell r="C678" t="str">
            <v>MEC ETIQUETAS E ROTULOS LTDA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B679" t="str">
            <v>03148451/0001-69</v>
          </cell>
          <cell r="C679" t="str">
            <v>SECULLUM SOFTWARES LTDA EPP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B680" t="str">
            <v>07639095/0001-37</v>
          </cell>
          <cell r="C680" t="str">
            <v>INTITUTO ILOS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B681" t="str">
            <v>17869849/0001-07</v>
          </cell>
          <cell r="C681" t="str">
            <v>AIR TIME RJ AR CONDICIONADO LTDA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B682" t="str">
            <v>18457113/0001-86</v>
          </cell>
          <cell r="C682" t="str">
            <v>ALL GOOD SUPRIMENTOS E EQUIPAMENTOS LTDA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B683" t="str">
            <v>07341418/0001-01</v>
          </cell>
          <cell r="C683" t="str">
            <v>INFORMA ECONOMICS FNP CONSULT LTDA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B684" t="str">
            <v>09388567/0001-51</v>
          </cell>
          <cell r="C684" t="str">
            <v>SHOW TECNOLOGIA DA INFORMACAO LTDA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B685" t="str">
            <v>12157917/0001-83</v>
          </cell>
          <cell r="C685" t="str">
            <v>ELETRICA KVA LTDA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B686" t="str">
            <v>16735032/0001-75</v>
          </cell>
          <cell r="C686" t="str">
            <v>FABIO DUTRA DECORACOES LTDA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B687" t="str">
            <v>05673029/0001-58</v>
          </cell>
          <cell r="C687" t="str">
            <v>DROGARIA MONTANA LTDA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B688" t="str">
            <v>04481410/000152</v>
          </cell>
          <cell r="C688" t="str">
            <v>NÃO USAR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B689" t="str">
            <v>12432924/0001-46</v>
          </cell>
          <cell r="C689" t="str">
            <v>CASA VIVA EVENTOS AMBIENTAIS LTDA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B690" t="str">
            <v>71584338/0001-86</v>
          </cell>
          <cell r="C690" t="str">
            <v>ELO ENGENHARIA COMERCIO E CONSTRUÇOES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B691" t="str">
            <v>34275982/0001-46</v>
          </cell>
          <cell r="C691" t="str">
            <v>PAPELARIA APOLLO LTDA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B692" t="str">
            <v>08881332/0001-34</v>
          </cell>
          <cell r="C692" t="str">
            <v>VOLGA ENGENHARIA DE PRODUCAO LTDA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B693" t="str">
            <v>12622028/0001-40</v>
          </cell>
          <cell r="C693" t="str">
            <v>GLOBALPRINT EDITORA GRAFICA LTDA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B694" t="str">
            <v>40389603/0001-41</v>
          </cell>
          <cell r="C694" t="str">
            <v>ESTOFADOS BEM NA MODA LTDA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B695" t="str">
            <v>05340639/0001-30</v>
          </cell>
          <cell r="C695" t="str">
            <v>PRIME CONSULTORIA E ASSESSORIA EMP. LTDA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B696" t="str">
            <v>40432544/0001-47</v>
          </cell>
          <cell r="C696" t="str">
            <v>CLARO S/A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B697" t="str">
            <v>02191676/0001-35</v>
          </cell>
          <cell r="C697" t="str">
            <v>FORSEG COMERCIO DE EXTINTORES LTDA -ME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B698" t="str">
            <v>07692685/0001-23</v>
          </cell>
          <cell r="C698" t="str">
            <v>J S R C GNV SEGURANCA CONTRA INCENDIO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B699" t="str">
            <v>01513667/0001-50</v>
          </cell>
          <cell r="C699" t="str">
            <v>KA IQUE COMERCIO E SERVICOS EIRELI EPP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 t="str">
            <v>05930146/0001-50</v>
          </cell>
          <cell r="C700" t="str">
            <v>FERNANDO JC PINASSO ASSESSORIA  EVENTOS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 t="str">
            <v>00849315/0001-08</v>
          </cell>
          <cell r="C701" t="str">
            <v>FN EQUIP TECNOLOGICOS E  SEGURANCA LTDA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 t="str">
            <v>10777099/0001-96</v>
          </cell>
          <cell r="C702" t="str">
            <v>BRXNQ TELECOMUNICACOES LTDA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B703" t="str">
            <v>76535764/0001-43</v>
          </cell>
          <cell r="C703" t="str">
            <v>OI SA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B704" t="str">
            <v>62652961/0001-38</v>
          </cell>
          <cell r="C704" t="str">
            <v>AGENCIA ESTADO S.A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B705" t="str">
            <v>10727138/0001-40</v>
          </cell>
          <cell r="C705" t="str">
            <v>CVNI CENTRO DE VACINACAO NOVA IGUACU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B706" t="str">
            <v>00055671/0001-50</v>
          </cell>
          <cell r="C706" t="str">
            <v>VAN MEX COMERCIAL E SERVIÇOS LTDA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B707" t="str">
            <v>01436782/0001-79</v>
          </cell>
          <cell r="C707" t="str">
            <v>KANTRO SERVICOS TERCEIRIZADOS LTDA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B708" t="str">
            <v>16465373/0001-78</v>
          </cell>
          <cell r="C708" t="str">
            <v>L R B NEVES GRAFICA EDITORA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B709" t="str">
            <v>14438757/0001-76</v>
          </cell>
          <cell r="C709" t="str">
            <v>CAM TECNOLOGIA LTDA ME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B710" t="str">
            <v>08286246/0001-83</v>
          </cell>
          <cell r="C710" t="str">
            <v>NEWCREATIVE ARTESHOW LTDA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 t="str">
            <v>14644934/0001-70</v>
          </cell>
          <cell r="C711" t="str">
            <v>SOCIEDADE BRASILEIRA DE GEOFISICA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4709190000000</v>
          </cell>
          <cell r="C712" t="str">
            <v>INSTITUTO ACENDE BRASIL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 t="str">
            <v>13060810/0001-85</v>
          </cell>
          <cell r="C713" t="str">
            <v>SUPRIZ COMERCIO DE SUPRIMENTOS LTDA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 t="str">
            <v>21340197/0001-88</v>
          </cell>
          <cell r="C714" t="str">
            <v>TECHVET SERVICOS LTDA ME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>
            <v>7866290000000</v>
          </cell>
          <cell r="C715" t="str">
            <v>INSTITUTO BRASILEIRO DE DIREITO PUBLICO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 t="str">
            <v>10825457/0001-99</v>
          </cell>
          <cell r="C716" t="str">
            <v>IOC CAPACITACAO LTDA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 t="str">
            <v>94526480/0001-72</v>
          </cell>
          <cell r="C717" t="str">
            <v>M R S ESTUDOS AMBIENTAIS LTDA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 t="str">
            <v>08379106/0001-50</v>
          </cell>
          <cell r="C718" t="str">
            <v>PAPELARIA BASE DAS ARTES LTDA ME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B719" t="str">
            <v>03746938/0001-43</v>
          </cell>
          <cell r="C719" t="str">
            <v>STAPLES BRASIL COM DE MATERIAIS DE ESCR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B720" t="str">
            <v>19950386/0001-20</v>
          </cell>
          <cell r="C720" t="str">
            <v>SINERGIA COM E SERV DE EQUI ELETRO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 t="str">
            <v>3259002/0001-74</v>
          </cell>
          <cell r="C721" t="str">
            <v>ARACAJU ELETRO FERRAGENS LTDA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 t="str">
            <v>59105999/0001-86</v>
          </cell>
          <cell r="C722" t="str">
            <v>WHIRLPOOL SA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 t="str">
            <v>18090313/0001-43</v>
          </cell>
          <cell r="C723" t="str">
            <v>DALA SERVICE AR CONDICIONADO LTDA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 t="str">
            <v>06012731/0001-33</v>
          </cell>
          <cell r="C724" t="str">
            <v>ONE CURSOS-TREINAMENTO DESEN CAPACITACAO</v>
          </cell>
          <cell r="D724">
            <v>0</v>
          </cell>
          <cell r="E724">
            <v>4350</v>
          </cell>
          <cell r="F724">
            <v>-4350</v>
          </cell>
          <cell r="G724">
            <v>0</v>
          </cell>
        </row>
        <row r="725">
          <cell r="B725" t="str">
            <v>05344234/0001-70</v>
          </cell>
          <cell r="C725" t="str">
            <v>RJ LOCACAO DE VEICULOS E SERVICOS LTDA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 t="str">
            <v>03090756/0001-67</v>
          </cell>
          <cell r="C726" t="str">
            <v>AMAZONAVES TÁXI AÉREO LTDA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B727" t="str">
            <v>03618435/0001-92</v>
          </cell>
          <cell r="C727" t="str">
            <v>BRASILL INFORMATICA E PRODUTOS LTDA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B728" t="str">
            <v>06161716/0001-57</v>
          </cell>
          <cell r="C728" t="str">
            <v>AVELAR &amp; DUARTE SERVIÇOS CULTURAIS LTDA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 t="str">
            <v>03619767/0002-61</v>
          </cell>
          <cell r="C729" t="str">
            <v>TORINO INFORMATICA LTDA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 t="str">
            <v>49045552/0001-05</v>
          </cell>
          <cell r="C730" t="str">
            <v>ELASTICOS OLIMPIA LTDA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 t="str">
            <v>07446868/0001-69</v>
          </cell>
          <cell r="C731" t="str">
            <v>DANDY LOCAÇÃO DE VEÍCULOS LTDA.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B732" t="str">
            <v>07101088/0001-87</v>
          </cell>
          <cell r="C732" t="str">
            <v>DEALWAY INFORMATICA LTDA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 t="str">
            <v>04556971/0001-73</v>
          </cell>
          <cell r="C733" t="str">
            <v>ANGELTEC COPIADORA LTDA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B734" t="str">
            <v>10548069/0001-08</v>
          </cell>
          <cell r="C734" t="str">
            <v>DANIELA RISSON - JORNALISTA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 t="str">
            <v>33267642/0001-00</v>
          </cell>
          <cell r="C735" t="str">
            <v>GRAFICA EDITORA JORNAL DO COMERCIO S/A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 t="str">
            <v>21051277/0001-13</v>
          </cell>
          <cell r="C736" t="str">
            <v>RT EDITORA E DISTRIBUIDORA DE PAPEIS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 t="str">
            <v>86517729/0001-55</v>
          </cell>
          <cell r="C737" t="str">
            <v>VIENA EMPREENDIMENTOS LTDA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B738" t="str">
            <v>18023708/0001-23</v>
          </cell>
          <cell r="C738" t="str">
            <v>ALFREDO ALVES DA COSTA NETO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 t="str">
            <v>05214413/0001-92</v>
          </cell>
          <cell r="C739" t="str">
            <v>FUNDACAO MIGUEL DE CERVANTES DE APOIO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 t="str">
            <v>22238694/0001-32</v>
          </cell>
          <cell r="C740" t="str">
            <v>BERNARDES COM E IND GRAF EIRELI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 t="str">
            <v>03831133/0001-06</v>
          </cell>
          <cell r="C741" t="str">
            <v>ROTAPLAN GRAFICA E EDITORA LTDA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 t="str">
            <v>73415655/0001-02</v>
          </cell>
          <cell r="C742" t="str">
            <v>TEMATICA CARTOGRAFO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 t="str">
            <v>00274602/0001-37</v>
          </cell>
          <cell r="C743" t="str">
            <v>ART GLORIA SERRALHERIA LTDA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 t="str">
            <v>54102785/0001-32</v>
          </cell>
          <cell r="C744" t="str">
            <v>EDITORIA NDJ LTDA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 t="str">
            <v>12369441/0001-44</v>
          </cell>
          <cell r="C745" t="str">
            <v>CONSEG EQUP E SIST CONTRA INCENDIO LTDA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 t="str">
            <v>24221596/0001-82</v>
          </cell>
          <cell r="C746" t="str">
            <v>EASY SR SERVICOS LTDA ME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 t="str">
            <v>02550956/0001-92</v>
          </cell>
          <cell r="C747" t="str">
            <v>CASA DE IDEIAS COMUNICACAO LTDA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 t="str">
            <v>04707003/0001-10</v>
          </cell>
          <cell r="C748" t="str">
            <v>SPRANGER ESTMATIVAS DE CUSTO LTDA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 t="str">
            <v>08513498/0001-06</v>
          </cell>
          <cell r="C749" t="str">
            <v>CVI CURSOS E TREINAMENTOS EMPRESARIAIS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 t="str">
            <v>11013199/0001-09</v>
          </cell>
          <cell r="C750" t="str">
            <v>INT PRINT SERVICOS DE INFORMATICA LTDA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 t="str">
            <v>04154489/0001-07</v>
          </cell>
          <cell r="C751" t="str">
            <v>ABACO FORROS E DIVISORIAS LTDA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 t="str">
            <v>09012638/0001-07</v>
          </cell>
          <cell r="C752" t="str">
            <v>J L CLEAN COM E SERV DE ART DE VESTUARIO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40232500000000</v>
          </cell>
          <cell r="C753" t="str">
            <v>ASSOCIAÇÃO DOS CONDÔMINIOS DO ED. DA AV.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4725670000000</v>
          </cell>
          <cell r="C754" t="str">
            <v>LABORINFO TECNOLOGIA DA INFORMAÇÃO LTDA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>
            <v>20491400000000</v>
          </cell>
          <cell r="C755" t="str">
            <v>AZURE PROPAGANDA LTDA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>
            <v>33754500000000</v>
          </cell>
          <cell r="C756" t="str">
            <v>PREVI - CAIXA DE PREVIDÊNCIA DOS FUNCION</v>
          </cell>
          <cell r="D756">
            <v>0</v>
          </cell>
          <cell r="E756">
            <v>206175.49</v>
          </cell>
          <cell r="F756">
            <v>-206175.49</v>
          </cell>
          <cell r="G756">
            <v>0</v>
          </cell>
        </row>
        <row r="757">
          <cell r="B757" t="str">
            <v>15135210/0001-64</v>
          </cell>
          <cell r="C757" t="str">
            <v>TECPARTS IMP. E DISTRIB. DE PECAS LTDA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B758" t="str">
            <v>15249200/0001-50</v>
          </cell>
          <cell r="C758" t="str">
            <v>CEOX - PLANEJAMENTO E OTIMIZAÇÃO LTDA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 t="str">
            <v>147834160001/38</v>
          </cell>
          <cell r="C759" t="str">
            <v>GRUPOJAM MIDIA INTEGRADA EIRELI - ME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 t="str">
            <v>10320951/0001-00</v>
          </cell>
          <cell r="C760" t="str">
            <v>TNS COMERCIAL LTDA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>
            <v>7775030000000</v>
          </cell>
          <cell r="C761" t="str">
            <v>SAUDE &amp; BEM ESTAR FISIOTERAPIA LTDA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9664480000000</v>
          </cell>
          <cell r="C762" t="str">
            <v>BSL COMÉRCIO, IMPORTAÇÃO E EXPORTAÇÃO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23056200000000</v>
          </cell>
          <cell r="C763" t="str">
            <v>CORTEX EVENTOS - ORGANIZAÇÃO DE FEIRAS E</v>
          </cell>
          <cell r="D763">
            <v>0</v>
          </cell>
          <cell r="E763">
            <v>8570</v>
          </cell>
          <cell r="F763">
            <v>-8570</v>
          </cell>
          <cell r="G763">
            <v>0</v>
          </cell>
        </row>
        <row r="764">
          <cell r="B764">
            <v>7993230000000</v>
          </cell>
          <cell r="C764" t="str">
            <v>LIVRARIA BIOTEC LTDA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10865100000000</v>
          </cell>
          <cell r="C765" t="str">
            <v>THARGO AUDITORES E CONSULTORES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>
            <v>41769800000000</v>
          </cell>
          <cell r="C766" t="str">
            <v>EDITORA FORUM LTDA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5430530000000</v>
          </cell>
          <cell r="C767" t="str">
            <v>CABRERA CONSULT. CONTÁBIL E TRIBUTÁRIA L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20177000114</v>
          </cell>
          <cell r="C768" t="str">
            <v>PRO VIDEO SERVIÇOS LTDA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55475100000000</v>
          </cell>
          <cell r="C769" t="str">
            <v>LIVRARIA ENGETEC LTDA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9193430000000</v>
          </cell>
          <cell r="C770" t="str">
            <v>SIP VOX TCNOLOGIA LTDA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17069000000000</v>
          </cell>
          <cell r="C771" t="str">
            <v>DIVINO LOCADORA DE VEÍCULOS LTDA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71196000000000</v>
          </cell>
          <cell r="C772" t="str">
            <v>APRC ENGENHARIA LTDA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5724280000000</v>
          </cell>
          <cell r="C773" t="str">
            <v>SOLARIZE SERVICOS EM TEC AMBIENTAL LTDA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>
            <v>19803800000000</v>
          </cell>
          <cell r="C774" t="str">
            <v>BE COACHING BRASIL LTDA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53437400000000</v>
          </cell>
          <cell r="C775" t="str">
            <v>BRASFILTER INDUSTRIA E COMÉRCIO LTDA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>
            <v>9096720000000</v>
          </cell>
          <cell r="C776" t="str">
            <v>BORTOLAI LIVROS LTDA - EPP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68153200000000</v>
          </cell>
          <cell r="C777" t="str">
            <v>MOLICAR PUBLICAÇÕES AUTOMOTIVAS S/A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1804990000000</v>
          </cell>
          <cell r="C778" t="str">
            <v>SECULO XXI COMERCIO DE LIVROS E LIVRARIA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3017430000000</v>
          </cell>
          <cell r="C779" t="str">
            <v>NCT INFORMATICA LTDA</v>
          </cell>
          <cell r="D779">
            <v>0</v>
          </cell>
          <cell r="E779">
            <v>10474</v>
          </cell>
          <cell r="F779">
            <v>-14824</v>
          </cell>
          <cell r="G779">
            <v>4350</v>
          </cell>
        </row>
        <row r="780">
          <cell r="B780">
            <v>4131920000000</v>
          </cell>
          <cell r="C780" t="str">
            <v>KAPX COMÉRCIO E SERVIÇOS LTDA - ME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 t="str">
            <v>005705050001-91</v>
          </cell>
          <cell r="C781" t="str">
            <v>COOPER POWER SYSTEMS BRASIL LTDA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 t="str">
            <v>30258404/0001-40</v>
          </cell>
          <cell r="C782" t="str">
            <v>ASSOCIAÇÃO DAS EMP. BRAS. DE TECNOLOGIA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 t="str">
            <v>24602524/0001-10</v>
          </cell>
          <cell r="C783" t="str">
            <v>BIODIESELBR INFORMAÇÃO ESPECIALIZADA LTD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 t="str">
            <v>08863523/0002-54</v>
          </cell>
          <cell r="C784" t="str">
            <v>ADVENTURE VIAGENS E ART ESPORTIVOS LTDA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 t="str">
            <v>11318047/0001-14</v>
          </cell>
          <cell r="C785" t="str">
            <v>CONSULCANA - SOLUÇÕES APLICADAS A CANA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B786" t="str">
            <v>05565257/0001-04</v>
          </cell>
          <cell r="C786" t="str">
            <v>ELETRONICA PLAY POWER LTDA - ME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 t="str">
            <v>05500641/0001-29</v>
          </cell>
          <cell r="C787" t="str">
            <v>GIOM COMERCIO DE MOVEIS E REPRESENTAÇÕES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 t="str">
            <v>03493782/0001-36</v>
          </cell>
          <cell r="C788" t="str">
            <v>INTEGRAÇÃO - ESCOLA DE NEGOCIOS LTDA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>
            <v>23656100000000</v>
          </cell>
          <cell r="C789" t="str">
            <v>NIMAWORLD LTDA - ME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B790">
            <v>3344830000000</v>
          </cell>
          <cell r="C790" t="str">
            <v>SOUZA E LOMBA COMÉRCIO DE BRINDES E PLAC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8086690000000</v>
          </cell>
          <cell r="C791" t="str">
            <v>UNITY BRINDES LTDA - ME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B792">
            <v>12114500000000</v>
          </cell>
          <cell r="C792" t="str">
            <v>ZAG CONSULTORIA EM EXP. DE PET.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 t="str">
            <v>14784795/0001-80</v>
          </cell>
          <cell r="C793" t="str">
            <v>GIGA MATERIAIS ELETRICOS LTDA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 t="str">
            <v>19509519/0001-28</v>
          </cell>
          <cell r="C794" t="str">
            <v>SOFTLINE INT BRASIL COM E LIC SOFTWARE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>
            <v>15586900000000</v>
          </cell>
          <cell r="C795" t="str">
            <v>ARGUS MEDIA BRASIL RELATÓRIOS DE PREÇOS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B796">
            <v>13159800000000</v>
          </cell>
          <cell r="C796" t="str">
            <v>ROMABOOKS EDUCAÇÃO E TURISMO EIRELI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B797">
            <v>5633420000000</v>
          </cell>
          <cell r="C797" t="str">
            <v>VENUS WORLD COM. DE EQUIP. E MAT.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B798">
            <v>20120900000000</v>
          </cell>
          <cell r="C798" t="str">
            <v>INQC - INSTITUTO NACIONAL DE QUALIFICAÇÃ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B799" t="str">
            <v>10806106/000130</v>
          </cell>
          <cell r="C799" t="str">
            <v>R&amp;R EQUIPAMENTOS ELETRONICOS LTDA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 t="str">
            <v>16951665/000110</v>
          </cell>
          <cell r="C800" t="str">
            <v>RB GRAFICA DIGITAL EIRELI ME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 t="str">
            <v>18343644/000148</v>
          </cell>
          <cell r="C801" t="str">
            <v>SUPERMIX COM DE UTIL VARIEDADES LTDA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B802" t="str">
            <v>02558157/0002-43</v>
          </cell>
          <cell r="C802" t="str">
            <v>TELEFONICA BRASIL S.A.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 t="str">
            <v>02629884/0001-73</v>
          </cell>
          <cell r="C803" t="str">
            <v>CROMA ELETRONICA LTDA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 t="str">
            <v>12480720/0001-80</v>
          </cell>
          <cell r="C804" t="str">
            <v>CENTRAL GLASS ALUMINIUM COMERCIO DE VIDR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 t="str">
            <v>33000118/0001-79</v>
          </cell>
          <cell r="C805" t="str">
            <v>TELEMAR NORTE LESTE S/A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10499000000000</v>
          </cell>
          <cell r="C806" t="str">
            <v>INSTITUTO NEGOCIOS PUBLICOS DO BRASIL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 t="str">
            <v>03014670/0001-55</v>
          </cell>
          <cell r="C807" t="str">
            <v>LAUTEC EQUIPE TECNICA ENGENHARIA S/C LTD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 t="str">
            <v>37535259/0001-47</v>
          </cell>
          <cell r="C808" t="str">
            <v>SEDEP-SERVIÇO DE ENTREGA DE DESPACHOS E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 t="str">
            <v>26528905/0001-47</v>
          </cell>
          <cell r="C809" t="str">
            <v>CONFIT ASSESSORIA E CONSULTORIA EMPRESAR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 t="str">
            <v>05607657/0001-35</v>
          </cell>
          <cell r="C810" t="str">
            <v>SCANSOURCE BRASIL DISTRIBUIDORA DE TECNO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 t="str">
            <v>61873469/0001-20</v>
          </cell>
          <cell r="C811" t="str">
            <v>ASSOCIAÇÃO DE ESPECIALISTAS LATINOAMERIC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>
            <v>26172600000000</v>
          </cell>
          <cell r="C812" t="str">
            <v>MONIQUE PERRONE AGUEDA ASSESSORIA DE EVE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>
            <v>7282520000000</v>
          </cell>
          <cell r="C813" t="str">
            <v>NINJA SOM COMERCIO DE ELETRONICOS LTDA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>
            <v>86046500000000</v>
          </cell>
          <cell r="C814" t="str">
            <v>OXFORD PORCELANAS S/A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>
            <v>523726000000</v>
          </cell>
          <cell r="C815" t="str">
            <v>LINTER FILTROS INDUSTRIAIS LTDA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16600000000000</v>
          </cell>
          <cell r="C816" t="str">
            <v>QUALITEC ENGENHARIA DA QUALIDADE LTDA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>
            <v>7524040000000</v>
          </cell>
          <cell r="C817" t="str">
            <v>NEO DESIGN DECOR COMERCIO E DECORACOES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>
            <v>8827630000000</v>
          </cell>
          <cell r="C818" t="str">
            <v>ROCA SERVICOS CONTABEIS E FISCAIS LTDA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>
            <v>10741700000000</v>
          </cell>
          <cell r="C819" t="str">
            <v>WALLERRY FLECK &amp; CIA LTDA ME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>
            <v>33555900000000</v>
          </cell>
          <cell r="C820" t="str">
            <v>FACULDADES CATÓLICAS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>
            <v>482998000000</v>
          </cell>
          <cell r="C821" t="str">
            <v>COPY HOUSE SERVICOS REPROGRAFICOS EIRELI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28019200000000</v>
          </cell>
          <cell r="C822" t="str">
            <v>FUNDACAO PADRE LEONEL FRANCA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>
            <v>3254970000000</v>
          </cell>
          <cell r="C823" t="str">
            <v>PAULO RICARDO BRAGA - ME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>
            <v>429640000000</v>
          </cell>
          <cell r="C824" t="str">
            <v>RTA - REDE DE TECNOLOGIA AVANÇADA LTDA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>
            <v>10656900000000</v>
          </cell>
          <cell r="C825" t="str">
            <v>BOBINA SUPER INDUSTRIA E COMERCIO EIRELI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>
            <v>61398200000000</v>
          </cell>
          <cell r="C826" t="str">
            <v>UNISOMA COMPUTAÇÃO LTDA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>
            <v>15805700000000</v>
          </cell>
          <cell r="C827" t="str">
            <v>ESCOLA DE GESTÃO TRIBUTÁRIA E AUDITORIA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B828">
            <v>39184000000000</v>
          </cell>
          <cell r="C828" t="str">
            <v>I GRAFICCI PROGRAMACAO VISUAL LTDA - ME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B829">
            <v>13828400000000</v>
          </cell>
          <cell r="C829" t="str">
            <v>PENTAC ACRILICOS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>
            <v>2497400000000</v>
          </cell>
          <cell r="C830" t="str">
            <v>TOTVS SERVICOS LTDA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>
            <v>4206050000000</v>
          </cell>
          <cell r="C831" t="str">
            <v>TIM CELULAR S.A.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B832">
            <v>9597890000000</v>
          </cell>
          <cell r="C832" t="str">
            <v>ECONET TREINAMENTO E DESENVOLVIMENTO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>
            <v>24521900000000</v>
          </cell>
          <cell r="C833" t="str">
            <v>NOVACANA EVENTOS LTDA - ME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B834">
            <v>8071770000000</v>
          </cell>
          <cell r="C834" t="str">
            <v>NOVACANA INFORMAÇÃO ESPECIALIZADA LTDA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B835">
            <v>29108100000000</v>
          </cell>
          <cell r="C835" t="str">
            <v>SOLAZER TRANSPORTES E TURISMO LTDA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B836">
            <v>16727400000000</v>
          </cell>
          <cell r="C836" t="str">
            <v>RIOPAR Participações S/A</v>
          </cell>
          <cell r="D836">
            <v>0</v>
          </cell>
          <cell r="E836">
            <v>1057.8</v>
          </cell>
          <cell r="F836">
            <v>-4845.74</v>
          </cell>
          <cell r="G836">
            <v>3787.94</v>
          </cell>
        </row>
        <row r="837">
          <cell r="B837">
            <v>18696859</v>
          </cell>
          <cell r="C837" t="str">
            <v>INOVA EMPRESA BRASILEIRA EM SOLUCOES E N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21687254</v>
          </cell>
          <cell r="C838" t="str">
            <v>PORTO NOVO PAPEL E MATERIAL DE ESCRITORI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21456509</v>
          </cell>
          <cell r="C839" t="str">
            <v>SHAREPRIME TECNOLOGIA LTDA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3535902</v>
          </cell>
          <cell r="C840" t="str">
            <v>DECISION SERVIÇOS DE TECNOLOGIA DA INFOR</v>
          </cell>
          <cell r="D840">
            <v>0</v>
          </cell>
          <cell r="E840">
            <v>1111.1099999999999</v>
          </cell>
          <cell r="F840">
            <v>-1111.1099999999999</v>
          </cell>
          <cell r="G840">
            <v>0</v>
          </cell>
        </row>
        <row r="841">
          <cell r="B841">
            <v>13403896</v>
          </cell>
          <cell r="C841" t="str">
            <v>DIVISANIT INSTALACOES E MONTAGENS LTDA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18324158</v>
          </cell>
          <cell r="C842" t="str">
            <v>MR EVENTOS TREINAMENTO E AGENCIAMENTO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B843">
            <v>1337552</v>
          </cell>
          <cell r="C843" t="str">
            <v>EDITORA SIGNER LTDA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>
            <v>7777720000000</v>
          </cell>
          <cell r="C844" t="str">
            <v>JML MENDES &amp; LOPES PESQUISA, TREINAMENTO E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>
            <v>5794830000000</v>
          </cell>
          <cell r="C845" t="str">
            <v>JP DA SILVA SOUSA DIVISORIAS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5512470000000</v>
          </cell>
          <cell r="C846" t="str">
            <v>SEENERGIA SER ESPECIALIZADOS ENG SS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9398230000000</v>
          </cell>
          <cell r="C847" t="str">
            <v>MERCADO ARAGUAIA LTDA - ME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B848">
            <v>9676510000000</v>
          </cell>
          <cell r="C848" t="str">
            <v>CENTRO DE APERFEICOAMENTO DA VOZ FALA 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14783400000000</v>
          </cell>
          <cell r="C849" t="str">
            <v>UP MIDIA INTEGRADA EIRELI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1001720000000</v>
          </cell>
          <cell r="C850" t="str">
            <v>FUNDAÇÃO DO INSTITUTO DE BIOCIENCIAS - F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B851">
            <v>854137000000</v>
          </cell>
          <cell r="C851" t="str">
            <v>INSTITUTO BRASILEIRO DE AVALIAÇÕES IBAPE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B852">
            <v>2799290000000</v>
          </cell>
          <cell r="C852" t="str">
            <v>LCM TREINAMENTO EMPRESARIAL LTDA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5555380000000</v>
          </cell>
          <cell r="C853" t="str">
            <v>AOVS SISTEMA DE INFORMATICA</v>
          </cell>
          <cell r="D853">
            <v>0</v>
          </cell>
          <cell r="E853">
            <v>2000</v>
          </cell>
          <cell r="F853">
            <v>-2000</v>
          </cell>
          <cell r="G853">
            <v>0</v>
          </cell>
        </row>
        <row r="854">
          <cell r="B854">
            <v>6166650000000</v>
          </cell>
          <cell r="C854" t="str">
            <v>MANAGEMENT SCIENCE LTDA ME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B855">
            <v>51109100000000</v>
          </cell>
          <cell r="C855" t="str">
            <v>ASSOC. PROF. DA IND. DE FABRIC. ALCOOL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B856">
            <v>8518870000000</v>
          </cell>
          <cell r="C856" t="str">
            <v>EDOCAVONI AUTOMAÇÃO E INFORMÁTICA LTDA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B857">
            <v>14885800000000</v>
          </cell>
          <cell r="C857" t="str">
            <v>ONE ENGLISH CULTURAL E EDUCACIONAL LTDA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B858">
            <v>2922870000000</v>
          </cell>
          <cell r="C858" t="str">
            <v>SINERCONSULT CONSULTORIA E TREIN. LTDA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B859">
            <v>12538000000000</v>
          </cell>
          <cell r="C859" t="str">
            <v>AMBIENTE DIRETO CONSULT.SOCIOAMBIENTAL 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B860">
            <v>4001950000000</v>
          </cell>
          <cell r="C860" t="str">
            <v>PRO OCEANO SERV.OCEANOGRAFICO E AMBIENTA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B861">
            <v>22939900000000</v>
          </cell>
          <cell r="C861" t="str">
            <v>RIO LETRAS LETREIROS LTDA. - ME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B862">
            <v>10378800000000</v>
          </cell>
          <cell r="C862" t="str">
            <v>IPEC TREINAMENTO LTDA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B863">
            <v>875135000000</v>
          </cell>
          <cell r="C863" t="str">
            <v>PHONOWAY SOLUÇOES TELEINFORMATICA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B864">
            <v>7491340000000</v>
          </cell>
          <cell r="C864" t="str">
            <v>ARV BRADFORD CURSOS E TREINAMENTO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B865">
            <v>4298310000000</v>
          </cell>
          <cell r="C865" t="str">
            <v>GRUPO IBEMEC EDUCACIONAL S/A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B866">
            <v>12482800000000</v>
          </cell>
          <cell r="C866" t="str">
            <v>JRM HELOANI DESENVOLVIMENTO GERENCIAL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>
            <v>26464900000000</v>
          </cell>
          <cell r="C867" t="str">
            <v>LANTYX TECNOLOGIA E PUBLICIDADE EIRILE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B868">
            <v>18522900000000</v>
          </cell>
          <cell r="C868" t="str">
            <v>MUNDIVOX COMUNICAÇÕES LTDA</v>
          </cell>
          <cell r="D868">
            <v>0</v>
          </cell>
          <cell r="E868">
            <v>4351.2</v>
          </cell>
          <cell r="F868">
            <v>-4351.2</v>
          </cell>
          <cell r="G868">
            <v>0</v>
          </cell>
        </row>
        <row r="869">
          <cell r="B869">
            <v>14129100000000</v>
          </cell>
          <cell r="C869" t="str">
            <v>SOLLUS COMERCIO EM TECNOLOGIA E CONTROLE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82581400000000</v>
          </cell>
          <cell r="C870" t="str">
            <v>CROMOS EDIT. E IND. GRAFICA LTDA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B871">
            <v>3200400001</v>
          </cell>
          <cell r="C871" t="str">
            <v>COORDENAÇÃO GERAL DE RECURSOS LOGISTICOS</v>
          </cell>
          <cell r="D871">
            <v>0</v>
          </cell>
          <cell r="E871">
            <v>1174.8</v>
          </cell>
          <cell r="F871">
            <v>-1174.8</v>
          </cell>
          <cell r="G871">
            <v>0</v>
          </cell>
        </row>
        <row r="872">
          <cell r="B872">
            <v>11543300000000</v>
          </cell>
          <cell r="C872" t="str">
            <v>GRUPO GENIAL ME LTDA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B873">
            <v>8582480000000</v>
          </cell>
          <cell r="C873" t="str">
            <v>GREEN RABBIT DESENV. DE SOFTWARE LTDA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B874">
            <v>8254940000000</v>
          </cell>
          <cell r="C874" t="str">
            <v>PRDW BRASIL ENGENHARIA LTDA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B875">
            <v>19268300000000</v>
          </cell>
          <cell r="C875" t="str">
            <v>FUNDAÇÃO DOM CABRAL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B876">
            <v>2402500000000</v>
          </cell>
          <cell r="C876" t="str">
            <v>REPROPAPER SERVIÇOS DE REPROGRAFIA LTDA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B877">
            <v>12270600000000</v>
          </cell>
          <cell r="C877" t="str">
            <v>TRANSTATHICA AG. DE VIAGEM E TURISMO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B878">
            <v>1437170000000</v>
          </cell>
          <cell r="C878" t="str">
            <v>FOX SMART BUSINESS DO BRASIL LTDA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B879">
            <v>22233600000000</v>
          </cell>
          <cell r="C879" t="str">
            <v>AX4B SISTEMAS DE INFORMATICA LTDA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B880">
            <v>307049000000</v>
          </cell>
          <cell r="C880" t="str">
            <v>HSR SISTEMAS E REDES LTDA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6942470000000</v>
          </cell>
          <cell r="C881" t="str">
            <v>F5 SOFTWARE LTDA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B882">
            <v>2114694</v>
          </cell>
          <cell r="C882" t="str">
            <v>CARTÃO CORPORATIVO - SCDP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B883">
            <v>81708500000000</v>
          </cell>
          <cell r="C883" t="str">
            <v>PREMIER IT GLOBAL SERVICES LTDA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B884">
            <v>35794100000000</v>
          </cell>
          <cell r="C884" t="str">
            <v>CENTRO EMPRESARIAL INTERNACIONAL RIO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B885">
            <v>24695900000000</v>
          </cell>
          <cell r="C885" t="str">
            <v>PROJUD TECNOLOGIA LTDA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B886">
            <v>8432360000000</v>
          </cell>
          <cell r="C886" t="str">
            <v>ELO EVENTOS LTDA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B887">
            <v>14337000000000</v>
          </cell>
          <cell r="C887" t="str">
            <v>LEANDRO ANDRÉ DE QUEIROZ - MEI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B888">
            <v>32039900000000</v>
          </cell>
          <cell r="C888" t="str">
            <v>DIVIGAMA DIVISÓRIAS LTDA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B889">
            <v>8022650000000</v>
          </cell>
          <cell r="C889" t="str">
            <v>RA2 PRINT ETIQUETAS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B890">
            <v>13918900000000</v>
          </cell>
          <cell r="C890" t="str">
            <v>GENESIS COACHING TREIN. E DESENV. LTDA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B891">
            <v>67632200000000</v>
          </cell>
          <cell r="C891" t="str">
            <v>WALM ENG. E TEC. AMBIENTAL LTDA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B892">
            <v>5761750000000</v>
          </cell>
          <cell r="C892" t="str">
            <v>BIOTA PROJETOS E CONSULTORIA AMBIENTAL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B893">
            <v>24120200000000</v>
          </cell>
          <cell r="C893" t="str">
            <v>LUAN MACEDO FERNANDES EI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B894">
            <v>28101400000000</v>
          </cell>
          <cell r="C894" t="str">
            <v>CLAMED CLINICA VACINAÇÃO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B895">
            <v>27869100000000</v>
          </cell>
          <cell r="C895" t="str">
            <v>DANGERCOMERCIAL E INDUSTRIAL LTDA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B896" t="str">
            <v>AEPE</v>
          </cell>
          <cell r="C896" t="str">
            <v>ASSOCIAÇÃO DOS EMPREGADOS DA EPE - AEPE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B897">
            <v>10742600000000</v>
          </cell>
          <cell r="C897" t="str">
            <v>LUANDA COM. SUPR. INFORMÁTICA LTDA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B898">
            <v>30024600000000</v>
          </cell>
          <cell r="C898" t="str">
            <v>ASSOCIAÇÃO BRASILEIRA DE ANTROPOLOGIA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B899">
            <v>30735800000000</v>
          </cell>
          <cell r="C899" t="str">
            <v>LIMA COM. DE MAT. E SERVIÇOS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B900">
            <v>2247350000000</v>
          </cell>
          <cell r="C900" t="str">
            <v>ASS.BRAS. DAS EMPRESAS DE SERV.COS.ENG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3557000000000</v>
          </cell>
          <cell r="C901" t="str">
            <v>ENGDTP E MULTIMÍDIA COMÉRCIO E PRESTAÇÃO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B902">
            <v>23327400000000</v>
          </cell>
          <cell r="C902" t="str">
            <v>ZUGNI GESTÃO DE CONHECIMENTO EIRELI - ME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B903">
            <v>20593800000000</v>
          </cell>
          <cell r="C903" t="str">
            <v>RSA SOLUÇÕES ELETRICAS LTDA - EPP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14683200000000</v>
          </cell>
          <cell r="C904" t="str">
            <v>TI ENGENHARIA COMERCIO E SERVIÇO DE INFO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32088200000000</v>
          </cell>
          <cell r="C905" t="str">
            <v>HICON ENGENHARIA LTDA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>
            <v>49738600000000</v>
          </cell>
          <cell r="C906" t="str">
            <v>INSTITUTO BRAS. DE ENGENHARIA DE CUSTOS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B907">
            <v>78954300000000</v>
          </cell>
          <cell r="C907" t="str">
            <v>GL EVENTSLIVE SA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B908">
            <v>8418170000000</v>
          </cell>
          <cell r="C908" t="str">
            <v>SAUDE E GINASTICA LABORAL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B909">
            <v>31206500000000</v>
          </cell>
          <cell r="C909" t="str">
            <v>GS TELECOM COMÉRCIO DE INFORMÁTICA LTDA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B910">
            <v>27214900000000</v>
          </cell>
          <cell r="C910" t="str">
            <v>INSTITUTO DE ARQUEOLOGIA BRASILEIRA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B911">
            <v>11168200000000</v>
          </cell>
          <cell r="C911" t="str">
            <v>HITSS DO BRASIL SERV. TECNOLOGICOS LTDA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B912">
            <v>9967850000000</v>
          </cell>
          <cell r="C912" t="str">
            <v>HOTELARIA ACCOR BRASIL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B913">
            <v>24158700000000</v>
          </cell>
          <cell r="C913" t="str">
            <v>FRG EVENTOS DO BRASIL LTDA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9656610000000</v>
          </cell>
          <cell r="C914" t="str">
            <v>M&amp;W COMUN. INTEGRADA LTDA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7868100000000</v>
          </cell>
          <cell r="C915" t="str">
            <v>CIRILO CABOS IMPORTAÇÃO EXPORTAÇÃO LTDA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8763640000000</v>
          </cell>
          <cell r="C916" t="str">
            <v>PRINTCOM ASSESSORIA DE COMUNICAÇÃO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776574000000</v>
          </cell>
          <cell r="C917" t="str">
            <v>B2W COMPANHIA DIGITAL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>
            <v>3989370000000</v>
          </cell>
          <cell r="C918" t="str">
            <v>SUPERCOMMERCE LTDA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B919">
            <v>5809980000000</v>
          </cell>
          <cell r="C919" t="str">
            <v>CAFÉ BRASIL EDITORIAL LTDA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>
            <v>8752570000000</v>
          </cell>
          <cell r="C920" t="str">
            <v>INSTITUTO PIATAM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79942600000000</v>
          </cell>
          <cell r="C921" t="str">
            <v>REIVAX S.A AUTOMAÇÃO E CONTROLE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>
            <v>42356800000000</v>
          </cell>
          <cell r="C922" t="str">
            <v>EBSCO BRASIL LTDA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19238100000000</v>
          </cell>
          <cell r="C923" t="str">
            <v>INSTITUTO NACIONAL DE QUALIDADE DE VIDA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30636900000000</v>
          </cell>
          <cell r="C924" t="str">
            <v>TS1 IT SOLUTIONS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14186300000000</v>
          </cell>
          <cell r="C925" t="str">
            <v>HVNA DESIGN PROJETOS E CONSULTORIA LTDA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24875200000000</v>
          </cell>
          <cell r="C926" t="str">
            <v>GAF EVENTOS SPE LTDA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12929300000000</v>
          </cell>
          <cell r="C927" t="str">
            <v>MR PROMOÇÕES E EVENTOS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B928">
            <v>26986600000000</v>
          </cell>
          <cell r="C928" t="str">
            <v>KONO IT CONSULTORIA E TECNOLOGIA EIRELI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B929">
            <v>57988900000000</v>
          </cell>
          <cell r="C929" t="str">
            <v>PLANUS INFORMÁTICA E TECNOLOGIA LTDA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B930">
            <v>2421420000000</v>
          </cell>
          <cell r="C930" t="str">
            <v>TIM S.A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B931">
            <v>4524240000000</v>
          </cell>
          <cell r="C931" t="str">
            <v>REDE BRAS. PARA DESENV. METROLOGIA E TEC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B932">
            <v>10348300000000</v>
          </cell>
          <cell r="C932" t="str">
            <v>WINDSOR ADM. DE HOTÉIS E SERVIÇOS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3498010000000</v>
          </cell>
          <cell r="C933" t="str">
            <v>CONTROL C. COOP E TRANSPORTES LTDA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B934">
            <v>7731740000000</v>
          </cell>
          <cell r="C934" t="str">
            <v>BRIGHTNETWORKS COM. E SERV. TELECOMUN.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11749700000000</v>
          </cell>
          <cell r="C935" t="str">
            <v>TREINAMENTO MÍDIA E DESEN.PROFISSIONAL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B936">
            <v>16457800000000</v>
          </cell>
          <cell r="C936" t="str">
            <v>LEC EDITORA  ORGANIZAÇÃO DE EVENTOS LTDA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12391000000000</v>
          </cell>
          <cell r="C937" t="str">
            <v>ZETECH MAN. SERV. EM ENERGIA LTDA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B938">
            <v>7803000000000</v>
          </cell>
          <cell r="C938" t="str">
            <v>MULTPAINEL SOL CORP VID DEC LTDA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B939">
            <v>8896750000000</v>
          </cell>
          <cell r="C939" t="str">
            <v>IHS INFORMAÇÕES E INSIGHTS LTDA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B940">
            <v>43942400000000</v>
          </cell>
          <cell r="C940" t="str">
            <v>FIPE FUNDAÇÃO INST.PESQUISAS ECONOMICAS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B941">
            <v>28542000000000</v>
          </cell>
          <cell r="C941" t="str">
            <v>IMPRENSA OF. DO ESTADO DO RIO DE JANEIRO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B942">
            <v>3282070000000</v>
          </cell>
          <cell r="C942" t="str">
            <v>CASTELO DE PAIVA VIDROS E FERRAGENS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B943">
            <v>2114755</v>
          </cell>
          <cell r="C943" t="str">
            <v>HOMER ENERGY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B944">
            <v>2114756</v>
          </cell>
          <cell r="C944" t="str">
            <v>EMERSON PROCESS MANAGEMENT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B945">
            <v>2114757</v>
          </cell>
          <cell r="C945" t="str">
            <v>VENTANA SYSTEMS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B946">
            <v>22891500000000</v>
          </cell>
          <cell r="C946" t="str">
            <v>A4A SOLUÇÕES E SERVIÇOS EIRELI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B947">
            <v>3589090000000</v>
          </cell>
          <cell r="C947" t="str">
            <v>MFC CONSULTORIA E ASS. EMPRESARIAL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B948">
            <v>13399000000000</v>
          </cell>
          <cell r="C948" t="str">
            <v>WORK TEMPORARY SERV. EMPRESARIAIS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B949">
            <v>23458500000000</v>
          </cell>
          <cell r="C949" t="str">
            <v>4E FOR ECONOMICS CONSULTORIA LTDA</v>
          </cell>
          <cell r="D949">
            <v>-12666.67</v>
          </cell>
          <cell r="E949">
            <v>12666.67</v>
          </cell>
          <cell r="F949">
            <v>0</v>
          </cell>
          <cell r="G949">
            <v>0</v>
          </cell>
        </row>
        <row r="950">
          <cell r="B950">
            <v>5888810000000</v>
          </cell>
          <cell r="C950" t="str">
            <v>INFOJET COMÉRCIO E SERVIÇOS DE INFORMÁTI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>
            <v>3659170000000</v>
          </cell>
          <cell r="C951" t="str">
            <v>INST.BRAS.DO MEIO AMBIENTE IBAMA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10939400000000</v>
          </cell>
          <cell r="C952" t="str">
            <v>FRAMAR CONTABILIDADE LTDA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B953">
            <v>89237900000000</v>
          </cell>
          <cell r="C953" t="str">
            <v>GLOBAL DISTRIBUIÇÃO DE BENS DE CONSUMO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11311300000000</v>
          </cell>
          <cell r="C954" t="str">
            <v>EUNICE MARIA GONÇALVES DE OLIVEIRA - EPP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>
            <v>18704000000000</v>
          </cell>
          <cell r="C955" t="str">
            <v>CORUJET IMPORTAÇÃO E EXPORTAÇÃO LTDA ME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1590730000000</v>
          </cell>
          <cell r="C956" t="str">
            <v>MICROTECNICA INFORMATICA LTDA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4602790000000</v>
          </cell>
          <cell r="C957" t="str">
            <v>DATEN TECNOLOGIA LTDA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8139870000000</v>
          </cell>
          <cell r="C958" t="str">
            <v>UBM BRAZIL FEIRAS E EVENTOS LTDA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779548000000</v>
          </cell>
          <cell r="C959" t="str">
            <v>ACQUA AIR MICROBIOLÓGICA ANÁLISES AMBIEN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B960">
            <v>9364570000000</v>
          </cell>
          <cell r="C960" t="str">
            <v>SANDECH CONSULTORIA EM ENGENHARIA E GEST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22108400000000</v>
          </cell>
          <cell r="C961" t="str">
            <v>MORENO BOOKSTORE LIVRARIA LTDA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31328300000000</v>
          </cell>
          <cell r="C962" t="str">
            <v>TL COMÉRCIO DE MATERIAL DE INFORMÁTICA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B963">
            <v>21823200000000</v>
          </cell>
          <cell r="C963" t="str">
            <v>GLOBAL TTI SOLUCOES EM TECNOLOGIA LTDA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5953550000000</v>
          </cell>
          <cell r="C964" t="str">
            <v>PRINT GRAF GRÁFICA E EDITORA LTDA.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52618100000000</v>
          </cell>
          <cell r="C965" t="str">
            <v>GL ELETRO-ELETRONICOS LTDA</v>
          </cell>
          <cell r="D965">
            <v>0</v>
          </cell>
          <cell r="E965">
            <v>0</v>
          </cell>
          <cell r="F965">
            <v>-359</v>
          </cell>
          <cell r="G965">
            <v>359</v>
          </cell>
        </row>
        <row r="966">
          <cell r="B966">
            <v>61665200000000</v>
          </cell>
          <cell r="C966" t="str">
            <v>AEROGLASS BRASILEIRA SA FIBRAS DE VIDRO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62329000000000</v>
          </cell>
          <cell r="C967" t="str">
            <v>EDITORA IRACEMA LTDA-ME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33402900000000</v>
          </cell>
          <cell r="C968" t="str">
            <v>ASSOCIAÇÃO BRASILEIRA DE NORMAS TÉCNICAS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2593170000000</v>
          </cell>
          <cell r="C969" t="str">
            <v>GARTNER DO BRASIL SERVIÇOS DE PESQUISA L</v>
          </cell>
          <cell r="D969">
            <v>0</v>
          </cell>
          <cell r="E969">
            <v>46525</v>
          </cell>
          <cell r="F969">
            <v>-46525</v>
          </cell>
          <cell r="G969">
            <v>0</v>
          </cell>
        </row>
        <row r="970">
          <cell r="B970">
            <v>11662800000000</v>
          </cell>
          <cell r="C970" t="str">
            <v>R W REIS COMÉRCIO E SERVIÇOS LTDA-ME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B971">
            <v>14350700000000</v>
          </cell>
          <cell r="C971" t="str">
            <v>LIVRARIA STUDIUM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B972">
            <v>52168500000000</v>
          </cell>
          <cell r="C972" t="str">
            <v>SOCIEDADE BRASILEIRA DE ESPELEOLOGIA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>
            <v>4999510000000</v>
          </cell>
          <cell r="C973" t="str">
            <v>TAMANDUA PRESTADORA DE SERVIÇOS LTDA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B974">
            <v>8821750000000</v>
          </cell>
          <cell r="C974" t="str">
            <v>CERTSYS TECNOLOGIA DA INFORMAÇÃO LTDA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>
            <v>62044200000000</v>
          </cell>
          <cell r="C975" t="str">
            <v>AMERICAN CHAMBER OF COMMERCE FOR BRAZIL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B976">
            <v>31316300000000</v>
          </cell>
          <cell r="C976" t="str">
            <v>REFRIMEC REFRIGERAÇÃO LTDA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>
            <v>18534200000000</v>
          </cell>
          <cell r="C977" t="str">
            <v>NILZA ROGERIA DE ANDRADE NUNES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B978">
            <v>17781700000000</v>
          </cell>
          <cell r="C978" t="str">
            <v>PRESSCLIPPING PRODUÇÕES DE CLIPPING LTDA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B979">
            <v>258246000000</v>
          </cell>
          <cell r="C979" t="str">
            <v>SOLO NETWORK BRASIL S/A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B980">
            <v>13921100000000</v>
          </cell>
          <cell r="C980" t="str">
            <v>RIOMEGA SERVIÇOS GRAFICOS LTDA ME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>
            <v>30947600000000</v>
          </cell>
          <cell r="C981" t="str">
            <v>HM ROUPAS PROFISSIONAIS EIRELI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B982">
            <v>3598920000000</v>
          </cell>
          <cell r="C982" t="str">
            <v>ARANDA EVENTOS E CONGRESSOS LTDA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B983">
            <v>62642900000000</v>
          </cell>
          <cell r="C983" t="str">
            <v>ASSOCIAÇÃO BRASILEIRA INDÚSTRIA QUÍMICA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28861400000000</v>
          </cell>
          <cell r="C984" t="str">
            <v>ROTA 183 EVENTOS EIRELI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B985">
            <v>30526700000000</v>
          </cell>
          <cell r="C985" t="str">
            <v>IVAN LEONARDO MACHADO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460831000000</v>
          </cell>
          <cell r="C986" t="str">
            <v>INSTITUTO BRASILEIRO PRO-CIDADANIA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B987">
            <v>35794100000000</v>
          </cell>
          <cell r="C987" t="str">
            <v>COND. DO ED.CENTRO EMPRESARIAL RB1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5533020000000</v>
          </cell>
          <cell r="C988" t="str">
            <v>V OFFICE CONSULTORES ASSOCIADOS LTDA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4527230000000</v>
          </cell>
          <cell r="C989" t="str">
            <v>KA SOLUTION INFORMATICA LTDA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B990">
            <v>46359900000000</v>
          </cell>
          <cell r="C990" t="str">
            <v>FUNDAÇÃO INST PESQ CONT ATUARIAIS E FINA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30980300000000</v>
          </cell>
          <cell r="C991" t="str">
            <v>TRUE SERV E CONSULTORIA EM ENERGIA LTDA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13992600000000</v>
          </cell>
          <cell r="C992" t="str">
            <v>DCIDE LTDA EPP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10499000000000</v>
          </cell>
          <cell r="C993" t="str">
            <v>INST NEGÓCIOS PÚBLICOS DO BRASIL -FILIAL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>
            <v>8257350000000</v>
          </cell>
          <cell r="C994" t="str">
            <v>DPI COMERCIO DE ELETRO EIRELI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29508700000000</v>
          </cell>
          <cell r="C995" t="str">
            <v>REFINITIV BRASIL SERVIÇOS ECONOMICOS LTD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29576800000000</v>
          </cell>
          <cell r="C996" t="str">
            <v>LR SOLUÇÕES LTDA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B997">
            <v>8703040000000</v>
          </cell>
          <cell r="C997" t="str">
            <v>RH CURSOS E TREINAMENTO EMPRESARIAL LTDA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56958000102</v>
          </cell>
          <cell r="C998" t="str">
            <v>IDEALLE EDITORA E PUBLICIDADE LTDA ME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B999">
            <v>2676310000000</v>
          </cell>
          <cell r="C999" t="str">
            <v>IDEIAS TURISMO EIRELI</v>
          </cell>
          <cell r="D999">
            <v>0</v>
          </cell>
          <cell r="E999">
            <v>113765.37</v>
          </cell>
          <cell r="F999">
            <v>-113765.37</v>
          </cell>
          <cell r="G999">
            <v>0</v>
          </cell>
        </row>
        <row r="1000">
          <cell r="B1000">
            <v>40181300000000</v>
          </cell>
          <cell r="C1000" t="str">
            <v>ASSOCIAÇÃO CULTURAL E DE PESQ NOEL ROSA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>
            <v>1959080000000</v>
          </cell>
          <cell r="C1001" t="str">
            <v>INSTITUTO PROMUNDO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14291000000000</v>
          </cell>
          <cell r="C1002" t="str">
            <v>JOSE RODRIGUES DE SOUZA NETO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10320400000000</v>
          </cell>
          <cell r="C1003" t="str">
            <v>MM DESENVOLVIMENTO LTDA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24725000000000</v>
          </cell>
          <cell r="C1004" t="str">
            <v>NORTE EDUCAÇÃO EXECUTIVA LTDA ME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21348200000000</v>
          </cell>
          <cell r="C1005" t="str">
            <v>VINICIUS JOSE EUGENIO - ME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>
            <v>5025590000000</v>
          </cell>
          <cell r="C1006" t="str">
            <v>ENE TREINAMENTOS CURSOS E EVENTOS EIRELI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29969200000000</v>
          </cell>
          <cell r="C1007" t="str">
            <v>ASS BRASILEIRA DE RECURSOS HIDRICOS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B1008">
            <v>32452600000000</v>
          </cell>
          <cell r="C1008" t="str">
            <v>UNITIZA CONSULTORIA EM ENERGIA LTDA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7808210000000</v>
          </cell>
          <cell r="C1009" t="str">
            <v>CEDIN-CENTRO DE ESTUDOS EM DIR E NEG LTD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26644400000000</v>
          </cell>
          <cell r="C1010" t="str">
            <v>LAUDOS ENGENHARIA LTDA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B1011">
            <v>14016900000000</v>
          </cell>
          <cell r="C1011" t="str">
            <v>FL SOLUCOES COORPORATIVAS INTELIGENTES L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27039900000000</v>
          </cell>
          <cell r="C1012" t="str">
            <v>AL NETTO COMERCIAL E SERVIÇOS EIRELI ME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8706550000000</v>
          </cell>
          <cell r="C1013" t="str">
            <v>O2 SOLUÇÕES EM TECNOLOGIA DIGITAL LTDA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B1014">
            <v>30040600000000</v>
          </cell>
          <cell r="C1014" t="str">
            <v>AGBT TRADUCOES LTDA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B1015">
            <v>30780700000000</v>
          </cell>
          <cell r="C1015" t="str">
            <v>LVD SOLUÇÕES EM INFORMÁTICA EIRELI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B1016">
            <v>15267100000000</v>
          </cell>
          <cell r="C1016" t="str">
            <v>TIKINET EDICAO LTDA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B1017">
            <v>8747230000000</v>
          </cell>
          <cell r="C1017" t="str">
            <v>ARQUITETURA PROCESSUAL INTELIGENTE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B1018">
            <v>2939150000000</v>
          </cell>
          <cell r="C1018" t="str">
            <v>AC ARQUITETURA E CONSULTORIA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B1019">
            <v>9274820000000</v>
          </cell>
          <cell r="C1019" t="str">
            <v>SUPER ACESSO INFORMAÇÃO LTDA ME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20306500000000</v>
          </cell>
          <cell r="C1020" t="str">
            <v>EFICAZ GESTÃO EM SAUDE LTDA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B1021">
            <v>7341420000000</v>
          </cell>
          <cell r="C1021" t="str">
            <v>IHS MARKIT AGRIBUSINESS BRAZIL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>
            <v>14031100000000</v>
          </cell>
          <cell r="C1022" t="str">
            <v>COND. ED. MARQUES DOS REIS</v>
          </cell>
          <cell r="D1022">
            <v>0</v>
          </cell>
          <cell r="E1022">
            <v>137380.79</v>
          </cell>
          <cell r="F1022">
            <v>-137380.79</v>
          </cell>
          <cell r="G1022">
            <v>0</v>
          </cell>
        </row>
        <row r="1023">
          <cell r="B1023">
            <v>20129600000000</v>
          </cell>
          <cell r="C1023" t="str">
            <v>NP TREINAMENTOS E CURSOS LTDA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B1024">
            <v>58932600000000</v>
          </cell>
          <cell r="C1024" t="str">
            <v>AUTODATA EDITORA E EVENTOS LTDA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B1025">
            <v>35816200000000</v>
          </cell>
          <cell r="C1025" t="str">
            <v>HOLLANDA LOPES IMUNIZAÇÃO E VACINAÇÃO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B1026">
            <v>62070100000000</v>
          </cell>
          <cell r="C1026" t="str">
            <v>INSTITUTO DOS AUDITORES INTERNOS BRASIL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B1027">
            <v>5486290000000</v>
          </cell>
          <cell r="C1027" t="str">
            <v>INSTITUTO NACIONAL DE CAPACITAÇÃO EPP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>
            <v>1082330000000</v>
          </cell>
          <cell r="C1028" t="str">
            <v>IBGC - INST BRAS DE GOVERNANÇA CORP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B1029">
            <v>4236620000000</v>
          </cell>
          <cell r="C1029" t="str">
            <v>REAL PROTECT INFORMÁTICA LTDA ME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21449300000000</v>
          </cell>
          <cell r="C1030" t="str">
            <v>BERKAN AUDITORES INDEPENDENTES S.S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B1031">
            <v>11825800000000</v>
          </cell>
          <cell r="C1031" t="str">
            <v>INSTITUTO FENACON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14087600000000</v>
          </cell>
          <cell r="C1032" t="str">
            <v>MMP CURSOS CAP. E TREINAMENTO LTDA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>
            <v>23316000000000</v>
          </cell>
          <cell r="C1033" t="str">
            <v>M2P ENGENHARIA LTDA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74336600000000</v>
          </cell>
          <cell r="C1034" t="str">
            <v>ELETROMAGNETICS TEC. E INF. LTDA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67634000000000</v>
          </cell>
          <cell r="C1035" t="str">
            <v>QSP - CENTRO DE Q. SEG. E PROD. P/BR E A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26410300000000</v>
          </cell>
          <cell r="C1036" t="str">
            <v>TRAINSEC SEGURANCA EIRELI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B1037">
            <v>10618200000000</v>
          </cell>
          <cell r="C1037" t="str">
            <v>MAGNOPLAN GERENCIAMENTO DE PROJETOS LTDA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B1038">
            <v>3784680000000</v>
          </cell>
          <cell r="C1038" t="str">
            <v>SENAI RN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29493500000000</v>
          </cell>
          <cell r="C1039" t="str">
            <v>ROBERTO FERREIRA DOS SANTOS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B1040">
            <v>35851500000000</v>
          </cell>
          <cell r="C1040" t="str">
            <v>ECOAMB CONSULTORIA ECONOMICA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>
            <v>8817860000000</v>
          </cell>
          <cell r="C1041" t="str">
            <v>ASSOCIAÇÃO BRASILEIRA DE ENERGIA SOLAR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B1042">
            <v>37748800000000</v>
          </cell>
          <cell r="C1042" t="str">
            <v>AP12 FILMES E PRODUÇÕES LTDA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5569970000000</v>
          </cell>
          <cell r="C1043" t="str">
            <v>UNIEDUCAR INTELIGÊNCIA EDUCACIONAL LTDA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8865620000000</v>
          </cell>
          <cell r="C1044" t="str">
            <v>WORKING ASSOCIAÇÃO DE INTEGRAÇÃO PROFIS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>
            <v>7192480000000</v>
          </cell>
          <cell r="C1045" t="str">
            <v>AMM TECNOLOGIA E SERV. INF. LTDA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49607300000000</v>
          </cell>
          <cell r="C1046" t="str">
            <v>FUNCAMP - FUND. DE DES. DA UNICAMP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13529500000000</v>
          </cell>
          <cell r="C1047" t="str">
            <v>ALPHA &amp; OMEGA TRANSCRIÇÕES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10237100000000</v>
          </cell>
          <cell r="C1048" t="str">
            <v>AF FIGUEIREDO - PALESTRAS, CURSOS E CONGR.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13517600000000</v>
          </cell>
          <cell r="C1049" t="str">
            <v>IQUALI - INST. DE QUALIFICAÇÃO PROFISSIONAL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B1050">
            <v>33175200000000</v>
          </cell>
          <cell r="C1050" t="str">
            <v>JAIRO ADELINO DOS SANTOS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B1051">
            <v>24736100000000</v>
          </cell>
          <cell r="C1051" t="str">
            <v>TREINAR CAPACITAÇÃO E DESENVOLVIMENTO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B1052">
            <v>28066300000000</v>
          </cell>
          <cell r="C1052" t="str">
            <v>LEANDRO NOBREGA GULLO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7929380000000</v>
          </cell>
          <cell r="C1053" t="str">
            <v>NELISE CARDOSO DOS SANTOS WALDER ME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B1054">
            <v>36984100000000</v>
          </cell>
          <cell r="C1054" t="str">
            <v>BRAZIL IT SOLUÇÕES EM INFORMÁTICA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B1055">
            <v>32319700000000</v>
          </cell>
          <cell r="C1055" t="str">
            <v>CLINICARE MEDICINA E SEGURANÇA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B1056">
            <v>38010500000000</v>
          </cell>
          <cell r="C1056" t="str">
            <v>PROPULSÃO SERVIÇOS DE TRANSPORTE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11522000000000</v>
          </cell>
          <cell r="C1057" t="str">
            <v>AUSTRAL SEGURADORA S.A.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B1058">
            <v>64909700000000</v>
          </cell>
          <cell r="C1058" t="str">
            <v>FIGENER ENGENHEIROS ASSOCIADOS LTDA</v>
          </cell>
          <cell r="D1058">
            <v>0</v>
          </cell>
          <cell r="E1058">
            <v>0</v>
          </cell>
          <cell r="F1058">
            <v>-29980</v>
          </cell>
          <cell r="G1058">
            <v>29980</v>
          </cell>
        </row>
        <row r="1059">
          <cell r="B1059">
            <v>35791400000000</v>
          </cell>
          <cell r="C1059" t="str">
            <v>QUALITY SOFTWARE S/A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B1060">
            <v>15610500000000</v>
          </cell>
          <cell r="C1060" t="str">
            <v>JUMP SERVICOS GRAFICOS LTDA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B1061">
            <v>11204400000000</v>
          </cell>
          <cell r="C1061" t="str">
            <v>TECHDOC SERVICOS TECNOLOGICOS LTDA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B1062">
            <v>29775800000000</v>
          </cell>
          <cell r="C1062" t="str">
            <v>SOLUTIAL SOLUCOES E ANALISE DE DADOS LTDA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B1063">
            <v>15011200000000</v>
          </cell>
          <cell r="C1063" t="str">
            <v>ESTATER TECNOLOGIA E SERVICOS LTDA</v>
          </cell>
          <cell r="D1063">
            <v>0</v>
          </cell>
          <cell r="E1063">
            <v>792</v>
          </cell>
          <cell r="F1063">
            <v>-792</v>
          </cell>
          <cell r="G1063">
            <v>0</v>
          </cell>
        </row>
        <row r="1064">
          <cell r="B1064">
            <v>13157600000000</v>
          </cell>
          <cell r="C1064" t="str">
            <v>LEONARDO AGUIAR MARTIN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2081860000000</v>
          </cell>
          <cell r="C1065" t="str">
            <v>GFARIAS EDUCAÇÃO LTDA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36826500000000</v>
          </cell>
          <cell r="C1066" t="str">
            <v>MARIA DAS NEVES FERREIRA PINTO VIEIRA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5246000000000</v>
          </cell>
          <cell r="C1067" t="str">
            <v>PROSA DO MUNDO SERV. EDITORIAS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>
            <v>3364280000000</v>
          </cell>
          <cell r="C1068" t="str">
            <v>AUTODATA SEMINARIOS E EDITORA LTDA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B1069">
            <v>188111000000</v>
          </cell>
          <cell r="C1069" t="str">
            <v>R PEOTTA ENGENHARIA E CONSULTORIA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>
            <v>21728300000000</v>
          </cell>
          <cell r="C1070" t="str">
            <v>JSM SOLUÇÕES LOGÍSTICAS E TRANSPORTE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B1071">
            <v>82429600000000</v>
          </cell>
          <cell r="C1071" t="str">
            <v>CENOFISCO EDIT. DE PUBLICAÇÕES TRIBUTÁRIAS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>
            <v>3861430000000</v>
          </cell>
          <cell r="C1072" t="str">
            <v>CHÁ COM NOZES PROPAGANDA LTDA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B1073">
            <v>7718940000000</v>
          </cell>
          <cell r="C1073" t="str">
            <v>ZILMA WAVGENCZAK ME.</v>
          </cell>
          <cell r="D1073">
            <v>0</v>
          </cell>
          <cell r="E1073">
            <v>140</v>
          </cell>
          <cell r="F1073">
            <v>-140</v>
          </cell>
          <cell r="G1073">
            <v>0</v>
          </cell>
        </row>
        <row r="1074">
          <cell r="B1074">
            <v>9474730000000</v>
          </cell>
          <cell r="C1074" t="str">
            <v>SINAPSIS INOVACAO EM ENERGIA S/S LTDA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B1075">
            <v>6923780000000</v>
          </cell>
          <cell r="C1075" t="str">
            <v>MIRIAN ISABEL SAY - MEI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B1076">
            <v>20666900000000</v>
          </cell>
          <cell r="C1076" t="str">
            <v>M&amp;D CURSOS E TREINAMENTOS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B1077">
            <v>42521100000000</v>
          </cell>
          <cell r="C1077" t="str">
            <v>INSTITUTO NACIONAL DA PROPRIEDADE INDUSTRIAL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B1078">
            <v>18133000000000</v>
          </cell>
          <cell r="C1078" t="str">
            <v>CAPACITY TREINAMENTO E APERFEIÇOAMENTO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>
            <v>9079570000000</v>
          </cell>
          <cell r="C1079" t="str">
            <v>TOTAL LIFE ASSISTENCIA A VIDA LTDA</v>
          </cell>
          <cell r="D1079">
            <v>-2093.46</v>
          </cell>
          <cell r="E1079">
            <v>4093.46</v>
          </cell>
          <cell r="F1079">
            <v>-2000</v>
          </cell>
          <cell r="G1079">
            <v>0</v>
          </cell>
        </row>
        <row r="1080">
          <cell r="B1080">
            <v>23880600000000</v>
          </cell>
          <cell r="C1080" t="str">
            <v>WETALK TECNOLOGIA DA INFORMAÇÃO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B1081">
            <v>15394700000000</v>
          </cell>
          <cell r="C1081" t="str">
            <v>GET CLEAN HIGIENIZACAO EIRELI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B1082">
            <v>6070150000000</v>
          </cell>
          <cell r="C1082" t="str">
            <v>INSPER INST. DE ENSINO E PESQUISA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B1083">
            <v>6097870000000</v>
          </cell>
          <cell r="C1083" t="str">
            <v>UNIVET SERVIÇOS ESPECIALIZADOS DE DESINSETIZAÇAO LTDA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B1084">
            <v>54207700000000</v>
          </cell>
          <cell r="C1084" t="str">
            <v>AEA ASSOCIAÇÃO BRAS. DE ENGENHARIA AUTOMOTIVA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>
            <v>8537930000000</v>
          </cell>
          <cell r="C1085" t="str">
            <v>SISTAB TEC-COMERCIO E SERVIÇOS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>
            <v>38405100000000</v>
          </cell>
          <cell r="C1086" t="str">
            <v>VACIVITTA IMUNIZAÇÃO HUMANA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B1087">
            <v>39545600000000</v>
          </cell>
          <cell r="C1087" t="str">
            <v>CVE EVENTOS LTDA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B1088">
            <v>19088600000000</v>
          </cell>
          <cell r="C1088" t="str">
            <v>MGS CLEAN SOLUÇÕES E SERVIÇOS</v>
          </cell>
          <cell r="D1088">
            <v>-60000</v>
          </cell>
          <cell r="E1088">
            <v>89455.46</v>
          </cell>
          <cell r="F1088">
            <v>-89455.46</v>
          </cell>
          <cell r="G1088">
            <v>60000</v>
          </cell>
        </row>
        <row r="1089">
          <cell r="B1089">
            <v>23392000000000</v>
          </cell>
          <cell r="C1089" t="str">
            <v>JARDEL BECK PALESTRAS MAGICAS EIRELI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B1090">
            <v>31455700000000</v>
          </cell>
          <cell r="C1090" t="str">
            <v>OFFICELESS EMPREENDEDORISMO E CONSULTORIA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398099000000</v>
          </cell>
          <cell r="C1091" t="str">
            <v>ASSOCIAÇÃO BRASILEIRA DE ORÇAMENTO PÚBLICO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>
            <v>10242700000000</v>
          </cell>
          <cell r="C1092" t="str">
            <v>BUYSOFT DO BRASIL LTDA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34036200000000</v>
          </cell>
          <cell r="C1093" t="str">
            <v>TIME MULTISSERVIÇOS LTDA</v>
          </cell>
          <cell r="D1093">
            <v>-60000</v>
          </cell>
          <cell r="E1093">
            <v>128688.98</v>
          </cell>
          <cell r="F1093">
            <v>-128688.98</v>
          </cell>
          <cell r="G1093">
            <v>60000</v>
          </cell>
        </row>
        <row r="1094">
          <cell r="B1094">
            <v>36813600000000</v>
          </cell>
          <cell r="C1094" t="str">
            <v>GESTÃO QUANTUM CENTRO DE PROC CONTÁBIL</v>
          </cell>
          <cell r="D1094">
            <v>-12833.33</v>
          </cell>
          <cell r="E1094">
            <v>12833.33</v>
          </cell>
          <cell r="F1094">
            <v>-12833.33</v>
          </cell>
          <cell r="G1094">
            <v>12833.33</v>
          </cell>
        </row>
        <row r="1095">
          <cell r="B1095">
            <v>29500300000000</v>
          </cell>
          <cell r="C1095" t="str">
            <v>LSF COM. E SERV. DE IMPRESSAO EIRELLI-EPP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>
            <v>8984710000000</v>
          </cell>
          <cell r="C1096" t="str">
            <v>CONPROVE TECNOLOGIA E PESQUISAS LTDA - EPP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34746200000000</v>
          </cell>
          <cell r="C1097" t="str">
            <v>POTENCIA DIVERSA CONSULTORIA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191477000000</v>
          </cell>
          <cell r="C1098" t="str">
            <v>INFORMA MARKETS LTDA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127155000000</v>
          </cell>
          <cell r="C1099" t="str">
            <v>SOCIEDADE BRASILEIRA DE ECONOMIA ECOLOGICA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B1100">
            <v>8294690000000</v>
          </cell>
          <cell r="C1100" t="str">
            <v>WAYCARBON SOLUCOES AMBIENTAIS E PROJETOS DE CARBONO LT</v>
          </cell>
          <cell r="D1100">
            <v>0</v>
          </cell>
          <cell r="E1100">
            <v>60000</v>
          </cell>
          <cell r="F1100">
            <v>-60000</v>
          </cell>
          <cell r="G1100">
            <v>0</v>
          </cell>
        </row>
        <row r="1101">
          <cell r="B1101">
            <v>2971570000000</v>
          </cell>
          <cell r="C1101" t="str">
            <v>BSD CONSULTORIA LTDA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5045200000000</v>
          </cell>
          <cell r="C1102" t="str">
            <v>ASSOCIAÇÃO BRASILEIRA DE GERADORAS TERMELETRICAS ABRAG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9187216795</v>
          </cell>
          <cell r="C1103" t="str">
            <v>NAYANA AGNI LOURENÇO MARINS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16586600000000</v>
          </cell>
          <cell r="C1104" t="str">
            <v>DIEGO MARCELO F. TRAVEZ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B1105">
            <v>5506560000000</v>
          </cell>
          <cell r="C1105" t="str">
            <v>NÚCLEO DE INFORMAÇÃO E COORDENAÇÃO DO PONTO BR - NIC.BR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B1106">
            <v>11772400000000</v>
          </cell>
          <cell r="C1106" t="str">
            <v>RAPHAEL DIAS XAVIER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3657350000000</v>
          </cell>
          <cell r="C1107" t="str">
            <v>ASSOCIAÇÃO BRASILEIRA DE AGENCIAS DE REGULAÇÃO - ABAR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B1108" t="str">
            <v>000000004906-95</v>
          </cell>
          <cell r="C1108" t="str">
            <v>BANCO DO BRASIL S/A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>
            <v>39271400000000</v>
          </cell>
          <cell r="C1109" t="str">
            <v>X VOTE SISTEMAS DE VOTACAO ELETRONICA LTDA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>
            <v>36692300000000</v>
          </cell>
          <cell r="C1110" t="str">
            <v>SINERGYA TREINAMENTOS LTDA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B1111">
            <v>33736300000000</v>
          </cell>
          <cell r="C1111" t="str">
            <v>DM CRIACAO E DISTRIBUICAO DE CONTEUDO EIRELI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34977900000000</v>
          </cell>
          <cell r="C1112" t="str">
            <v>RMA ENGENHARIA LTDA</v>
          </cell>
          <cell r="D1112">
            <v>-1400</v>
          </cell>
          <cell r="E1112">
            <v>1400</v>
          </cell>
          <cell r="F1112">
            <v>0</v>
          </cell>
          <cell r="G1112">
            <v>0</v>
          </cell>
        </row>
        <row r="1113">
          <cell r="B1113">
            <v>40949200000000</v>
          </cell>
          <cell r="C1113" t="str">
            <v>DIANA BONAR SACILOTTI CURRIE DESENVOLVIMENTO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>
            <v>2279910000000</v>
          </cell>
          <cell r="C1114" t="str">
            <v>DAIMON ENGENHARIA E SISTEMAS S/S LTDA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>
            <v>8789660000000</v>
          </cell>
          <cell r="C1115" t="str">
            <v>FREE JOBS DESENVOLVIMENTO DE SOFTWARE LTDA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B1116">
            <v>25131900000000</v>
          </cell>
          <cell r="C1116" t="str">
            <v>MOBIX ORGANIZACAO E PRODUCAO DE EVENTOS LTDA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B1117">
            <v>33267100000000</v>
          </cell>
          <cell r="C1117" t="str">
            <v>KANELS VAREJO ESPECIALIZADO EM EQUIPAMENTOS DE AUDIO E VIDEO EIRELI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33198300000000</v>
          </cell>
          <cell r="C1118" t="str">
            <v>REFRIGERACAO IV CENTENARIO EIRELI</v>
          </cell>
          <cell r="D1118">
            <v>0</v>
          </cell>
          <cell r="E1118">
            <v>499.6</v>
          </cell>
          <cell r="F1118">
            <v>-499.6</v>
          </cell>
          <cell r="G1118">
            <v>0</v>
          </cell>
        </row>
        <row r="1119">
          <cell r="B1119">
            <v>26543900000000</v>
          </cell>
          <cell r="C1119" t="str">
            <v>GRAPHIX COPIAS E IMPRESSOES EIRELI ME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B1120">
            <v>41986100000000</v>
          </cell>
          <cell r="C1120" t="str">
            <v>PSYDEMY ENGENHARIA LTDA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10740900000000</v>
          </cell>
          <cell r="C1121" t="str">
            <v>A &amp; A TRADUCOES E INTERPRETACOES LTDA</v>
          </cell>
          <cell r="D1121">
            <v>0</v>
          </cell>
          <cell r="E1121">
            <v>1392</v>
          </cell>
          <cell r="F1121">
            <v>-1392</v>
          </cell>
          <cell r="G1121">
            <v>0</v>
          </cell>
        </row>
        <row r="1122">
          <cell r="B1122">
            <v>26058300000000</v>
          </cell>
          <cell r="C1122" t="str">
            <v>CONQUER HOLDING EDUCACIONAL S.A.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>
            <v>28712100000000</v>
          </cell>
          <cell r="C1123" t="str">
            <v>MODULO SECURITY SOLUTIONS EM RECUPERACAO JUDICIAL</v>
          </cell>
          <cell r="D1123">
            <v>0</v>
          </cell>
          <cell r="E1123">
            <v>4500</v>
          </cell>
          <cell r="F1123">
            <v>-4500</v>
          </cell>
          <cell r="G1123">
            <v>0</v>
          </cell>
        </row>
        <row r="1124">
          <cell r="B1124">
            <v>30363400000000</v>
          </cell>
          <cell r="C1124" t="str">
            <v>KEILA AMORIM DE MELO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2189920000000</v>
          </cell>
          <cell r="C1125" t="str">
            <v>DELOITTE TOUCHE TOHMATSU CONSULTORES LTDA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>
            <v>10907000000000</v>
          </cell>
          <cell r="C1126" t="str">
            <v>APPROACH COMUNICAÇÃO INTEGRADA LTDA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>
            <v>37165100000000</v>
          </cell>
          <cell r="C1127" t="str">
            <v>GD TREINAMENTOS LTDA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B1128">
            <v>1406620000000</v>
          </cell>
          <cell r="C1128" t="str">
            <v>AGENCIA DE INTEGRAÇÃO ESCOLA LTDA</v>
          </cell>
          <cell r="D1128">
            <v>0</v>
          </cell>
          <cell r="E1128">
            <v>44388.68</v>
          </cell>
          <cell r="F1128">
            <v>-44388.68</v>
          </cell>
          <cell r="G1128">
            <v>0</v>
          </cell>
        </row>
        <row r="1129">
          <cell r="B1129">
            <v>12499500000000</v>
          </cell>
          <cell r="C1129" t="str">
            <v>CLICKSIGN GESTAO DE DOCUMENTOS S/A</v>
          </cell>
          <cell r="D1129">
            <v>0</v>
          </cell>
          <cell r="E1129">
            <v>118.8</v>
          </cell>
          <cell r="F1129">
            <v>-118.8</v>
          </cell>
          <cell r="G1129">
            <v>0</v>
          </cell>
        </row>
        <row r="1130">
          <cell r="B1130">
            <v>38538400000000</v>
          </cell>
          <cell r="C1130" t="str">
            <v>THIAGO PINTO MARTINS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29973800000000</v>
          </cell>
          <cell r="C1131" t="str">
            <v>CALESMON ENGENHARIA LTDA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B1132">
            <v>17079200000000</v>
          </cell>
          <cell r="C1132" t="str">
            <v>THYMOS ENERGIA ENGENHARIA E CONSULTORIA LTDA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B1133">
            <v>789920000000</v>
          </cell>
          <cell r="C1133" t="str">
            <v>DRIKA INDUSTRIA E COMERCIO DE PRODUTOS PROMOCIONAIS EIRELI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B1134">
            <v>7843950000000</v>
          </cell>
          <cell r="C1134" t="str">
            <v>CHESTNUT GLOBAL PARTNERS DO BRASIL LTDA</v>
          </cell>
          <cell r="D1134">
            <v>0</v>
          </cell>
          <cell r="E1134">
            <v>2750</v>
          </cell>
          <cell r="F1134">
            <v>-2750</v>
          </cell>
          <cell r="G1134">
            <v>0</v>
          </cell>
        </row>
        <row r="1135">
          <cell r="B1135">
            <v>6977750000000</v>
          </cell>
          <cell r="C1135" t="str">
            <v>FUNCIONAL MOVEIS DE AÇO LTDA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B1136">
            <v>72061000000000</v>
          </cell>
          <cell r="C1136" t="str">
            <v>FUNDACAO COORDENACAO DE PROJETOS PESQUISAS E ESTUDOS</v>
          </cell>
          <cell r="D1136">
            <v>0</v>
          </cell>
          <cell r="E1136">
            <v>82934.789999999994</v>
          </cell>
          <cell r="F1136">
            <v>-82934.789999999994</v>
          </cell>
          <cell r="G1136">
            <v>0</v>
          </cell>
        </row>
        <row r="1137">
          <cell r="B1137">
            <v>24091600000000</v>
          </cell>
          <cell r="C1137" t="str">
            <v>INOVE TREINAMENTOS LTDA-ME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35419400000000</v>
          </cell>
          <cell r="C1138" t="str">
            <v>HIGH SERVICOS DE COMPLIANCE LTDA</v>
          </cell>
          <cell r="D1138">
            <v>0</v>
          </cell>
          <cell r="E1138">
            <v>0</v>
          </cell>
          <cell r="F1138">
            <v>-1291.67</v>
          </cell>
          <cell r="G1138">
            <v>1291.67</v>
          </cell>
        </row>
        <row r="1139">
          <cell r="B1139">
            <v>81188500000000</v>
          </cell>
          <cell r="C1139" t="str">
            <v>STCP - ENGENHARIA DE PROJETOS LTDA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B1140">
            <v>12979000000000</v>
          </cell>
          <cell r="C1140" t="str">
            <v>T &amp; S LOCACAO DE MAO DE OBRA EM GERAL EIRELI</v>
          </cell>
          <cell r="D1140">
            <v>0</v>
          </cell>
          <cell r="E1140">
            <v>3607.95</v>
          </cell>
          <cell r="F1140">
            <v>-32799.519999999997</v>
          </cell>
          <cell r="G1140">
            <v>29191.57</v>
          </cell>
        </row>
        <row r="1141">
          <cell r="B1141">
            <v>23689400000000</v>
          </cell>
          <cell r="C1141" t="str">
            <v>SPUTNIK CURSOS LTDA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>
            <v>38056400000000</v>
          </cell>
          <cell r="C1142" t="str">
            <v>IOS INFORMATICA, ORGANIZACAO E SISTEMAS LTDA</v>
          </cell>
          <cell r="D1142">
            <v>-32699.97</v>
          </cell>
          <cell r="E1142">
            <v>36873.129999999997</v>
          </cell>
          <cell r="F1142">
            <v>-32225.23</v>
          </cell>
          <cell r="G1142">
            <v>28052.07</v>
          </cell>
        </row>
        <row r="1143">
          <cell r="B1143">
            <v>15809100000000</v>
          </cell>
          <cell r="C1143" t="str">
            <v>SHIELD SEGURANÇA DA INFORMAÇÃO E CONSULTORIA LTDA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B1144">
            <v>30135800000000</v>
          </cell>
          <cell r="C1144" t="str">
            <v>GLEICE DE SOUZA SILVA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B1145">
            <v>14113000000000</v>
          </cell>
          <cell r="C1145" t="str">
            <v>DIVERSA CONSULTORIA E PLANEJAMENTO EM SUSTENTABILIDADE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43213800000000</v>
          </cell>
          <cell r="C1146" t="str">
            <v>EMERSON PROCESS MANAGEMENT LTDA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45078200000000</v>
          </cell>
          <cell r="C1147" t="str">
            <v>CARLOS EDUARDO ALVES DE ABREU</v>
          </cell>
          <cell r="D1147">
            <v>-44940</v>
          </cell>
          <cell r="E1147">
            <v>44940</v>
          </cell>
          <cell r="F1147">
            <v>0</v>
          </cell>
          <cell r="G1147">
            <v>0</v>
          </cell>
        </row>
        <row r="1148">
          <cell r="B1148">
            <v>7857620000000</v>
          </cell>
          <cell r="C1148" t="str">
            <v>MENEZES NIEBUHR SOCIEDADE DE ADVOGADOS</v>
          </cell>
          <cell r="D1148">
            <v>0</v>
          </cell>
          <cell r="E1148">
            <v>60000</v>
          </cell>
          <cell r="F1148">
            <v>-60000</v>
          </cell>
          <cell r="G1148">
            <v>0</v>
          </cell>
        </row>
        <row r="1149">
          <cell r="B1149">
            <v>1708170000000</v>
          </cell>
          <cell r="C1149" t="str">
            <v>KPMG CONSULTORIA LTDA</v>
          </cell>
          <cell r="D1149">
            <v>0</v>
          </cell>
          <cell r="E1149">
            <v>37728.9</v>
          </cell>
          <cell r="F1149">
            <v>-37728.9</v>
          </cell>
          <cell r="G1149">
            <v>0</v>
          </cell>
        </row>
        <row r="1150">
          <cell r="B1150">
            <v>6220430000000</v>
          </cell>
          <cell r="C1150" t="str">
            <v>FUNDAÇÃO DE APOIO AO DESENVOLVIMENTO DA COMPUTAÇÃO</v>
          </cell>
          <cell r="D1150">
            <v>0</v>
          </cell>
          <cell r="E1150">
            <v>0</v>
          </cell>
          <cell r="F1150">
            <v>-15000</v>
          </cell>
          <cell r="G1150">
            <v>15000</v>
          </cell>
        </row>
        <row r="1151">
          <cell r="B1151">
            <v>18310800000000</v>
          </cell>
          <cell r="C1151" t="str">
            <v>OBRA RIO REFORMAS REPAROS E COMERCIO LTDA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B1152" t="str">
            <v>01707536/000104</v>
          </cell>
          <cell r="C1152" t="str">
            <v>ISH TECNOLOGIA S/A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B1153">
            <v>2114998</v>
          </cell>
          <cell r="C1153" t="str">
            <v>Fornecedores a Classificar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>
            <v>2114999</v>
          </cell>
          <cell r="C1154" t="str">
            <v>Provisão de Fornecedores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B1155">
            <v>2115</v>
          </cell>
          <cell r="C1155" t="str">
            <v>Fornecedores Estrangeiros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2115999</v>
          </cell>
          <cell r="C1156" t="str">
            <v>Fornecedores de Materiais e Serviços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B1157">
            <v>2116</v>
          </cell>
          <cell r="C1157" t="str">
            <v>Obrigações Fiscais</v>
          </cell>
          <cell r="D1157">
            <v>-689647.67</v>
          </cell>
          <cell r="E1157">
            <v>689647.67</v>
          </cell>
          <cell r="F1157">
            <v>-4156.25</v>
          </cell>
          <cell r="G1157">
            <v>4156.25</v>
          </cell>
        </row>
        <row r="1158">
          <cell r="B1158">
            <v>21161</v>
          </cell>
          <cell r="C1158" t="str">
            <v>IRPJ a Recolher</v>
          </cell>
          <cell r="D1158">
            <v>-253821.66</v>
          </cell>
          <cell r="E1158">
            <v>253821.66</v>
          </cell>
          <cell r="F1158">
            <v>0</v>
          </cell>
          <cell r="G1158">
            <v>0</v>
          </cell>
        </row>
        <row r="1159">
          <cell r="B1159">
            <v>21162</v>
          </cell>
          <cell r="C1159" t="str">
            <v>PASEP a Recolher</v>
          </cell>
          <cell r="D1159">
            <v>-58853.54</v>
          </cell>
          <cell r="E1159">
            <v>58853.54</v>
          </cell>
          <cell r="F1159">
            <v>-580.98</v>
          </cell>
          <cell r="G1159">
            <v>580.98</v>
          </cell>
        </row>
        <row r="1160">
          <cell r="B1160">
            <v>21163</v>
          </cell>
          <cell r="C1160" t="str">
            <v>COFINS a Recolher</v>
          </cell>
          <cell r="D1160">
            <v>-275610.15000000002</v>
          </cell>
          <cell r="E1160">
            <v>275610.15000000002</v>
          </cell>
          <cell r="F1160">
            <v>-3575.27</v>
          </cell>
          <cell r="G1160">
            <v>3575.27</v>
          </cell>
        </row>
        <row r="1161">
          <cell r="B1161">
            <v>21164</v>
          </cell>
          <cell r="C1161" t="str">
            <v>ICMS a Recolher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B1162">
            <v>21165</v>
          </cell>
          <cell r="C1162" t="str">
            <v>ISS a Recolher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21166</v>
          </cell>
          <cell r="C1163" t="str">
            <v>IPTU a Recolher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21167</v>
          </cell>
          <cell r="C1164" t="str">
            <v>CSLL a Recolher</v>
          </cell>
          <cell r="D1164">
            <v>-101362.32</v>
          </cell>
          <cell r="E1164">
            <v>101362.32</v>
          </cell>
          <cell r="F1164">
            <v>0</v>
          </cell>
          <cell r="G1164">
            <v>0</v>
          </cell>
        </row>
        <row r="1165">
          <cell r="B1165">
            <v>21168</v>
          </cell>
          <cell r="C1165" t="str">
            <v>CIDE s/Remessas p/ o exterior a Recolher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B1166">
            <v>21169</v>
          </cell>
          <cell r="C1166" t="str">
            <v>Tributos a Recolher - Exerc Ant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2117</v>
          </cell>
          <cell r="C1167" t="str">
            <v>Retenções Tributárias</v>
          </cell>
          <cell r="D1167">
            <v>-766871.6</v>
          </cell>
          <cell r="E1167">
            <v>879061.99</v>
          </cell>
          <cell r="F1167">
            <v>-845823.6</v>
          </cell>
          <cell r="G1167">
            <v>733633.21</v>
          </cell>
        </row>
        <row r="1168">
          <cell r="B1168">
            <v>561</v>
          </cell>
          <cell r="C1168" t="str">
            <v>IRRF a Recolher de Empregados</v>
          </cell>
          <cell r="D1168">
            <v>-753572.77</v>
          </cell>
          <cell r="E1168">
            <v>801477.34</v>
          </cell>
          <cell r="F1168">
            <v>-767974.03</v>
          </cell>
          <cell r="G1168">
            <v>720069.46</v>
          </cell>
        </row>
        <row r="1169">
          <cell r="B1169">
            <v>21172</v>
          </cell>
          <cell r="C1169" t="str">
            <v>IRRF a Recolher de Terceiros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 t="str">
            <v>INSS</v>
          </cell>
          <cell r="C1170" t="str">
            <v>INSS DE TERCEIROS</v>
          </cell>
          <cell r="D1170">
            <v>-13298.83</v>
          </cell>
          <cell r="E1170">
            <v>14443.34</v>
          </cell>
          <cell r="F1170">
            <v>-14708.26</v>
          </cell>
          <cell r="G1170">
            <v>13563.75</v>
          </cell>
        </row>
        <row r="1171">
          <cell r="B1171" t="str">
            <v>PIS</v>
          </cell>
          <cell r="C1171" t="str">
            <v>PIS/PASEP de Terceiros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 t="str">
            <v>COFINS</v>
          </cell>
          <cell r="C1172" t="str">
            <v>COFINS de Terceiros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B1173">
            <v>21176</v>
          </cell>
          <cell r="C1173" t="str">
            <v>CSLL de Terceiros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21177</v>
          </cell>
          <cell r="C1174" t="str">
            <v>IRPJ de Terceiros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6147</v>
          </cell>
          <cell r="C1175" t="str">
            <v>Ret IN 539/05 - IR/CS/PIS/COFINS - 5,85%</v>
          </cell>
          <cell r="D1175">
            <v>0</v>
          </cell>
          <cell r="E1175">
            <v>2853.72</v>
          </cell>
          <cell r="F1175">
            <v>-2853.72</v>
          </cell>
          <cell r="G1175">
            <v>0</v>
          </cell>
        </row>
        <row r="1176">
          <cell r="B1176">
            <v>6190</v>
          </cell>
          <cell r="C1176" t="str">
            <v>Ret IN 539/05 - IR/CS/PIS/COFINS - 9,45%</v>
          </cell>
          <cell r="D1176">
            <v>0</v>
          </cell>
          <cell r="E1176">
            <v>50873.54</v>
          </cell>
          <cell r="F1176">
            <v>-50873.54</v>
          </cell>
          <cell r="G1176">
            <v>0</v>
          </cell>
        </row>
        <row r="1177">
          <cell r="B1177">
            <v>6175</v>
          </cell>
          <cell r="C1177" t="str">
            <v>Ret IN 539/05 - IR/CS/PIS/COFINS - 7,05%</v>
          </cell>
          <cell r="D1177">
            <v>0</v>
          </cell>
          <cell r="E1177">
            <v>4941.3</v>
          </cell>
          <cell r="F1177">
            <v>-4941.3</v>
          </cell>
          <cell r="G1177">
            <v>0</v>
          </cell>
        </row>
        <row r="1178">
          <cell r="B1178">
            <v>211711</v>
          </cell>
          <cell r="C1178" t="str">
            <v>Ret IN 539/05 - IR/CS/PIS/COFINS - 2,20%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211712</v>
          </cell>
          <cell r="C1179" t="str">
            <v>Ret IN 539/05 - IR/CS/PIS/COFINS - 4,89%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211713</v>
          </cell>
          <cell r="C1180" t="str">
            <v>Ret IN 539/05 - IR/CS/PIS/COFINS - 3,40%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>
            <v>211714</v>
          </cell>
          <cell r="C1181" t="str">
            <v>IRRF Pessoa Física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 t="str">
            <v>ISS</v>
          </cell>
          <cell r="C1182" t="str">
            <v>ISS de Terceiros</v>
          </cell>
          <cell r="D1182">
            <v>0</v>
          </cell>
          <cell r="E1182">
            <v>4472.75</v>
          </cell>
          <cell r="F1182">
            <v>-4472.75</v>
          </cell>
          <cell r="G1182">
            <v>0</v>
          </cell>
        </row>
        <row r="1183">
          <cell r="B1183">
            <v>211716</v>
          </cell>
          <cell r="C1183" t="str">
            <v>Ret  IR e Contrib. 6147 Conv. 035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>
            <v>211717</v>
          </cell>
          <cell r="C1184" t="str">
            <v>Ret IR e Contrib. 6147 Conv. 039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211718</v>
          </cell>
          <cell r="C1185" t="str">
            <v>Ret IR e Contrib. 6190 Conv. 032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B1186">
            <v>211719</v>
          </cell>
          <cell r="C1186" t="str">
            <v>Ret IR e Contrib. 6190 Conv. 034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>
            <v>211720</v>
          </cell>
          <cell r="C1187" t="str">
            <v>Ret. ISS de Terceiros Conv. 013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211721</v>
          </cell>
          <cell r="C1188" t="str">
            <v>Ret. ISS de Terceiros Conv. 039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211722</v>
          </cell>
          <cell r="C1189" t="str">
            <v>Ret. INSS de Terceiros Conv. 013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211723</v>
          </cell>
          <cell r="C1190" t="str">
            <v>Ret. INSS de Terceiros Conv. 039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B1191">
            <v>211724</v>
          </cell>
          <cell r="C1191" t="str">
            <v>Ret  IR e Contrib. 6147 Conv. 022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211725</v>
          </cell>
          <cell r="C1192" t="str">
            <v>Ret  IR e Contrib. 6190 Conv. 022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>
            <v>211726</v>
          </cell>
          <cell r="C1193" t="str">
            <v>Ret  IR e Contrib. 6190 Conv. 013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B1194">
            <v>211727</v>
          </cell>
          <cell r="C1194" t="str">
            <v>Ret  IR e Contrib. 6147 Conv. 029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B1195">
            <v>211728</v>
          </cell>
          <cell r="C1195" t="str">
            <v>Ret  IR e Contrib. 6190 Conv. 029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B1196">
            <v>211729</v>
          </cell>
          <cell r="C1196" t="str">
            <v>Ret  IR e Contrib. 6147 Conv. 013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B1197">
            <v>211730</v>
          </cell>
          <cell r="C1197" t="str">
            <v>Ret  IR e Contrib. 6175 Conv. 034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B1198">
            <v>211731</v>
          </cell>
          <cell r="C1198" t="str">
            <v>Ret  IR e Contrib. 6175 Conv. 035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B1199">
            <v>211732</v>
          </cell>
          <cell r="C1199" t="str">
            <v>Ret  IR e Contrib. 6175 Conv. 013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211733</v>
          </cell>
          <cell r="C1200" t="str">
            <v>Ret  IR e Contrib. 6190 Conv. 039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211734</v>
          </cell>
          <cell r="C1201" t="str">
            <v>Ret  IR e Contrib. 6175 Conv. 039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211735</v>
          </cell>
          <cell r="C1202" t="str">
            <v>Ret  IR e Contrib. 6175 Conv. 029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B1203">
            <v>211736</v>
          </cell>
          <cell r="C1203" t="str">
            <v>Ret  IR e Contrib. 6190 Conv. 031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211737</v>
          </cell>
          <cell r="C1204" t="str">
            <v>Ret  IR e Contrib. 6190 Conv. 030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211738</v>
          </cell>
          <cell r="C1205" t="str">
            <v>Ret  IR e Contrib. 6190 Conv. 033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211739</v>
          </cell>
          <cell r="C1206" t="str">
            <v>Ret  IR e Contrib. 6175 Conv. 033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211740</v>
          </cell>
          <cell r="C1207" t="str">
            <v>Ret. INSS de Terceiros Conv. 022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B1208">
            <v>211741</v>
          </cell>
          <cell r="C1208" t="str">
            <v>Ret  IR e Contrib. 6190 Conv. 025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>
            <v>211742</v>
          </cell>
          <cell r="C1209" t="str">
            <v>Ret  IR e Contrib. 6190 Conv. 035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>
            <v>211743</v>
          </cell>
          <cell r="C1210" t="str">
            <v>Ret  IR e Contrib. 6190 Conv. 023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>
            <v>211744</v>
          </cell>
          <cell r="C1211" t="str">
            <v>Ret  IR e Contrib. 6175 Conv. 032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>
            <v>211745</v>
          </cell>
          <cell r="C1212" t="str">
            <v>Ret  IR e Contrib. 6190 Conv. 026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211746</v>
          </cell>
          <cell r="C1213" t="str">
            <v>IRRF a Recolher de Terceiros Conv. 026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B1214">
            <v>211747</v>
          </cell>
          <cell r="C1214" t="str">
            <v>PIS/PASEP de Terceiros Conv. 026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B1215">
            <v>211748</v>
          </cell>
          <cell r="C1215" t="str">
            <v>CSLL de Terceiros Conv. 026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211749</v>
          </cell>
          <cell r="C1216" t="str">
            <v>Ret  IR e Contrib. 6175 Conv. 025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B1217">
            <v>211750</v>
          </cell>
          <cell r="C1217" t="str">
            <v>Ret  IR e Contrib. 6175 Conv. 028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B1218">
            <v>211751</v>
          </cell>
          <cell r="C1218" t="str">
            <v>Ret. ISS de Terceiros Conv. 032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B1219">
            <v>211752</v>
          </cell>
          <cell r="C1219" t="str">
            <v>Ret. ISS de Terceiros Conv. 033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>
            <v>211753</v>
          </cell>
          <cell r="C1220" t="str">
            <v>Ret. ISS de Terceiros Conv. 034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B1221">
            <v>211754</v>
          </cell>
          <cell r="C1221" t="str">
            <v>Ret. ISS de Terceiros Conv. 029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B1222">
            <v>211755</v>
          </cell>
          <cell r="C1222" t="str">
            <v>Ret  IR e Contrib. 6175 Conv. 023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B1223">
            <v>211756</v>
          </cell>
          <cell r="C1223" t="str">
            <v>Ret  IR e Contrib. 6175 Conv. 030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B1224">
            <v>211757</v>
          </cell>
          <cell r="C1224" t="str">
            <v>Ret  IR e Contrib. 6175 Conv. 031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B1225">
            <v>211758</v>
          </cell>
          <cell r="C1225" t="str">
            <v>Ret. ISS de Terceiros Conv. 035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B1226">
            <v>211759</v>
          </cell>
          <cell r="C1226" t="str">
            <v>Ret. INSS de Terceiros Conv. 030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B1227">
            <v>211760</v>
          </cell>
          <cell r="C1227" t="str">
            <v>Ret. ISS de Terceiros Conv. 025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B1228">
            <v>211761</v>
          </cell>
          <cell r="C1228" t="str">
            <v>Ret. ISS de Terceiros Conv. 022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>
            <v>211762</v>
          </cell>
          <cell r="C1229" t="str">
            <v>Ret. ISS de Terceiros Conv. 030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B1230">
            <v>211763</v>
          </cell>
          <cell r="C1230" t="str">
            <v>Ret  IR e Contrib. 6175 Conv. 022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B1231">
            <v>211764</v>
          </cell>
          <cell r="C1231" t="str">
            <v>Ret  IR e Contrib. 6175 Conv. 026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B1232">
            <v>211765</v>
          </cell>
          <cell r="C1232" t="str">
            <v>Ret  IR e Contrib. 6175 Conv. 027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B1233">
            <v>211766</v>
          </cell>
          <cell r="C1233" t="str">
            <v>Ret  IR e Contrib. 6190 Conv. 034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B1234">
            <v>211767</v>
          </cell>
          <cell r="C1234" t="str">
            <v>Ret  IR e Contrib. 6147 Conv. 026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211768</v>
          </cell>
          <cell r="C1235" t="str">
            <v>Retenção IN 480/2004 - IRPJ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B1236">
            <v>211769</v>
          </cell>
          <cell r="C1236" t="str">
            <v>Retenção IN 480/2004 - CSLL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B1237">
            <v>211770</v>
          </cell>
          <cell r="C1237" t="str">
            <v>Retenção IN 480/2004 - COFINS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B1238">
            <v>211771</v>
          </cell>
          <cell r="C1238" t="str">
            <v>Retenção IN 480/2004 - PIS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B1239">
            <v>211772</v>
          </cell>
          <cell r="C1239" t="str">
            <v>IRRF - ALUGUEL PF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B1240">
            <v>2117999</v>
          </cell>
          <cell r="C1240" t="str">
            <v>A Classificar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B1241">
            <v>2118</v>
          </cell>
          <cell r="C1241" t="str">
            <v>Obrigações Trabalhistas e Sociais</v>
          </cell>
          <cell r="D1241">
            <v>-14374172.109999999</v>
          </cell>
          <cell r="E1241">
            <v>6777359.79</v>
          </cell>
          <cell r="F1241">
            <v>-7312160.7599999998</v>
          </cell>
          <cell r="G1241">
            <v>14908973.08</v>
          </cell>
        </row>
        <row r="1242">
          <cell r="B1242">
            <v>21181</v>
          </cell>
          <cell r="C1242" t="str">
            <v>Salários a Pagar</v>
          </cell>
          <cell r="D1242">
            <v>-2875569.79</v>
          </cell>
          <cell r="E1242">
            <v>4596303.32</v>
          </cell>
          <cell r="F1242">
            <v>-4592165.1399999997</v>
          </cell>
          <cell r="G1242">
            <v>2871431.61</v>
          </cell>
        </row>
        <row r="1243">
          <cell r="B1243">
            <v>21182</v>
          </cell>
          <cell r="C1243" t="str">
            <v>13º Salário a Pagar</v>
          </cell>
          <cell r="D1243">
            <v>-1341930.48</v>
          </cell>
          <cell r="E1243">
            <v>0</v>
          </cell>
          <cell r="F1243">
            <v>-332327.28999999998</v>
          </cell>
          <cell r="G1243">
            <v>1674257.77</v>
          </cell>
        </row>
        <row r="1244">
          <cell r="B1244">
            <v>21183</v>
          </cell>
          <cell r="C1244" t="str">
            <v>Férias a Pagar</v>
          </cell>
          <cell r="D1244">
            <v>-6251061.6699999999</v>
          </cell>
          <cell r="E1244">
            <v>323254.67</v>
          </cell>
          <cell r="F1244">
            <v>-447350.8</v>
          </cell>
          <cell r="G1244">
            <v>6375157.7999999998</v>
          </cell>
        </row>
        <row r="1245">
          <cell r="B1245">
            <v>21184</v>
          </cell>
          <cell r="C1245" t="str">
            <v>INSS a Recolher</v>
          </cell>
          <cell r="D1245">
            <v>-1063186.01</v>
          </cell>
          <cell r="E1245">
            <v>1070707.23</v>
          </cell>
          <cell r="F1245">
            <v>-1076331.1100000001</v>
          </cell>
          <cell r="G1245">
            <v>1068809.8899999999</v>
          </cell>
        </row>
        <row r="1246">
          <cell r="B1246">
            <v>21185</v>
          </cell>
          <cell r="C1246" t="str">
            <v>FGTS a Recolher</v>
          </cell>
          <cell r="D1246">
            <v>-343548.61</v>
          </cell>
          <cell r="E1246">
            <v>343548.43</v>
          </cell>
          <cell r="F1246">
            <v>-343400.02</v>
          </cell>
          <cell r="G1246">
            <v>343400.2</v>
          </cell>
        </row>
        <row r="1247">
          <cell r="B1247">
            <v>21186</v>
          </cell>
          <cell r="C1247" t="str">
            <v>Contribuição Sindical a Pagar</v>
          </cell>
          <cell r="D1247">
            <v>0</v>
          </cell>
          <cell r="E1247">
            <v>145</v>
          </cell>
          <cell r="F1247">
            <v>-145</v>
          </cell>
          <cell r="G1247">
            <v>0</v>
          </cell>
        </row>
        <row r="1248">
          <cell r="B1248">
            <v>21187</v>
          </cell>
          <cell r="C1248" t="str">
            <v>Pensão Alimentícia</v>
          </cell>
          <cell r="D1248">
            <v>0</v>
          </cell>
          <cell r="E1248">
            <v>10838.4</v>
          </cell>
          <cell r="F1248">
            <v>-10838.4</v>
          </cell>
          <cell r="G1248">
            <v>0</v>
          </cell>
        </row>
        <row r="1249">
          <cell r="B1249">
            <v>21188</v>
          </cell>
          <cell r="C1249" t="str">
            <v>Rescisões a Pagar</v>
          </cell>
          <cell r="D1249">
            <v>-44424.78</v>
          </cell>
          <cell r="E1249">
            <v>44424.78</v>
          </cell>
          <cell r="F1249">
            <v>0</v>
          </cell>
          <cell r="G1249">
            <v>0</v>
          </cell>
        </row>
        <row r="1250">
          <cell r="B1250">
            <v>21189</v>
          </cell>
          <cell r="C1250" t="str">
            <v>Previdência Privada Complementar</v>
          </cell>
          <cell r="D1250">
            <v>-286450.21000000002</v>
          </cell>
          <cell r="E1250">
            <v>286450.21000000002</v>
          </cell>
          <cell r="F1250">
            <v>-284794.90000000002</v>
          </cell>
          <cell r="G1250">
            <v>284794.90000000002</v>
          </cell>
        </row>
        <row r="1251">
          <cell r="B1251">
            <v>211810</v>
          </cell>
          <cell r="C1251" t="str">
            <v>INSS s/ 13º Salario a Pagar</v>
          </cell>
          <cell r="D1251">
            <v>-280192.5</v>
          </cell>
          <cell r="E1251">
            <v>0</v>
          </cell>
          <cell r="F1251">
            <v>-69385.710000000006</v>
          </cell>
          <cell r="G1251">
            <v>349578.21</v>
          </cell>
        </row>
        <row r="1252">
          <cell r="B1252">
            <v>211811</v>
          </cell>
          <cell r="C1252" t="str">
            <v>FGTS s/ 13º Salario a Pagar</v>
          </cell>
          <cell r="D1252">
            <v>-60069.75</v>
          </cell>
          <cell r="E1252">
            <v>9363.2000000000007</v>
          </cell>
          <cell r="F1252">
            <v>-26432.57</v>
          </cell>
          <cell r="G1252">
            <v>77139.12</v>
          </cell>
        </row>
        <row r="1253">
          <cell r="B1253">
            <v>211812</v>
          </cell>
          <cell r="C1253" t="str">
            <v>INSS s/ Férias a Pagar</v>
          </cell>
          <cell r="D1253">
            <v>-1323534.9099999999</v>
          </cell>
          <cell r="E1253">
            <v>66855.72</v>
          </cell>
          <cell r="F1253">
            <v>-93406.34</v>
          </cell>
          <cell r="G1253">
            <v>1350085.53</v>
          </cell>
        </row>
        <row r="1254">
          <cell r="B1254">
            <v>211813</v>
          </cell>
          <cell r="C1254" t="str">
            <v>FGTS s/ Férias a Pagar</v>
          </cell>
          <cell r="D1254">
            <v>-504203.4</v>
          </cell>
          <cell r="E1254">
            <v>25468.83</v>
          </cell>
          <cell r="F1254">
            <v>-35583.480000000003</v>
          </cell>
          <cell r="G1254">
            <v>514318.05</v>
          </cell>
        </row>
        <row r="1255">
          <cell r="B1255">
            <v>211814</v>
          </cell>
          <cell r="C1255" t="str">
            <v>Empréstimo a funcionários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B1256">
            <v>211815</v>
          </cell>
          <cell r="C1256" t="str">
            <v>Mensalidade AEPE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B1257">
            <v>2119</v>
          </cell>
          <cell r="C1257" t="str">
            <v>Obrigações c/ Acionistas e Diretores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B1258">
            <v>21191</v>
          </cell>
          <cell r="C1258" t="str">
            <v>Dividendos a Pagar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B1259">
            <v>21192</v>
          </cell>
          <cell r="C1259" t="str">
            <v>Juros Sobre o Capital Próprio a Pagar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B1260">
            <v>21193</v>
          </cell>
          <cell r="C1260" t="str">
            <v>Honorários da Diretoria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B1261">
            <v>21194</v>
          </cell>
          <cell r="C1261" t="str">
            <v>Honorários dos Conselhos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B1262">
            <v>21195</v>
          </cell>
          <cell r="C1262" t="str">
            <v>Dividendos Complementar a Pagar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B1263">
            <v>21196</v>
          </cell>
          <cell r="C1263" t="str">
            <v>Juros s/ Dividendos a Pagar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B1264">
            <v>21110</v>
          </cell>
          <cell r="C1264" t="str">
            <v>Provisões Societárias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B1265">
            <v>211101</v>
          </cell>
          <cell r="C1265" t="str">
            <v>Dividendos Propostos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B1266">
            <v>211102</v>
          </cell>
          <cell r="C1266" t="str">
            <v>Participações nos Lucros - Diretores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B1267">
            <v>211103</v>
          </cell>
          <cell r="C1267" t="str">
            <v>Participações nos Lucros - Empregados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B1268">
            <v>211110</v>
          </cell>
          <cell r="C1268" t="str">
            <v>Provisões p/ Contingências</v>
          </cell>
          <cell r="D1268">
            <v>-2718114.5</v>
          </cell>
          <cell r="E1268">
            <v>0</v>
          </cell>
          <cell r="F1268">
            <v>-4536.13</v>
          </cell>
          <cell r="G1268">
            <v>2722650.63</v>
          </cell>
        </row>
        <row r="1269">
          <cell r="B1269">
            <v>211111</v>
          </cell>
          <cell r="C1269" t="str">
            <v>Provisão p/ Contingências Trabalhistas</v>
          </cell>
          <cell r="D1269">
            <v>-2718114.5</v>
          </cell>
          <cell r="E1269">
            <v>0</v>
          </cell>
          <cell r="F1269">
            <v>-4536.13</v>
          </cell>
          <cell r="G1269">
            <v>2722650.63</v>
          </cell>
        </row>
        <row r="1270">
          <cell r="B1270">
            <v>211112</v>
          </cell>
          <cell r="C1270" t="str">
            <v>Provisão p/ Contingências Civeis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B1271">
            <v>211113</v>
          </cell>
          <cell r="C1271" t="str">
            <v>Provisão p/ Contingências Fiscais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B1272">
            <v>211012</v>
          </cell>
          <cell r="C1272" t="str">
            <v>Convênios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211121</v>
          </cell>
          <cell r="C1273" t="str">
            <v>Convênio 013 Bco. Brasil - 420.729-7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211122</v>
          </cell>
          <cell r="C1274" t="str">
            <v>Pagamentos por Conta de Convênios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B1275">
            <v>211123</v>
          </cell>
          <cell r="C1275" t="str">
            <v>Convênio 022 Bco. Brasil - 420.712-2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B1276">
            <v>211124</v>
          </cell>
          <cell r="C1276" t="str">
            <v>Convênio 023 Bco. Brasil - 420.713-0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B1277">
            <v>211125</v>
          </cell>
          <cell r="C1277" t="str">
            <v>Convênio 024 Bco. Brasil - 420.714-9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B1278">
            <v>211126</v>
          </cell>
          <cell r="C1278" t="str">
            <v>Convênio 025 Bco. Brasil - 420.715-7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B1279">
            <v>211127</v>
          </cell>
          <cell r="C1279" t="str">
            <v>Convênio 026 Bco. Brasil - 420.716-5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B1280">
            <v>211128</v>
          </cell>
          <cell r="C1280" t="str">
            <v>Convênio 027 Bco. Brasil - 420.718-1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B1281">
            <v>211129</v>
          </cell>
          <cell r="C1281" t="str">
            <v>Convênio 028 Bco  Brasil - 420.717-3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B1282">
            <v>2111210</v>
          </cell>
          <cell r="C1282" t="str">
            <v>Convênio 029 Bco. Brasil - 420.719-X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B1283">
            <v>2111311</v>
          </cell>
          <cell r="C1283" t="str">
            <v>Convênio 030 Bco. Brasil - 420.720-3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B1284">
            <v>2111212</v>
          </cell>
          <cell r="C1284" t="str">
            <v>Convênio 031 Bco. Brasil - 420.721-1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B1285">
            <v>2111213</v>
          </cell>
          <cell r="C1285" t="str">
            <v>Convênio 032 Bco. Brasil - 420.722-X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B1286">
            <v>2111214</v>
          </cell>
          <cell r="C1286" t="str">
            <v>Convênio 033 Bco. Brasil - 420.723-8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B1287">
            <v>2111215</v>
          </cell>
          <cell r="C1287" t="str">
            <v>Convênio 034 Bco. Brasil - 420.724-6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B1288">
            <v>2111216</v>
          </cell>
          <cell r="C1288" t="str">
            <v>Convênio 035 Bco. Brasil - 420.725-4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B1289">
            <v>2111217</v>
          </cell>
          <cell r="C1289" t="str">
            <v>Convênio 036 Bco. Brasil - 420.726-2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B1290">
            <v>2111218</v>
          </cell>
          <cell r="C1290" t="str">
            <v>Convênio 039 Bco. Brasil - 420.727-0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B1291">
            <v>21113</v>
          </cell>
          <cell r="C1291" t="str">
            <v>Contratos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B1292">
            <v>211131</v>
          </cell>
          <cell r="C1292" t="str">
            <v>Adiantamentos por Conta de Contratos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B1293">
            <v>211132</v>
          </cell>
          <cell r="C1293" t="str">
            <v>RETENCÕES CONTRATUAIS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B1294">
            <v>21114</v>
          </cell>
          <cell r="C1294" t="str">
            <v>Obrigações com a Cessão de Pessoal</v>
          </cell>
          <cell r="D1294">
            <v>-49137.51</v>
          </cell>
          <cell r="E1294">
            <v>35113.550000000003</v>
          </cell>
          <cell r="F1294">
            <v>-35864.99</v>
          </cell>
          <cell r="G1294">
            <v>49888.95</v>
          </cell>
        </row>
        <row r="1295">
          <cell r="B1295">
            <v>211141</v>
          </cell>
          <cell r="C1295" t="str">
            <v>Órgãos Públicos e Empresas Estatais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B1296">
            <v>211142</v>
          </cell>
          <cell r="C1296" t="str">
            <v>Obrigações com a Petrobras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B1297">
            <v>211143</v>
          </cell>
          <cell r="C1297" t="str">
            <v>Obrigações com Furnas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B1298">
            <v>211144</v>
          </cell>
          <cell r="C1298" t="str">
            <v>Obrigações com a Cepel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B1299">
            <v>211145</v>
          </cell>
          <cell r="C1299" t="str">
            <v>Obrigações com o STJ</v>
          </cell>
          <cell r="D1299">
            <v>-24403.53</v>
          </cell>
          <cell r="E1299">
            <v>24403.53</v>
          </cell>
          <cell r="F1299">
            <v>-24403.53</v>
          </cell>
          <cell r="G1299">
            <v>24403.53</v>
          </cell>
        </row>
        <row r="1300">
          <cell r="B1300">
            <v>211146</v>
          </cell>
          <cell r="C1300" t="str">
            <v>Obrigações com a SEDES</v>
          </cell>
          <cell r="D1300">
            <v>-10710.02</v>
          </cell>
          <cell r="E1300">
            <v>10710.02</v>
          </cell>
          <cell r="F1300">
            <v>0</v>
          </cell>
          <cell r="G1300">
            <v>0</v>
          </cell>
        </row>
        <row r="1301">
          <cell r="B1301">
            <v>211147</v>
          </cell>
          <cell r="C1301" t="str">
            <v>Obrigações com a USP</v>
          </cell>
          <cell r="D1301">
            <v>-14023.96</v>
          </cell>
          <cell r="E1301">
            <v>0</v>
          </cell>
          <cell r="F1301">
            <v>-11461.46</v>
          </cell>
          <cell r="G1301">
            <v>25485.42</v>
          </cell>
        </row>
        <row r="1302">
          <cell r="B1302">
            <v>21115</v>
          </cell>
          <cell r="C1302" t="str">
            <v>Previdência Privada Complementar</v>
          </cell>
          <cell r="D1302">
            <v>-282999.71000000002</v>
          </cell>
          <cell r="E1302">
            <v>282999.71000000002</v>
          </cell>
          <cell r="F1302">
            <v>-281344.40000000002</v>
          </cell>
          <cell r="G1302">
            <v>281344.40000000002</v>
          </cell>
        </row>
        <row r="1303">
          <cell r="B1303">
            <v>211151</v>
          </cell>
          <cell r="C1303" t="str">
            <v>Fundação ELETROS</v>
          </cell>
          <cell r="D1303">
            <v>-282999.71000000002</v>
          </cell>
          <cell r="E1303">
            <v>282999.71000000002</v>
          </cell>
          <cell r="F1303">
            <v>-281344.40000000002</v>
          </cell>
          <cell r="G1303">
            <v>281344.40000000002</v>
          </cell>
        </row>
        <row r="1304">
          <cell r="B1304">
            <v>21199</v>
          </cell>
          <cell r="C1304" t="str">
            <v>Outras Obrigações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B1305">
            <v>211991</v>
          </cell>
          <cell r="C1305" t="str">
            <v>Adiantamento de Clientes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B1306">
            <v>211992</v>
          </cell>
          <cell r="C1306" t="str">
            <v>Retenções Contratuais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B1307">
            <v>211993</v>
          </cell>
          <cell r="C1307" t="str">
            <v>Cauções em Garantia e Concorrências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B1308">
            <v>211994</v>
          </cell>
          <cell r="C1308" t="str">
            <v>Adiantamento p/ Seminários - Patrocínios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B1309">
            <v>21199998</v>
          </cell>
          <cell r="C1309" t="str">
            <v>Serviços de Pessoa Física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B1310">
            <v>21199999</v>
          </cell>
          <cell r="C1310" t="str">
            <v>Outras Contas a Pagar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B1311">
            <v>22</v>
          </cell>
          <cell r="C1311" t="str">
            <v>Passivo Não Circulante</v>
          </cell>
          <cell r="D1311">
            <v>-6567492.0499999998</v>
          </cell>
          <cell r="E1311">
            <v>0</v>
          </cell>
          <cell r="F1311">
            <v>-85083.32</v>
          </cell>
          <cell r="G1311">
            <v>6652575.3700000001</v>
          </cell>
        </row>
        <row r="1312">
          <cell r="B1312">
            <v>221</v>
          </cell>
          <cell r="C1312" t="str">
            <v>Obrigações de Longo Prazo</v>
          </cell>
          <cell r="D1312">
            <v>-6567492.0499999998</v>
          </cell>
          <cell r="E1312">
            <v>0</v>
          </cell>
          <cell r="F1312">
            <v>-85083.32</v>
          </cell>
          <cell r="G1312">
            <v>6652575.3700000001</v>
          </cell>
        </row>
        <row r="1313">
          <cell r="B1313">
            <v>2211</v>
          </cell>
          <cell r="C1313" t="str">
            <v>Empréstimos e Financiamentos - Em Moeda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B1314">
            <v>22111</v>
          </cell>
          <cell r="C1314" t="str">
            <v>Banco do Brasil - Empréstimos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B1315">
            <v>22112</v>
          </cell>
          <cell r="C1315" t="str">
            <v>Banco do Brasil - Financ.de Bens e Serv.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B1316">
            <v>2212</v>
          </cell>
          <cell r="C1316" t="str">
            <v>Empréstimos e Financiamentos - Em Moeda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B1317">
            <v>22121</v>
          </cell>
          <cell r="C1317" t="str">
            <v>Conversíveis em Ações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B1318">
            <v>22122</v>
          </cell>
          <cell r="C1318" t="str">
            <v>Não Conversíveis em Ações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B1319">
            <v>2215</v>
          </cell>
          <cell r="C1319" t="str">
            <v>Provisões p/ Contingências</v>
          </cell>
          <cell r="D1319">
            <v>-6567492.0499999998</v>
          </cell>
          <cell r="E1319">
            <v>0</v>
          </cell>
          <cell r="F1319">
            <v>-85083.32</v>
          </cell>
          <cell r="G1319">
            <v>6652575.3700000001</v>
          </cell>
        </row>
        <row r="1320">
          <cell r="B1320">
            <v>22151</v>
          </cell>
          <cell r="C1320" t="str">
            <v>Provisão p/ Contingências Trabalhistas</v>
          </cell>
          <cell r="D1320">
            <v>-339917.27</v>
          </cell>
          <cell r="E1320">
            <v>0</v>
          </cell>
          <cell r="F1320">
            <v>-504.11</v>
          </cell>
          <cell r="G1320">
            <v>340421.38</v>
          </cell>
        </row>
        <row r="1321">
          <cell r="B1321">
            <v>22152</v>
          </cell>
          <cell r="C1321" t="str">
            <v>Provisão p/ Contingências Civeis</v>
          </cell>
          <cell r="D1321">
            <v>-1193.9000000000001</v>
          </cell>
          <cell r="E1321">
            <v>0</v>
          </cell>
          <cell r="F1321">
            <v>-42.29</v>
          </cell>
          <cell r="G1321">
            <v>1236.19</v>
          </cell>
        </row>
        <row r="1322">
          <cell r="B1322">
            <v>22153</v>
          </cell>
          <cell r="C1322" t="str">
            <v>Provisão p/ Contingências Fiscais</v>
          </cell>
          <cell r="D1322">
            <v>-6226380.8799999999</v>
          </cell>
          <cell r="E1322">
            <v>0</v>
          </cell>
          <cell r="F1322">
            <v>-84536.92</v>
          </cell>
          <cell r="G1322">
            <v>6310917.7999999998</v>
          </cell>
        </row>
        <row r="1323">
          <cell r="B1323">
            <v>2216</v>
          </cell>
          <cell r="C1323" t="str">
            <v>Previdência Privada Complementar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B1324">
            <v>22161</v>
          </cell>
          <cell r="C1324" t="str">
            <v>Fundação ELETROS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B1325">
            <v>2217</v>
          </cell>
          <cell r="C1325" t="str">
            <v>Adiantamento p/Futuro Aumento de Capital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B1326">
            <v>22171</v>
          </cell>
          <cell r="C1326" t="str">
            <v>Adiantamento p/Futuro Aumento de Capital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B1327">
            <v>22199</v>
          </cell>
          <cell r="C1327" t="str">
            <v>Outras Passivos Exigível a Longo Prazo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B1328">
            <v>221991</v>
          </cell>
          <cell r="C1328" t="str">
            <v>IRPJ Diferido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B1329">
            <v>221992</v>
          </cell>
          <cell r="C1329" t="str">
            <v>CSLL Diferido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B1330" t="str">
            <v>PL</v>
          </cell>
          <cell r="C1330" t="str">
            <v>Patrimônio Líquido</v>
          </cell>
          <cell r="D1330">
            <v>-29150695.48</v>
          </cell>
          <cell r="E1330">
            <v>1382804.03</v>
          </cell>
          <cell r="F1330">
            <v>-56501.22</v>
          </cell>
          <cell r="G1330">
            <v>27824392.670000002</v>
          </cell>
        </row>
        <row r="1331">
          <cell r="B1331">
            <v>241</v>
          </cell>
          <cell r="C1331" t="str">
            <v>Capital Social</v>
          </cell>
          <cell r="D1331">
            <v>-28468909.870000001</v>
          </cell>
          <cell r="E1331">
            <v>0</v>
          </cell>
          <cell r="F1331">
            <v>0</v>
          </cell>
          <cell r="G1331">
            <v>28468909.870000001</v>
          </cell>
        </row>
        <row r="1332">
          <cell r="B1332">
            <v>2411</v>
          </cell>
          <cell r="C1332" t="str">
            <v>Capital Subscrito</v>
          </cell>
          <cell r="D1332">
            <v>-28468909.870000001</v>
          </cell>
          <cell r="E1332">
            <v>0</v>
          </cell>
          <cell r="F1332">
            <v>0</v>
          </cell>
          <cell r="G1332">
            <v>28468909.870000001</v>
          </cell>
        </row>
        <row r="1333">
          <cell r="B1333">
            <v>24111</v>
          </cell>
          <cell r="C1333" t="str">
            <v>Capital Subscrito</v>
          </cell>
          <cell r="D1333">
            <v>-28468909.870000001</v>
          </cell>
          <cell r="E1333">
            <v>0</v>
          </cell>
          <cell r="F1333">
            <v>0</v>
          </cell>
          <cell r="G1333">
            <v>28468909.870000001</v>
          </cell>
        </row>
        <row r="1334">
          <cell r="B1334">
            <v>2412</v>
          </cell>
          <cell r="C1334" t="str">
            <v>(-) Capital a Integralizar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B1335">
            <v>24121</v>
          </cell>
          <cell r="C1335" t="str">
            <v>(-) Capital a Integralizar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B1336">
            <v>242</v>
          </cell>
          <cell r="C1336" t="str">
            <v>Reservas de Lucros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B1337">
            <v>2421</v>
          </cell>
          <cell r="C1337" t="str">
            <v>Reserva Legal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24211</v>
          </cell>
          <cell r="C1338" t="str">
            <v>Reserva Legal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B1339">
            <v>2424</v>
          </cell>
          <cell r="C1339" t="str">
            <v>Reserva de Lucros para Investimento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B1340">
            <v>24241</v>
          </cell>
          <cell r="C1340" t="str">
            <v>Reserva de Lucros para Investimento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B1341">
            <v>2425</v>
          </cell>
          <cell r="C1341" t="str">
            <v>Dividendo Adicional Proposto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B1342">
            <v>24251</v>
          </cell>
          <cell r="C1342" t="str">
            <v>Dividendo Adicional Proposto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B1343">
            <v>2427</v>
          </cell>
          <cell r="C1343" t="str">
            <v>Reserva Especial p/ Dividendos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B1344">
            <v>24271</v>
          </cell>
          <cell r="C1344" t="str">
            <v>Reserva Especial p/ Dividendos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B1345">
            <v>243</v>
          </cell>
          <cell r="C1345" t="str">
            <v>Aj de av.patrimonial</v>
          </cell>
          <cell r="D1345">
            <v>-21.12</v>
          </cell>
          <cell r="E1345">
            <v>0</v>
          </cell>
          <cell r="F1345">
            <v>0</v>
          </cell>
          <cell r="G1345">
            <v>21.12</v>
          </cell>
        </row>
        <row r="1346">
          <cell r="B1346">
            <v>2431</v>
          </cell>
          <cell r="C1346" t="str">
            <v>Aj. de av. patrimonial</v>
          </cell>
          <cell r="D1346">
            <v>-21.12</v>
          </cell>
          <cell r="E1346">
            <v>0</v>
          </cell>
          <cell r="F1346">
            <v>0</v>
          </cell>
          <cell r="G1346">
            <v>21.12</v>
          </cell>
        </row>
        <row r="1347">
          <cell r="B1347">
            <v>24311</v>
          </cell>
          <cell r="C1347" t="str">
            <v>Aj.de av. patrimonial</v>
          </cell>
          <cell r="D1347">
            <v>-21.12</v>
          </cell>
          <cell r="E1347">
            <v>0</v>
          </cell>
          <cell r="F1347">
            <v>0</v>
          </cell>
          <cell r="G1347">
            <v>21.12</v>
          </cell>
        </row>
        <row r="1348">
          <cell r="B1348">
            <v>246</v>
          </cell>
          <cell r="C1348" t="str">
            <v>Lucros ou Prejuízos Acumulados</v>
          </cell>
          <cell r="D1348">
            <v>1055398.48</v>
          </cell>
          <cell r="E1348">
            <v>1382804.03</v>
          </cell>
          <cell r="F1348">
            <v>0</v>
          </cell>
          <cell r="G1348">
            <v>2438202.5099999998</v>
          </cell>
        </row>
        <row r="1349">
          <cell r="B1349">
            <v>24601</v>
          </cell>
          <cell r="C1349" t="str">
            <v>Lucros Acumulados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B1350">
            <v>24611</v>
          </cell>
          <cell r="C1350" t="str">
            <v>Lucros Acumulados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B1351">
            <v>24612</v>
          </cell>
          <cell r="C1351" t="str">
            <v>Lucros Acumulados - Ajust Exerc Ant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B1352">
            <v>24613</v>
          </cell>
          <cell r="C1352" t="str">
            <v>Lucros Acumulados - DMO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B1353">
            <v>2462</v>
          </cell>
          <cell r="C1353" t="str">
            <v>(-) Prejuízos Acumulados</v>
          </cell>
          <cell r="D1353">
            <v>3734189</v>
          </cell>
          <cell r="E1353">
            <v>0</v>
          </cell>
          <cell r="F1353">
            <v>0</v>
          </cell>
          <cell r="G1353">
            <v>3734189</v>
          </cell>
        </row>
        <row r="1354">
          <cell r="B1354">
            <v>24621</v>
          </cell>
          <cell r="C1354" t="str">
            <v>(-) Prejuízo Acumulado de 2005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B1355">
            <v>24622</v>
          </cell>
          <cell r="C1355" t="str">
            <v>(-) Prejuízo Acumulado</v>
          </cell>
          <cell r="D1355">
            <v>3734189</v>
          </cell>
          <cell r="E1355">
            <v>0</v>
          </cell>
          <cell r="F1355">
            <v>0</v>
          </cell>
          <cell r="G1355">
            <v>3734189</v>
          </cell>
        </row>
        <row r="1356">
          <cell r="B1356">
            <v>24623</v>
          </cell>
          <cell r="C1356" t="str">
            <v>(-) Prejuízo Acumulado de 2009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B1357">
            <v>24624</v>
          </cell>
          <cell r="C1357" t="str">
            <v>(-) Prejuízo Acumulado - Ajust Exerc Ant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B1358">
            <v>2463</v>
          </cell>
          <cell r="C1358" t="str">
            <v>Ajustes de Exercícios Anteriores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B1359">
            <v>24631</v>
          </cell>
          <cell r="C1359" t="str">
            <v>Lucros Acumulados Ajustes Exerc. Ant.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B1360">
            <v>24632</v>
          </cell>
          <cell r="C1360" t="str">
            <v>Prejuízos Acumulados Ajustes Exerc. Ant.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B1361">
            <v>24699</v>
          </cell>
          <cell r="C1361" t="str">
            <v>Resultado do Exercício</v>
          </cell>
          <cell r="D1361">
            <v>-2678790.52</v>
          </cell>
          <cell r="E1361">
            <v>1382804.03</v>
          </cell>
          <cell r="F1361">
            <v>0</v>
          </cell>
          <cell r="G1361">
            <v>1295986.49</v>
          </cell>
        </row>
        <row r="1362">
          <cell r="B1362">
            <v>246991</v>
          </cell>
          <cell r="C1362" t="str">
            <v>Resultado do Exercício</v>
          </cell>
          <cell r="D1362">
            <v>-2678790.52</v>
          </cell>
          <cell r="E1362">
            <v>1382804.03</v>
          </cell>
          <cell r="F1362">
            <v>0</v>
          </cell>
          <cell r="G1362">
            <v>1295986.49</v>
          </cell>
        </row>
        <row r="1363">
          <cell r="B1363">
            <v>247</v>
          </cell>
          <cell r="C1363" t="str">
            <v>Adiantamento p/Futuro Aumento de Capital</v>
          </cell>
          <cell r="D1363">
            <v>-1737162.97</v>
          </cell>
          <cell r="E1363">
            <v>0</v>
          </cell>
          <cell r="F1363">
            <v>-56501.22</v>
          </cell>
          <cell r="G1363">
            <v>1793664.19</v>
          </cell>
        </row>
        <row r="1364">
          <cell r="B1364">
            <v>2471</v>
          </cell>
          <cell r="C1364" t="str">
            <v>Adiantamento p/Futuro Aumento de Capital</v>
          </cell>
          <cell r="D1364">
            <v>-1737162.97</v>
          </cell>
          <cell r="E1364">
            <v>0</v>
          </cell>
          <cell r="F1364">
            <v>-56501.22</v>
          </cell>
          <cell r="G1364">
            <v>1793664.19</v>
          </cell>
        </row>
        <row r="1365">
          <cell r="B1365">
            <v>24711</v>
          </cell>
          <cell r="C1365" t="str">
            <v>Adiantamento p/Futuro Aumento de Capital</v>
          </cell>
          <cell r="D1365">
            <v>-1737162.97</v>
          </cell>
          <cell r="E1365">
            <v>0</v>
          </cell>
          <cell r="F1365">
            <v>-56501.22</v>
          </cell>
          <cell r="G1365">
            <v>1793664.19</v>
          </cell>
        </row>
        <row r="1366">
          <cell r="B1366">
            <v>3</v>
          </cell>
          <cell r="C1366" t="str">
            <v>Receitas</v>
          </cell>
          <cell r="D1366">
            <v>-39850436.390000001</v>
          </cell>
          <cell r="E1366">
            <v>173.87</v>
          </cell>
          <cell r="F1366">
            <v>-7439498.8600000003</v>
          </cell>
          <cell r="G1366">
            <v>47289761.380000003</v>
          </cell>
        </row>
        <row r="1367">
          <cell r="B1367">
            <v>31</v>
          </cell>
          <cell r="C1367" t="str">
            <v>Subsídios Públicos</v>
          </cell>
          <cell r="D1367">
            <v>-35443789.700000003</v>
          </cell>
          <cell r="E1367">
            <v>0</v>
          </cell>
          <cell r="F1367">
            <v>-7349943.3399999999</v>
          </cell>
          <cell r="G1367">
            <v>42793733.039999999</v>
          </cell>
        </row>
        <row r="1368">
          <cell r="B1368">
            <v>311</v>
          </cell>
          <cell r="C1368" t="str">
            <v>Subsídios do Tesouro Nacional</v>
          </cell>
          <cell r="D1368">
            <v>-35443789.700000003</v>
          </cell>
          <cell r="E1368">
            <v>0</v>
          </cell>
          <cell r="F1368">
            <v>-7349943.3399999999</v>
          </cell>
          <cell r="G1368">
            <v>42793733.039999999</v>
          </cell>
        </row>
        <row r="1369">
          <cell r="B1369">
            <v>3111</v>
          </cell>
          <cell r="C1369" t="str">
            <v>Subsídios do Tesouro Nacional</v>
          </cell>
          <cell r="D1369">
            <v>-35443789.700000003</v>
          </cell>
          <cell r="E1369">
            <v>0</v>
          </cell>
          <cell r="F1369">
            <v>-7349943.3399999999</v>
          </cell>
          <cell r="G1369">
            <v>42793733.039999999</v>
          </cell>
        </row>
        <row r="1370">
          <cell r="B1370">
            <v>31111</v>
          </cell>
          <cell r="C1370" t="str">
            <v>Recursos Recebidos do Tesouro Nacional</v>
          </cell>
          <cell r="D1370">
            <v>-35443789.700000003</v>
          </cell>
          <cell r="E1370">
            <v>0</v>
          </cell>
          <cell r="F1370">
            <v>-7349943.3399999999</v>
          </cell>
          <cell r="G1370">
            <v>42793733.039999999</v>
          </cell>
        </row>
        <row r="1371">
          <cell r="B1371">
            <v>32</v>
          </cell>
          <cell r="C1371" t="str">
            <v>Receitas Operacionais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B1372">
            <v>321</v>
          </cell>
          <cell r="C1372" t="str">
            <v>Receitas de Prestações de Serviços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3211</v>
          </cell>
          <cell r="C1373" t="str">
            <v>Prestação de Serviços a Órgãos Públicos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B1374">
            <v>32111</v>
          </cell>
          <cell r="C1374" t="str">
            <v>Rec. Serv. Prest. a Órgãos Públicos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B1375">
            <v>3212</v>
          </cell>
          <cell r="C1375" t="str">
            <v>Prestação Serviços a Empresas Estatais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B1376">
            <v>32121</v>
          </cell>
          <cell r="C1376" t="str">
            <v>Rec. Serv. Prest. a Empresas Estatais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B1377">
            <v>3213</v>
          </cell>
          <cell r="C1377" t="str">
            <v>Prestação Serviços a Empresas Privadas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B1378">
            <v>32131</v>
          </cell>
          <cell r="C1378" t="str">
            <v>Rec. Serv. Prest. a Empresas Privadas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B1379">
            <v>322</v>
          </cell>
          <cell r="C1379" t="str">
            <v>(-) Deduções da Receita Bruta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B1380">
            <v>3221</v>
          </cell>
          <cell r="C1380" t="str">
            <v>(-) Tributos Incidentes s/ Vendas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B1381">
            <v>32211</v>
          </cell>
          <cell r="C1381" t="str">
            <v>ISS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B1382">
            <v>32212</v>
          </cell>
          <cell r="C1382" t="str">
            <v>PASEP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B1383">
            <v>32213</v>
          </cell>
          <cell r="C1383" t="str">
            <v>COFINS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323</v>
          </cell>
          <cell r="C1384" t="str">
            <v>Receitas de Vendas de Mercadorias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32301</v>
          </cell>
          <cell r="C1385" t="str">
            <v>Venda de Livros Técnicos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32311</v>
          </cell>
          <cell r="C1386" t="str">
            <v>Venda a Órgãos Públicos e Empresas Estat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32312</v>
          </cell>
          <cell r="C1387" t="str">
            <v>Venda a Empresas Privadas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32313</v>
          </cell>
          <cell r="C1388" t="str">
            <v>Venda a Pessoas Físicas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B1389">
            <v>33</v>
          </cell>
          <cell r="C1389" t="str">
            <v>Outras Receitas Operacionais</v>
          </cell>
          <cell r="D1389">
            <v>-4406646.6900000004</v>
          </cell>
          <cell r="E1389">
            <v>173.87</v>
          </cell>
          <cell r="F1389">
            <v>-89555.520000000004</v>
          </cell>
          <cell r="G1389">
            <v>4496028.34</v>
          </cell>
        </row>
        <row r="1390">
          <cell r="B1390">
            <v>331</v>
          </cell>
          <cell r="C1390" t="str">
            <v>Receitas Financeiras</v>
          </cell>
          <cell r="D1390">
            <v>-566439.88</v>
          </cell>
          <cell r="E1390">
            <v>173.87</v>
          </cell>
          <cell r="F1390">
            <v>-89555.520000000004</v>
          </cell>
          <cell r="G1390">
            <v>655821.53</v>
          </cell>
        </row>
        <row r="1391">
          <cell r="B1391">
            <v>3311</v>
          </cell>
          <cell r="C1391" t="str">
            <v>Receitas Financ./ Prest. de Serviços</v>
          </cell>
          <cell r="D1391">
            <v>-566439.88</v>
          </cell>
          <cell r="E1391">
            <v>173.87</v>
          </cell>
          <cell r="F1391">
            <v>-89555.520000000004</v>
          </cell>
          <cell r="G1391">
            <v>655821.53</v>
          </cell>
        </row>
        <row r="1392">
          <cell r="B1392">
            <v>33111</v>
          </cell>
          <cell r="C1392" t="str">
            <v>Rendas de Juros Moratórios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B1393">
            <v>33112</v>
          </cell>
          <cell r="C1393" t="str">
            <v>Rendas de Multas Aplicadas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B1394">
            <v>33113</v>
          </cell>
          <cell r="C1394" t="str">
            <v>Rendas de Variações Monetárias</v>
          </cell>
          <cell r="D1394">
            <v>-566075.36</v>
          </cell>
          <cell r="E1394">
            <v>173.87</v>
          </cell>
          <cell r="F1394">
            <v>-89555.520000000004</v>
          </cell>
          <cell r="G1394">
            <v>655457.01</v>
          </cell>
        </row>
        <row r="1395">
          <cell r="B1395">
            <v>33114</v>
          </cell>
          <cell r="C1395" t="str">
            <v>Descontos Obtidos</v>
          </cell>
          <cell r="D1395">
            <v>-364.52</v>
          </cell>
          <cell r="E1395">
            <v>0</v>
          </cell>
          <cell r="F1395">
            <v>0</v>
          </cell>
          <cell r="G1395">
            <v>364.52</v>
          </cell>
        </row>
        <row r="1396">
          <cell r="B1396">
            <v>3311999</v>
          </cell>
          <cell r="C1396" t="str">
            <v>Outras Rendas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B1397">
            <v>3312</v>
          </cell>
          <cell r="C1397" t="str">
            <v>Receitas s/ Transações Bancárias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B1398">
            <v>33121</v>
          </cell>
          <cell r="C1398" t="str">
            <v>Rendas de Aplicações Financeiras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B1399">
            <v>3312999</v>
          </cell>
          <cell r="C1399" t="str">
            <v>Outras Rendas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B1400">
            <v>3313</v>
          </cell>
          <cell r="C1400" t="str">
            <v>Receitas de Títulos e Valores Mobiliário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B1401">
            <v>33131</v>
          </cell>
          <cell r="C1401" t="str">
            <v>Lucro na Venda de Ações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B1402">
            <v>33132</v>
          </cell>
          <cell r="C1402" t="str">
            <v>Divid. e Juros s/ Cap. Próprio Recebidos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B1403">
            <v>33105</v>
          </cell>
          <cell r="C1403" t="str">
            <v>Atualização Monetária – Créd. Tributário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33151</v>
          </cell>
          <cell r="C1404" t="str">
            <v>Tributos a Recup ou Compens – Federais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33152</v>
          </cell>
          <cell r="C1405" t="str">
            <v>Tributos a Recup ou Compens – Estaduais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B1406">
            <v>33153</v>
          </cell>
          <cell r="C1406" t="str">
            <v>Tributos a Recup ou Compens – Municipais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B1407">
            <v>33199</v>
          </cell>
          <cell r="C1407" t="str">
            <v>Outras Receitas Financeiras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B1408">
            <v>331999</v>
          </cell>
          <cell r="C1408" t="str">
            <v>Outras Receitas Financeiras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B1409">
            <v>332</v>
          </cell>
          <cell r="C1409" t="str">
            <v>Reembolso de Custos e Despesas</v>
          </cell>
          <cell r="D1409">
            <v>-3390766</v>
          </cell>
          <cell r="E1409">
            <v>0</v>
          </cell>
          <cell r="F1409">
            <v>0</v>
          </cell>
          <cell r="G1409">
            <v>3390766</v>
          </cell>
        </row>
        <row r="1410">
          <cell r="B1410">
            <v>3321</v>
          </cell>
          <cell r="C1410" t="str">
            <v>Reversão de Custos e Despesas</v>
          </cell>
          <cell r="D1410">
            <v>-3390766</v>
          </cell>
          <cell r="E1410">
            <v>0</v>
          </cell>
          <cell r="F1410">
            <v>0</v>
          </cell>
          <cell r="G1410">
            <v>3390766</v>
          </cell>
        </row>
        <row r="1411">
          <cell r="B1411">
            <v>33211</v>
          </cell>
          <cell r="C1411" t="str">
            <v>Leilões ANEEL – Geração de Energia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B1412">
            <v>33212</v>
          </cell>
          <cell r="C1412" t="str">
            <v>Leilões ANEEL – Transmissão de Energia</v>
          </cell>
          <cell r="D1412">
            <v>-3389611</v>
          </cell>
          <cell r="E1412">
            <v>0</v>
          </cell>
          <cell r="F1412">
            <v>0</v>
          </cell>
          <cell r="G1412">
            <v>3389611</v>
          </cell>
        </row>
        <row r="1413">
          <cell r="B1413">
            <v>33213</v>
          </cell>
          <cell r="C1413" t="str">
            <v>Recuperação de Despesa e Custo</v>
          </cell>
          <cell r="D1413">
            <v>-1155</v>
          </cell>
          <cell r="E1413">
            <v>0</v>
          </cell>
          <cell r="F1413">
            <v>0</v>
          </cell>
          <cell r="G1413">
            <v>1155</v>
          </cell>
        </row>
        <row r="1414">
          <cell r="B1414">
            <v>336</v>
          </cell>
          <cell r="C1414" t="str">
            <v>Reversão de Provisões</v>
          </cell>
          <cell r="D1414">
            <v>-22945.54</v>
          </cell>
          <cell r="E1414">
            <v>0</v>
          </cell>
          <cell r="F1414">
            <v>0</v>
          </cell>
          <cell r="G1414">
            <v>22945.54</v>
          </cell>
        </row>
        <row r="1415">
          <cell r="B1415">
            <v>3361</v>
          </cell>
          <cell r="C1415" t="str">
            <v>Reversão de Provisões - Contingência</v>
          </cell>
          <cell r="D1415">
            <v>-22945.54</v>
          </cell>
          <cell r="E1415">
            <v>0</v>
          </cell>
          <cell r="F1415">
            <v>0</v>
          </cell>
          <cell r="G1415">
            <v>22945.54</v>
          </cell>
        </row>
        <row r="1416">
          <cell r="B1416">
            <v>33611</v>
          </cell>
          <cell r="C1416" t="str">
            <v>Contingência Trabalhistas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B1417">
            <v>33612</v>
          </cell>
          <cell r="C1417" t="str">
            <v>Contingência Civis</v>
          </cell>
          <cell r="D1417">
            <v>-22945.54</v>
          </cell>
          <cell r="E1417">
            <v>0</v>
          </cell>
          <cell r="F1417">
            <v>0</v>
          </cell>
          <cell r="G1417">
            <v>22945.54</v>
          </cell>
        </row>
        <row r="1418">
          <cell r="B1418">
            <v>33613</v>
          </cell>
          <cell r="C1418" t="str">
            <v>Contingência Fiscais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B1419">
            <v>33614</v>
          </cell>
          <cell r="C1419" t="str">
            <v>Reversão Variação Monetária Contingências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B1420">
            <v>339</v>
          </cell>
          <cell r="C1420" t="str">
            <v>Outras Receitas</v>
          </cell>
          <cell r="D1420">
            <v>-426495.27</v>
          </cell>
          <cell r="E1420">
            <v>0</v>
          </cell>
          <cell r="F1420">
            <v>0</v>
          </cell>
          <cell r="G1420">
            <v>426495.27</v>
          </cell>
        </row>
        <row r="1421">
          <cell r="B1421">
            <v>3391</v>
          </cell>
          <cell r="C1421" t="str">
            <v>Receitas Alienação do Permanente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B1422">
            <v>33911</v>
          </cell>
          <cell r="C1422" t="str">
            <v>Ganho Alienação - Investimentos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B1423">
            <v>33912</v>
          </cell>
          <cell r="C1423" t="str">
            <v>Ganho Alienação - Imobilizado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B1424">
            <v>33913</v>
          </cell>
          <cell r="C1424" t="str">
            <v>Ganho Alienação - Intangível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B1425">
            <v>3392</v>
          </cell>
          <cell r="C1425" t="str">
            <v>Receitas com Doações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B1426">
            <v>33921</v>
          </cell>
          <cell r="C1426" t="str">
            <v>Doações Recebidas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B1427">
            <v>3393</v>
          </cell>
          <cell r="C1427" t="str">
            <v>Reversão de Custos/Despesas</v>
          </cell>
          <cell r="D1427">
            <v>-54245.26</v>
          </cell>
          <cell r="E1427">
            <v>0</v>
          </cell>
          <cell r="F1427">
            <v>0</v>
          </cell>
          <cell r="G1427">
            <v>54245.26</v>
          </cell>
        </row>
        <row r="1428">
          <cell r="B1428">
            <v>33931</v>
          </cell>
          <cell r="C1428" t="str">
            <v>Recuperação de Despesa e Custo</v>
          </cell>
          <cell r="D1428">
            <v>-54245.26</v>
          </cell>
          <cell r="E1428">
            <v>0</v>
          </cell>
          <cell r="F1428">
            <v>0</v>
          </cell>
          <cell r="G1428">
            <v>54245.26</v>
          </cell>
        </row>
        <row r="1429">
          <cell r="B1429">
            <v>33932</v>
          </cell>
          <cell r="C1429" t="str">
            <v>Reversão Provisão de Contingências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B1430">
            <v>3394</v>
          </cell>
          <cell r="C1430" t="str">
            <v>Receita de Alienação de Investimento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B1431">
            <v>33941</v>
          </cell>
          <cell r="C1431" t="str">
            <v>Ganhos na Alienação de Investimentos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B1432">
            <v>3395</v>
          </cell>
          <cell r="C1432" t="str">
            <v>Receitas de Equivalência Patrimonial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B1433">
            <v>33951</v>
          </cell>
          <cell r="C1433" t="str">
            <v>Resultado Positivo de Equiv. Patrimonial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B1434">
            <v>3396</v>
          </cell>
          <cell r="C1434" t="str">
            <v>Receita de Alienação de Imobilizado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B1435">
            <v>33961</v>
          </cell>
          <cell r="C1435" t="str">
            <v>Ganho na Alienação de Imobilizado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B1436">
            <v>3397</v>
          </cell>
          <cell r="C1436" t="str">
            <v>Receitas de Alienação de Diferido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B1437">
            <v>33971</v>
          </cell>
          <cell r="C1437" t="str">
            <v>Ganho na Alienação de Diferido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B1438">
            <v>3398</v>
          </cell>
          <cell r="C1438" t="str">
            <v>Reversão de Perda com Impairment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B1439">
            <v>33981</v>
          </cell>
          <cell r="C1439" t="str">
            <v>Reversão de Perda com Impairment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B1440">
            <v>3399</v>
          </cell>
          <cell r="C1440" t="str">
            <v>Receita Concurso Público</v>
          </cell>
          <cell r="D1440">
            <v>-372250.01</v>
          </cell>
          <cell r="E1440">
            <v>0</v>
          </cell>
          <cell r="F1440">
            <v>0</v>
          </cell>
          <cell r="G1440">
            <v>372250.01</v>
          </cell>
        </row>
        <row r="1441">
          <cell r="B1441">
            <v>33991</v>
          </cell>
          <cell r="C1441" t="str">
            <v>Receita de Concurso Público</v>
          </cell>
          <cell r="D1441">
            <v>-372250.01</v>
          </cell>
          <cell r="E1441">
            <v>0</v>
          </cell>
          <cell r="F1441">
            <v>0</v>
          </cell>
          <cell r="G1441">
            <v>372250.01</v>
          </cell>
        </row>
        <row r="1442">
          <cell r="B1442">
            <v>33999</v>
          </cell>
          <cell r="C1442" t="str">
            <v>Outras Receitas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B1443">
            <v>339991</v>
          </cell>
          <cell r="C1443" t="str">
            <v>Outras Receitas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B1444">
            <v>339992</v>
          </cell>
          <cell r="C1444" t="str">
            <v>Receita de Concurso Público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B1445">
            <v>4</v>
          </cell>
          <cell r="C1445" t="str">
            <v>Custos e Despesas</v>
          </cell>
          <cell r="D1445">
            <v>37171645.869999997</v>
          </cell>
          <cell r="E1445">
            <v>8916494.3300000001</v>
          </cell>
          <cell r="F1445">
            <v>-94365.31</v>
          </cell>
          <cell r="G1445">
            <v>45993774.890000001</v>
          </cell>
        </row>
        <row r="1446">
          <cell r="B1446">
            <v>41</v>
          </cell>
          <cell r="C1446" t="str">
            <v>Custos</v>
          </cell>
          <cell r="D1446">
            <v>22699903.07</v>
          </cell>
          <cell r="E1446">
            <v>5645019.6900000004</v>
          </cell>
          <cell r="F1446">
            <v>-42428.29</v>
          </cell>
          <cell r="G1446">
            <v>28302494.469999999</v>
          </cell>
        </row>
        <row r="1447">
          <cell r="B1447">
            <v>411</v>
          </cell>
          <cell r="C1447" t="str">
            <v>Gastos com Pessoal - Serviços</v>
          </cell>
          <cell r="D1447">
            <v>18336239.5</v>
          </cell>
          <cell r="E1447">
            <v>4577938.32</v>
          </cell>
          <cell r="F1447">
            <v>-37381.42</v>
          </cell>
          <cell r="G1447">
            <v>22876796.399999999</v>
          </cell>
        </row>
        <row r="1448">
          <cell r="B1448">
            <v>4111</v>
          </cell>
          <cell r="C1448" t="str">
            <v>Remunerações</v>
          </cell>
          <cell r="D1448">
            <v>12756968.58</v>
          </cell>
          <cell r="E1448">
            <v>3175943.25</v>
          </cell>
          <cell r="F1448">
            <v>-27481.71</v>
          </cell>
          <cell r="G1448">
            <v>15905430.119999999</v>
          </cell>
        </row>
        <row r="1449">
          <cell r="B1449">
            <v>41111</v>
          </cell>
          <cell r="C1449" t="str">
            <v>Salários</v>
          </cell>
          <cell r="D1449">
            <v>10488768.09</v>
          </cell>
          <cell r="E1449">
            <v>2582693.79</v>
          </cell>
          <cell r="F1449">
            <v>-2237.69</v>
          </cell>
          <cell r="G1449">
            <v>13069224.189999999</v>
          </cell>
        </row>
        <row r="1450">
          <cell r="B1450">
            <v>41112</v>
          </cell>
          <cell r="C1450" t="str">
            <v>Gratificações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B1451">
            <v>41113</v>
          </cell>
          <cell r="C1451" t="str">
            <v>Adicionais por Tempo de Serviço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B1452">
            <v>41114</v>
          </cell>
          <cell r="C1452" t="str">
            <v>Horas Extraordinárias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B1453">
            <v>41115</v>
          </cell>
          <cell r="C1453" t="str">
            <v>Abonos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B1454">
            <v>41116</v>
          </cell>
          <cell r="C1454" t="str">
            <v>Aviso Prévio e Indenizações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B1455">
            <v>41117</v>
          </cell>
          <cell r="C1455" t="str">
            <v>Provisão de Férias e Encargos Sociais</v>
          </cell>
          <cell r="D1455">
            <v>1119229.26</v>
          </cell>
          <cell r="E1455">
            <v>311186.11</v>
          </cell>
          <cell r="F1455">
            <v>-25244.02</v>
          </cell>
          <cell r="G1455">
            <v>1405171.35</v>
          </cell>
        </row>
        <row r="1456">
          <cell r="B1456">
            <v>41118</v>
          </cell>
          <cell r="C1456" t="str">
            <v>Abono Pecuniário de Férias</v>
          </cell>
          <cell r="D1456">
            <v>151286.03</v>
          </cell>
          <cell r="E1456">
            <v>25244.02</v>
          </cell>
          <cell r="F1456">
            <v>0</v>
          </cell>
          <cell r="G1456">
            <v>176530.05</v>
          </cell>
        </row>
        <row r="1457">
          <cell r="B1457">
            <v>41119</v>
          </cell>
          <cell r="C1457" t="str">
            <v>Provisão de 13º Salários e Enc. Sociais</v>
          </cell>
          <cell r="D1457">
            <v>950998.28</v>
          </cell>
          <cell r="E1457">
            <v>232283.69</v>
          </cell>
          <cell r="F1457">
            <v>0</v>
          </cell>
          <cell r="G1457">
            <v>1183281.97</v>
          </cell>
        </row>
        <row r="1458">
          <cell r="B1458">
            <v>411110</v>
          </cell>
          <cell r="C1458" t="str">
            <v>Salario Maternidade - Prorrogação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B1459">
            <v>411111</v>
          </cell>
          <cell r="C1459" t="str">
            <v>Salario Maternidade - Prorrogação</v>
          </cell>
          <cell r="D1459">
            <v>22161.22</v>
          </cell>
          <cell r="E1459">
            <v>24535.64</v>
          </cell>
          <cell r="F1459">
            <v>0</v>
          </cell>
          <cell r="G1459">
            <v>46696.86</v>
          </cell>
        </row>
        <row r="1460">
          <cell r="B1460">
            <v>411113</v>
          </cell>
          <cell r="C1460" t="str">
            <v>Licença Paternidade Prorrogação</v>
          </cell>
          <cell r="D1460">
            <v>24525.7</v>
          </cell>
          <cell r="E1460">
            <v>0</v>
          </cell>
          <cell r="F1460">
            <v>0</v>
          </cell>
          <cell r="G1460">
            <v>24525.7</v>
          </cell>
        </row>
        <row r="1461">
          <cell r="B1461">
            <v>4111999</v>
          </cell>
          <cell r="C1461" t="str">
            <v>Outras Remunerações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B1462">
            <v>4112</v>
          </cell>
          <cell r="C1462" t="str">
            <v>Encargos Sociais</v>
          </cell>
          <cell r="D1462">
            <v>3649886.33</v>
          </cell>
          <cell r="E1462">
            <v>920881.72</v>
          </cell>
          <cell r="F1462">
            <v>-7320.77</v>
          </cell>
          <cell r="G1462">
            <v>4563447.28</v>
          </cell>
        </row>
        <row r="1463">
          <cell r="B1463">
            <v>41121</v>
          </cell>
          <cell r="C1463" t="str">
            <v>INSS</v>
          </cell>
          <cell r="D1463">
            <v>2225063.48</v>
          </cell>
          <cell r="E1463">
            <v>552627.02</v>
          </cell>
          <cell r="F1463">
            <v>0</v>
          </cell>
          <cell r="G1463">
            <v>2777690.5</v>
          </cell>
        </row>
        <row r="1464">
          <cell r="B1464">
            <v>41122</v>
          </cell>
          <cell r="C1464" t="str">
            <v>FGTS</v>
          </cell>
          <cell r="D1464">
            <v>854063.48</v>
          </cell>
          <cell r="E1464">
            <v>210648.45</v>
          </cell>
          <cell r="F1464">
            <v>0</v>
          </cell>
          <cell r="G1464">
            <v>1064711.93</v>
          </cell>
        </row>
        <row r="1465">
          <cell r="B1465">
            <v>41123</v>
          </cell>
          <cell r="C1465" t="str">
            <v>Contribuições Sindicais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B1466">
            <v>41124</v>
          </cell>
          <cell r="C1466" t="str">
            <v>INSS s/ 13º Salário</v>
          </cell>
          <cell r="D1466">
            <v>198226.43</v>
          </cell>
          <cell r="E1466">
            <v>48779.58</v>
          </cell>
          <cell r="F1466">
            <v>0</v>
          </cell>
          <cell r="G1466">
            <v>247006.01</v>
          </cell>
        </row>
        <row r="1467">
          <cell r="B1467">
            <v>41125</v>
          </cell>
          <cell r="C1467" t="str">
            <v>INSS s/ Férias</v>
          </cell>
          <cell r="D1467">
            <v>215242.41</v>
          </cell>
          <cell r="E1467">
            <v>65349.11</v>
          </cell>
          <cell r="F1467">
            <v>-5301.26</v>
          </cell>
          <cell r="G1467">
            <v>275290.26</v>
          </cell>
        </row>
        <row r="1468">
          <cell r="B1468">
            <v>41126</v>
          </cell>
          <cell r="C1468" t="str">
            <v>FGTS s/ Férias</v>
          </cell>
          <cell r="D1468">
            <v>81775.69</v>
          </cell>
          <cell r="E1468">
            <v>24894.95</v>
          </cell>
          <cell r="F1468">
            <v>-2019.51</v>
          </cell>
          <cell r="G1468">
            <v>104651.13</v>
          </cell>
        </row>
        <row r="1469">
          <cell r="B1469">
            <v>41127</v>
          </cell>
          <cell r="C1469" t="str">
            <v>FGTS s/ 13º Salário</v>
          </cell>
          <cell r="D1469">
            <v>75514.84</v>
          </cell>
          <cell r="E1469">
            <v>18582.61</v>
          </cell>
          <cell r="F1469">
            <v>0</v>
          </cell>
          <cell r="G1469">
            <v>94097.45</v>
          </cell>
        </row>
        <row r="1470">
          <cell r="B1470">
            <v>4112999</v>
          </cell>
          <cell r="C1470" t="str">
            <v>Outros Encargos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B1471">
            <v>4113</v>
          </cell>
          <cell r="C1471" t="str">
            <v>Benefícios</v>
          </cell>
          <cell r="D1471">
            <v>1929384.59</v>
          </cell>
          <cell r="E1471">
            <v>481113.35</v>
          </cell>
          <cell r="F1471">
            <v>-2578.94</v>
          </cell>
          <cell r="G1471">
            <v>2407919</v>
          </cell>
        </row>
        <row r="1472">
          <cell r="B1472">
            <v>41131</v>
          </cell>
          <cell r="C1472" t="str">
            <v>Previdência Privada Complementar</v>
          </cell>
          <cell r="D1472">
            <v>793339.72</v>
          </cell>
          <cell r="E1472">
            <v>193823.07</v>
          </cell>
          <cell r="F1472">
            <v>0</v>
          </cell>
          <cell r="G1472">
            <v>987162.79</v>
          </cell>
        </row>
        <row r="1473">
          <cell r="B1473">
            <v>41132</v>
          </cell>
          <cell r="C1473" t="str">
            <v>Auxílio Alimentação</v>
          </cell>
          <cell r="D1473">
            <v>590849.68999999994</v>
          </cell>
          <cell r="E1473">
            <v>145250.84</v>
          </cell>
          <cell r="F1473">
            <v>0</v>
          </cell>
          <cell r="G1473">
            <v>736100.53</v>
          </cell>
        </row>
        <row r="1474">
          <cell r="B1474">
            <v>41133</v>
          </cell>
          <cell r="C1474" t="str">
            <v>Auxílio Transporte</v>
          </cell>
          <cell r="D1474">
            <v>-494.58</v>
          </cell>
          <cell r="E1474">
            <v>2795.38</v>
          </cell>
          <cell r="F1474">
            <v>-2300.8000000000002</v>
          </cell>
          <cell r="G1474">
            <v>0</v>
          </cell>
        </row>
        <row r="1475">
          <cell r="B1475">
            <v>41134</v>
          </cell>
          <cell r="C1475" t="str">
            <v>Auxílio Moradia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B1476">
            <v>41135</v>
          </cell>
          <cell r="C1476" t="str">
            <v>Auxílio Creche</v>
          </cell>
          <cell r="D1476">
            <v>162429.31</v>
          </cell>
          <cell r="E1476">
            <v>43634.11</v>
          </cell>
          <cell r="F1476">
            <v>0</v>
          </cell>
          <cell r="G1476">
            <v>206063.42</v>
          </cell>
        </row>
        <row r="1477">
          <cell r="B1477">
            <v>41136</v>
          </cell>
          <cell r="C1477" t="str">
            <v>Assistência Médica e  Odontológica</v>
          </cell>
          <cell r="D1477">
            <v>374790.47</v>
          </cell>
          <cell r="E1477">
            <v>93545.35</v>
          </cell>
          <cell r="F1477">
            <v>0</v>
          </cell>
          <cell r="G1477">
            <v>468335.82</v>
          </cell>
        </row>
        <row r="1478">
          <cell r="B1478">
            <v>41137</v>
          </cell>
          <cell r="C1478" t="str">
            <v>Seguro de Vida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B1479">
            <v>41138</v>
          </cell>
          <cell r="C1479" t="str">
            <v>Recreação e Lazer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B1480">
            <v>41139</v>
          </cell>
          <cell r="C1480" t="str">
            <v>Assistência e Capacitação Profissional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B1481">
            <v>411310</v>
          </cell>
          <cell r="C1481" t="str">
            <v>Vale Cultura</v>
          </cell>
          <cell r="D1481">
            <v>1752</v>
          </cell>
          <cell r="E1481">
            <v>650</v>
          </cell>
          <cell r="F1481">
            <v>-212</v>
          </cell>
          <cell r="G1481">
            <v>2190</v>
          </cell>
        </row>
        <row r="1482">
          <cell r="B1482">
            <v>411311</v>
          </cell>
          <cell r="C1482" t="str">
            <v>Saúde Ocupacional</v>
          </cell>
          <cell r="D1482">
            <v>6717.98</v>
          </cell>
          <cell r="E1482">
            <v>1414.6</v>
          </cell>
          <cell r="F1482">
            <v>-66.14</v>
          </cell>
          <cell r="G1482">
            <v>8066.44</v>
          </cell>
        </row>
        <row r="1483">
          <cell r="B1483">
            <v>4113999</v>
          </cell>
          <cell r="C1483" t="str">
            <v>Outros benefícios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B1484">
            <v>4119</v>
          </cell>
          <cell r="C1484" t="str">
            <v>Outros Gastos de Pessoal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B1485">
            <v>4119999</v>
          </cell>
          <cell r="C1485" t="str">
            <v>Outros Custos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B1486">
            <v>41110</v>
          </cell>
          <cell r="C1486" t="str">
            <v>Indenizações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B1487">
            <v>411101</v>
          </cell>
          <cell r="C1487" t="str">
            <v>Indenizações Trabalhistas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B1488">
            <v>41199</v>
          </cell>
          <cell r="C1488" t="str">
            <v>(-) Reembolso de Custos de Pessoal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B1489">
            <v>41199998</v>
          </cell>
          <cell r="C1489" t="str">
            <v>(-) Reembolso de custos - Convênios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B1490">
            <v>412</v>
          </cell>
          <cell r="C1490" t="str">
            <v>Custos com Materiais - Serviços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B1491">
            <v>4121</v>
          </cell>
          <cell r="C1491" t="str">
            <v>Materiais Nacionais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B1492">
            <v>41211</v>
          </cell>
          <cell r="C1492" t="str">
            <v>Materiais Adm. e de Expediente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B1493">
            <v>41212</v>
          </cell>
          <cell r="C1493" t="str">
            <v>Combustíveis e Lubrificantes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B1494">
            <v>41213</v>
          </cell>
          <cell r="C1494" t="str">
            <v>Materiais e Equipamentos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B1495">
            <v>4121998</v>
          </cell>
          <cell r="C1495" t="str">
            <v>(-) Reemb. Custos  de Materiais Convenio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B1496">
            <v>4121999</v>
          </cell>
          <cell r="C1496" t="str">
            <v>Outros Materiais Nacionais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B1497">
            <v>4122</v>
          </cell>
          <cell r="C1497" t="str">
            <v>Materiais Estrangeiros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B1498">
            <v>41221</v>
          </cell>
          <cell r="C1498" t="str">
            <v>Materiais e Equipamentos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B1499">
            <v>4122999</v>
          </cell>
          <cell r="C1499" t="str">
            <v>Outros Materiais Estrangeiros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B1500">
            <v>41299</v>
          </cell>
          <cell r="C1500" t="str">
            <v>(-) Reembolso de Custos de Materiais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B1501">
            <v>41299998</v>
          </cell>
          <cell r="C1501" t="str">
            <v>(-) Reemb. de  Custos - Convênios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B1502">
            <v>413</v>
          </cell>
          <cell r="C1502" t="str">
            <v>Custos c/ Serviços de Terceiros - Serv.</v>
          </cell>
          <cell r="D1502">
            <v>2049632.66</v>
          </cell>
          <cell r="E1502">
            <v>326577.91999999998</v>
          </cell>
          <cell r="F1502">
            <v>-5046.87</v>
          </cell>
          <cell r="G1502">
            <v>2371163.71</v>
          </cell>
        </row>
        <row r="1503">
          <cell r="B1503">
            <v>4131</v>
          </cell>
          <cell r="C1503" t="str">
            <v>Serviços de Terceiros Nacionais</v>
          </cell>
          <cell r="D1503">
            <v>2049632.66</v>
          </cell>
          <cell r="E1503">
            <v>326577.91999999998</v>
          </cell>
          <cell r="F1503">
            <v>-5046.87</v>
          </cell>
          <cell r="G1503">
            <v>2371163.71</v>
          </cell>
        </row>
        <row r="1504">
          <cell r="B1504">
            <v>41311</v>
          </cell>
          <cell r="C1504" t="str">
            <v>Serviços de Consultoria</v>
          </cell>
          <cell r="D1504">
            <v>1389873.45</v>
          </cell>
          <cell r="E1504">
            <v>142934.79</v>
          </cell>
          <cell r="F1504">
            <v>0</v>
          </cell>
          <cell r="G1504">
            <v>1532808.24</v>
          </cell>
        </row>
        <row r="1505">
          <cell r="B1505">
            <v>41312</v>
          </cell>
          <cell r="C1505" t="str">
            <v>Serviços de Apoio Técnico e/ou Administrativo</v>
          </cell>
          <cell r="D1505">
            <v>247410.84</v>
          </cell>
          <cell r="E1505">
            <v>69424.62</v>
          </cell>
          <cell r="F1505">
            <v>0</v>
          </cell>
          <cell r="G1505">
            <v>316835.46000000002</v>
          </cell>
        </row>
        <row r="1506">
          <cell r="B1506">
            <v>41313</v>
          </cell>
          <cell r="C1506" t="str">
            <v>Cessão ou Requisição de Pessoal</v>
          </cell>
          <cell r="D1506">
            <v>69457.89</v>
          </cell>
          <cell r="E1506">
            <v>11461.46</v>
          </cell>
          <cell r="F1506">
            <v>-1070.99</v>
          </cell>
          <cell r="G1506">
            <v>79848.36</v>
          </cell>
        </row>
        <row r="1507">
          <cell r="B1507">
            <v>41314</v>
          </cell>
          <cell r="C1507" t="str">
            <v>Publicidade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B1508">
            <v>41315</v>
          </cell>
          <cell r="C1508" t="str">
            <v>Cursos, Seminários e Convenções</v>
          </cell>
          <cell r="D1508">
            <v>211439.68</v>
          </cell>
          <cell r="E1508">
            <v>38151.480000000003</v>
          </cell>
          <cell r="F1508">
            <v>-3975.88</v>
          </cell>
          <cell r="G1508">
            <v>245615.28</v>
          </cell>
        </row>
        <row r="1509">
          <cell r="B1509">
            <v>41316</v>
          </cell>
          <cell r="C1509" t="str">
            <v>Serviços de Processamentos de Dados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B1510">
            <v>41317</v>
          </cell>
          <cell r="C1510" t="str">
            <v>Serviços de Manut. Equip. de Informática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B1511">
            <v>41318</v>
          </cell>
          <cell r="C1511" t="str">
            <v>Serv. Contábeis, Folha Pgto e  Auditoria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B1512">
            <v>41319</v>
          </cell>
          <cell r="C1512" t="str">
            <v>Serviços de Limpeza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B1513">
            <v>413110</v>
          </cell>
          <cell r="C1513" t="str">
            <v>Serviços de Segurança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B1514">
            <v>413111</v>
          </cell>
          <cell r="C1514" t="str">
            <v>Gastos com licença ambiental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B1515">
            <v>413112</v>
          </cell>
          <cell r="C1515" t="str">
            <v>Serviços Gerais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B1516">
            <v>413113</v>
          </cell>
          <cell r="C1516" t="str">
            <v>Locação de Veículos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B1517">
            <v>413114</v>
          </cell>
          <cell r="C1517" t="str">
            <v>Cessão Temporária e Manutenção de Softwa</v>
          </cell>
          <cell r="D1517">
            <v>39808.19</v>
          </cell>
          <cell r="E1517">
            <v>40234.11</v>
          </cell>
          <cell r="F1517">
            <v>0</v>
          </cell>
          <cell r="G1517">
            <v>80042.3</v>
          </cell>
        </row>
        <row r="1518">
          <cell r="B1518">
            <v>413115</v>
          </cell>
          <cell r="C1518" t="str">
            <v>Serviços de Clipping e Multimídia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B1519">
            <v>413117</v>
          </cell>
          <cell r="C1519" t="str">
            <v>Custos com Estagiarios</v>
          </cell>
          <cell r="D1519">
            <v>85729.87</v>
          </cell>
          <cell r="E1519">
            <v>24371.46</v>
          </cell>
          <cell r="F1519">
            <v>0</v>
          </cell>
          <cell r="G1519">
            <v>110101.33</v>
          </cell>
        </row>
        <row r="1520">
          <cell r="B1520">
            <v>413118</v>
          </cell>
          <cell r="C1520" t="str">
            <v>Custos com Jovens Aprendiz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B1521">
            <v>4131997</v>
          </cell>
          <cell r="C1521" t="str">
            <v>Serviço Prestado PF</v>
          </cell>
          <cell r="D1521">
            <v>5912.74</v>
          </cell>
          <cell r="E1521">
            <v>0</v>
          </cell>
          <cell r="F1521">
            <v>0</v>
          </cell>
          <cell r="G1521">
            <v>5912.74</v>
          </cell>
        </row>
        <row r="1522">
          <cell r="B1522">
            <v>4131998</v>
          </cell>
          <cell r="C1522" t="str">
            <v>(-) Reemb. de custos - Convênios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B1523">
            <v>4131999</v>
          </cell>
          <cell r="C1523" t="str">
            <v>Outros Serviços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B1524">
            <v>4132</v>
          </cell>
          <cell r="C1524" t="str">
            <v>Serviços de Terceiros Estrangeiros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B1525">
            <v>41321</v>
          </cell>
          <cell r="C1525" t="str">
            <v>Serviços de Consultoria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B1526">
            <v>41322</v>
          </cell>
          <cell r="C1526" t="str">
            <v>Cessão Temporária e Manutenção de Softwa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B1527">
            <v>4132999</v>
          </cell>
          <cell r="C1527" t="str">
            <v>Outros Serviços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B1528">
            <v>414</v>
          </cell>
          <cell r="C1528" t="str">
            <v>Custos c/ Tributos - Serviços</v>
          </cell>
          <cell r="D1528">
            <v>102855.17</v>
          </cell>
          <cell r="E1528">
            <v>23996.87</v>
          </cell>
          <cell r="F1528">
            <v>0</v>
          </cell>
          <cell r="G1528">
            <v>126852.04</v>
          </cell>
        </row>
        <row r="1529">
          <cell r="B1529">
            <v>4141</v>
          </cell>
          <cell r="C1529" t="str">
            <v>Impostos, Taxas e Contribuições</v>
          </cell>
          <cell r="D1529">
            <v>102855.17</v>
          </cell>
          <cell r="E1529">
            <v>23996.87</v>
          </cell>
          <cell r="F1529">
            <v>0</v>
          </cell>
          <cell r="G1529">
            <v>126852.04</v>
          </cell>
        </row>
        <row r="1530">
          <cell r="B1530">
            <v>41411</v>
          </cell>
          <cell r="C1530" t="str">
            <v>ITR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B1531">
            <v>41412</v>
          </cell>
          <cell r="C1531" t="str">
            <v>IPTU</v>
          </cell>
          <cell r="D1531">
            <v>92117.01</v>
          </cell>
          <cell r="E1531">
            <v>23996.87</v>
          </cell>
          <cell r="F1531">
            <v>0</v>
          </cell>
          <cell r="G1531">
            <v>116113.88</v>
          </cell>
        </row>
        <row r="1532">
          <cell r="B1532">
            <v>41413</v>
          </cell>
          <cell r="C1532" t="str">
            <v>IPVA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B1533">
            <v>41414</v>
          </cell>
          <cell r="C1533" t="str">
            <v>Taxas Municipais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B1534">
            <v>41415</v>
          </cell>
          <cell r="C1534" t="str">
            <v>Taxas de Licenciamento Ambiental Município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B1535">
            <v>41416</v>
          </cell>
          <cell r="C1535" t="str">
            <v>Outros Impostos e Taxas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B1536">
            <v>41417</v>
          </cell>
          <cell r="C1536" t="str">
            <v>Taxas de Licenciamento Ambiental Estado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B1537">
            <v>41418</v>
          </cell>
          <cell r="C1537" t="str">
            <v>Taxas Estaduais</v>
          </cell>
          <cell r="D1537">
            <v>10738.16</v>
          </cell>
          <cell r="E1537">
            <v>0</v>
          </cell>
          <cell r="F1537">
            <v>0</v>
          </cell>
          <cell r="G1537">
            <v>10738.16</v>
          </cell>
        </row>
        <row r="1538">
          <cell r="B1538">
            <v>415</v>
          </cell>
          <cell r="C1538" t="str">
            <v>Custos c/ Provisões - Serviços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B1539">
            <v>4151</v>
          </cell>
          <cell r="C1539" t="str">
            <v>Provisões p/Contingências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B1540">
            <v>41511</v>
          </cell>
          <cell r="C1540" t="str">
            <v>Provisões p/ Contingências Trabalhistas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B1541">
            <v>41512</v>
          </cell>
          <cell r="C1541" t="str">
            <v>Provisões p/ Contingências Cíveis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B1542">
            <v>41513</v>
          </cell>
          <cell r="C1542" t="str">
            <v>Provisões p/ Contingências Fiscais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B1543">
            <v>4151999</v>
          </cell>
          <cell r="C1543" t="str">
            <v>Outras Provisões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B1544">
            <v>416</v>
          </cell>
          <cell r="C1544" t="str">
            <v>Custos Gerais - Serviços</v>
          </cell>
          <cell r="D1544">
            <v>2211175.7400000002</v>
          </cell>
          <cell r="E1544">
            <v>716506.58</v>
          </cell>
          <cell r="F1544">
            <v>0</v>
          </cell>
          <cell r="G1544">
            <v>2927682.32</v>
          </cell>
        </row>
        <row r="1545">
          <cell r="B1545">
            <v>4161</v>
          </cell>
          <cell r="C1545" t="str">
            <v>Custos de Funcionamento das Instalações</v>
          </cell>
          <cell r="D1545">
            <v>1293714.04</v>
          </cell>
          <cell r="E1545">
            <v>343726.4</v>
          </cell>
          <cell r="F1545">
            <v>0</v>
          </cell>
          <cell r="G1545">
            <v>1637440.44</v>
          </cell>
        </row>
        <row r="1546">
          <cell r="B1546">
            <v>41611</v>
          </cell>
          <cell r="C1546" t="str">
            <v>Aluguéis</v>
          </cell>
          <cell r="D1546">
            <v>583324.88</v>
          </cell>
          <cell r="E1546">
            <v>145831.22</v>
          </cell>
          <cell r="F1546">
            <v>0</v>
          </cell>
          <cell r="G1546">
            <v>729156.1</v>
          </cell>
        </row>
        <row r="1547">
          <cell r="B1547">
            <v>41612</v>
          </cell>
          <cell r="C1547" t="str">
            <v>Arrendamento Mercantil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B1548">
            <v>41613</v>
          </cell>
          <cell r="C1548" t="str">
            <v>Manutenção e Reparos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B1549">
            <v>41614</v>
          </cell>
          <cell r="C1549" t="str">
            <v>Energia Elétrica</v>
          </cell>
          <cell r="D1549">
            <v>200730.37</v>
          </cell>
          <cell r="E1549">
            <v>58452.639999999999</v>
          </cell>
          <cell r="F1549">
            <v>0</v>
          </cell>
          <cell r="G1549">
            <v>259183.01</v>
          </cell>
        </row>
        <row r="1550">
          <cell r="B1550">
            <v>41615</v>
          </cell>
          <cell r="C1550" t="str">
            <v>Água e Esgoto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B1551">
            <v>41616</v>
          </cell>
          <cell r="C1551" t="str">
            <v>Telecomunicações</v>
          </cell>
          <cell r="D1551">
            <v>7990.81</v>
          </cell>
          <cell r="E1551">
            <v>4104.08</v>
          </cell>
          <cell r="F1551">
            <v>0</v>
          </cell>
          <cell r="G1551">
            <v>12094.89</v>
          </cell>
        </row>
        <row r="1552">
          <cell r="B1552">
            <v>41617</v>
          </cell>
          <cell r="C1552" t="str">
            <v>Correios e Malotes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B1553">
            <v>41618</v>
          </cell>
          <cell r="C1553" t="str">
            <v>Reproduções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B1554">
            <v>41619</v>
          </cell>
          <cell r="C1554" t="str">
            <v>Seguros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B1555">
            <v>416110</v>
          </cell>
          <cell r="C1555" t="str">
            <v>Conduções e Lanches</v>
          </cell>
          <cell r="D1555">
            <v>0</v>
          </cell>
          <cell r="E1555">
            <v>52.87</v>
          </cell>
          <cell r="F1555">
            <v>0</v>
          </cell>
          <cell r="G1555">
            <v>52.87</v>
          </cell>
        </row>
        <row r="1556">
          <cell r="B1556">
            <v>416111</v>
          </cell>
          <cell r="C1556" t="str">
            <v>Depreciação e Amortização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B1557">
            <v>416112</v>
          </cell>
          <cell r="C1557" t="str">
            <v>Alugueis de Móveis, Máquinas e Equip.</v>
          </cell>
          <cell r="D1557">
            <v>1413.47</v>
          </cell>
          <cell r="E1557">
            <v>353.37</v>
          </cell>
          <cell r="F1557">
            <v>0</v>
          </cell>
          <cell r="G1557">
            <v>1766.84</v>
          </cell>
        </row>
        <row r="1558">
          <cell r="B1558">
            <v>416113</v>
          </cell>
          <cell r="C1558" t="str">
            <v>Aluguel de Eq de Processamento de Dados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B1559">
            <v>416114</v>
          </cell>
          <cell r="C1559" t="str">
            <v>Serviço de Limpeza e Higiene</v>
          </cell>
          <cell r="D1559">
            <v>128988.88</v>
          </cell>
          <cell r="E1559">
            <v>37454.629999999997</v>
          </cell>
          <cell r="F1559">
            <v>0</v>
          </cell>
          <cell r="G1559">
            <v>166443.51</v>
          </cell>
        </row>
        <row r="1560">
          <cell r="B1560">
            <v>416115</v>
          </cell>
          <cell r="C1560" t="str">
            <v>Serviços Gerais</v>
          </cell>
          <cell r="D1560">
            <v>86349.77</v>
          </cell>
          <cell r="E1560">
            <v>25817.21</v>
          </cell>
          <cell r="F1560">
            <v>0</v>
          </cell>
          <cell r="G1560">
            <v>112166.98</v>
          </cell>
        </row>
        <row r="1561">
          <cell r="B1561">
            <v>416116</v>
          </cell>
          <cell r="C1561" t="str">
            <v>Condomínios</v>
          </cell>
          <cell r="D1561">
            <v>284915.86</v>
          </cell>
          <cell r="E1561">
            <v>71660.38</v>
          </cell>
          <cell r="F1561">
            <v>0</v>
          </cell>
          <cell r="G1561">
            <v>356576.24</v>
          </cell>
        </row>
        <row r="1562">
          <cell r="B1562">
            <v>4161998</v>
          </cell>
          <cell r="C1562" t="str">
            <v>(-) Reemb. de custos - Convênios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B1563">
            <v>4161999</v>
          </cell>
          <cell r="C1563" t="str">
            <v>Outros Custos Func. das Instalações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B1564">
            <v>4162</v>
          </cell>
          <cell r="C1564" t="str">
            <v>Custos Gerais da Administração</v>
          </cell>
          <cell r="D1564">
            <v>917461.7</v>
          </cell>
          <cell r="E1564">
            <v>372780.18</v>
          </cell>
          <cell r="F1564">
            <v>0</v>
          </cell>
          <cell r="G1564">
            <v>1290241.8799999999</v>
          </cell>
        </row>
        <row r="1565">
          <cell r="B1565">
            <v>41621</v>
          </cell>
          <cell r="C1565" t="str">
            <v>Honorários da Diretoria</v>
          </cell>
          <cell r="D1565">
            <v>282058.59999999998</v>
          </cell>
          <cell r="E1565">
            <v>69645.61</v>
          </cell>
          <cell r="F1565">
            <v>0</v>
          </cell>
          <cell r="G1565">
            <v>351704.21</v>
          </cell>
        </row>
        <row r="1566">
          <cell r="B1566">
            <v>41622</v>
          </cell>
          <cell r="C1566" t="str">
            <v>Honorários Conselhos de Adm. e Fiscal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B1567">
            <v>41623</v>
          </cell>
          <cell r="C1567" t="str">
            <v>Custos com Estagiários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B1568">
            <v>41624</v>
          </cell>
          <cell r="C1568" t="str">
            <v>Custos de Viagens - Passagens Aéreas</v>
          </cell>
          <cell r="D1568">
            <v>60960.49</v>
          </cell>
          <cell r="E1568">
            <v>91079.94</v>
          </cell>
          <cell r="F1568">
            <v>0</v>
          </cell>
          <cell r="G1568">
            <v>152040.43</v>
          </cell>
        </row>
        <row r="1569">
          <cell r="B1569">
            <v>41625</v>
          </cell>
          <cell r="C1569" t="str">
            <v>Custos de Viagens - Hospedagens</v>
          </cell>
          <cell r="D1569">
            <v>1253.04</v>
          </cell>
          <cell r="E1569">
            <v>0</v>
          </cell>
          <cell r="F1569">
            <v>0</v>
          </cell>
          <cell r="G1569">
            <v>1253.04</v>
          </cell>
        </row>
        <row r="1570">
          <cell r="B1570">
            <v>41626</v>
          </cell>
          <cell r="C1570" t="str">
            <v>Custos de Viagens - Outros</v>
          </cell>
          <cell r="D1570">
            <v>14220.06</v>
          </cell>
          <cell r="E1570">
            <v>34371.78</v>
          </cell>
          <cell r="F1570">
            <v>0</v>
          </cell>
          <cell r="G1570">
            <v>48591.839999999997</v>
          </cell>
        </row>
        <row r="1571">
          <cell r="B1571">
            <v>41627</v>
          </cell>
          <cell r="C1571" t="str">
            <v>Assinatura Banco de Dados e Portais</v>
          </cell>
          <cell r="D1571">
            <v>457571.93</v>
          </cell>
          <cell r="E1571">
            <v>131275.37</v>
          </cell>
          <cell r="F1571">
            <v>0</v>
          </cell>
          <cell r="G1571">
            <v>588847.30000000005</v>
          </cell>
        </row>
        <row r="1572">
          <cell r="B1572">
            <v>41628</v>
          </cell>
          <cell r="C1572" t="str">
            <v>Donativos e Contribuições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B1573">
            <v>41629</v>
          </cell>
          <cell r="C1573" t="str">
            <v>Custos Legais e Judiciais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B1574">
            <v>416210</v>
          </cell>
          <cell r="C1574" t="str">
            <v>Custo de Viagem ao Exterior</v>
          </cell>
          <cell r="D1574">
            <v>101397.58</v>
          </cell>
          <cell r="E1574">
            <v>46407.48</v>
          </cell>
          <cell r="F1574">
            <v>0</v>
          </cell>
          <cell r="G1574">
            <v>147805.06</v>
          </cell>
        </row>
        <row r="1575">
          <cell r="B1575">
            <v>416211</v>
          </cell>
          <cell r="C1575" t="str">
            <v>DESPESAS NÃO DEDUTIVEIS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B1576">
            <v>4162998</v>
          </cell>
          <cell r="C1576" t="str">
            <v>(-) Reemb. de custos - Convênios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B1577">
            <v>4162999</v>
          </cell>
          <cell r="C1577" t="str">
            <v>Outros Custos Gerais da Administração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B1578">
            <v>4163</v>
          </cell>
          <cell r="C1578" t="str">
            <v>Indenizações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B1579">
            <v>416031</v>
          </cell>
          <cell r="C1579" t="str">
            <v>Outras Indenizações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B1580">
            <v>417</v>
          </cell>
          <cell r="C1580" t="str">
            <v>Outros Custos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B1581">
            <v>41701</v>
          </cell>
          <cell r="C1581" t="str">
            <v>Redução ao Valor Recuperável Impairment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B1582">
            <v>41711</v>
          </cell>
          <cell r="C1582" t="str">
            <v>Redução ao Valor Recuperável Impairment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B1583">
            <v>419</v>
          </cell>
          <cell r="C1583" t="str">
            <v>Custo das Mercadorias Vendidas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B1584">
            <v>4191</v>
          </cell>
          <cell r="C1584" t="str">
            <v>Custo das Mercadorias Vendidas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B1585">
            <v>41911</v>
          </cell>
          <cell r="C1585" t="str">
            <v>Custo das Mercadorias Vendidas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B1586">
            <v>42</v>
          </cell>
          <cell r="C1586" t="str">
            <v>Despesas</v>
          </cell>
          <cell r="D1586">
            <v>14471742.800000001</v>
          </cell>
          <cell r="E1586">
            <v>3271474.64</v>
          </cell>
          <cell r="F1586">
            <v>-51937.02</v>
          </cell>
          <cell r="G1586">
            <v>17691280.420000002</v>
          </cell>
        </row>
        <row r="1587">
          <cell r="B1587">
            <v>421</v>
          </cell>
          <cell r="C1587" t="str">
            <v>Despesas com Pessoal</v>
          </cell>
          <cell r="D1587">
            <v>7781993.2199999997</v>
          </cell>
          <cell r="E1587">
            <v>2050088.7</v>
          </cell>
          <cell r="F1587">
            <v>-6552.52</v>
          </cell>
          <cell r="G1587">
            <v>9825529.4000000004</v>
          </cell>
        </row>
        <row r="1588">
          <cell r="B1588">
            <v>4211</v>
          </cell>
          <cell r="C1588" t="str">
            <v>Remunerações</v>
          </cell>
          <cell r="D1588">
            <v>5328730.74</v>
          </cell>
          <cell r="E1588">
            <v>1403916.39</v>
          </cell>
          <cell r="F1588">
            <v>-1856.43</v>
          </cell>
          <cell r="G1588">
            <v>6730790.7000000002</v>
          </cell>
        </row>
        <row r="1589">
          <cell r="B1589">
            <v>42111</v>
          </cell>
          <cell r="C1589" t="str">
            <v>Salários</v>
          </cell>
          <cell r="D1589">
            <v>4383983.37</v>
          </cell>
          <cell r="E1589">
            <v>1159657.79</v>
          </cell>
          <cell r="F1589">
            <v>0</v>
          </cell>
          <cell r="G1589">
            <v>5543641.1600000001</v>
          </cell>
        </row>
        <row r="1590">
          <cell r="B1590">
            <v>42112</v>
          </cell>
          <cell r="C1590" t="str">
            <v>Gratificações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B1591">
            <v>42113</v>
          </cell>
          <cell r="C1591" t="str">
            <v>Adicionais por Tempo de Serviço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B1592">
            <v>42114</v>
          </cell>
          <cell r="C1592" t="str">
            <v>Horas Extraordinárias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B1593">
            <v>42115</v>
          </cell>
          <cell r="C1593" t="str">
            <v>Abonos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B1594">
            <v>42116</v>
          </cell>
          <cell r="C1594" t="str">
            <v>Aviso Prévio e Indenizações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B1595">
            <v>42117</v>
          </cell>
          <cell r="C1595" t="str">
            <v>Provisão de Férias e Encargos Sociais</v>
          </cell>
          <cell r="D1595">
            <v>431009.02</v>
          </cell>
          <cell r="E1595">
            <v>136164.69</v>
          </cell>
          <cell r="F1595">
            <v>-1856.43</v>
          </cell>
          <cell r="G1595">
            <v>565317.28</v>
          </cell>
        </row>
        <row r="1596">
          <cell r="B1596">
            <v>42118</v>
          </cell>
          <cell r="C1596" t="str">
            <v>Abono Pecuniário de Férias</v>
          </cell>
          <cell r="D1596">
            <v>109404.43</v>
          </cell>
          <cell r="E1596">
            <v>1856.43</v>
          </cell>
          <cell r="F1596">
            <v>0</v>
          </cell>
          <cell r="G1596">
            <v>111260.86</v>
          </cell>
        </row>
        <row r="1597">
          <cell r="B1597">
            <v>42119</v>
          </cell>
          <cell r="C1597" t="str">
            <v>Provisão de 13º Salários e Encargos</v>
          </cell>
          <cell r="D1597">
            <v>404333.92</v>
          </cell>
          <cell r="E1597">
            <v>100043.6</v>
          </cell>
          <cell r="F1597">
            <v>0</v>
          </cell>
          <cell r="G1597">
            <v>504377.52</v>
          </cell>
        </row>
        <row r="1598">
          <cell r="B1598">
            <v>421110</v>
          </cell>
          <cell r="C1598" t="str">
            <v>Salario Maternidade - Prorrogação</v>
          </cell>
          <cell r="D1598">
            <v>0</v>
          </cell>
          <cell r="E1598">
            <v>6193.88</v>
          </cell>
          <cell r="F1598">
            <v>0</v>
          </cell>
          <cell r="G1598">
            <v>6193.88</v>
          </cell>
        </row>
        <row r="1599">
          <cell r="B1599">
            <v>421112</v>
          </cell>
          <cell r="C1599" t="str">
            <v>Licença Paternidade Prorrogação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B1600">
            <v>4211998</v>
          </cell>
          <cell r="C1600" t="str">
            <v>(-)Reemb. Despesas de Remunerações Conve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B1601">
            <v>4211999</v>
          </cell>
          <cell r="C1601" t="str">
            <v>Outras Remunerações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B1602">
            <v>4212</v>
          </cell>
          <cell r="C1602" t="str">
            <v>Encargos Sociais</v>
          </cell>
          <cell r="D1602">
            <v>1587495.18</v>
          </cell>
          <cell r="E1602">
            <v>427800.1</v>
          </cell>
          <cell r="F1602">
            <v>-538.36</v>
          </cell>
          <cell r="G1602">
            <v>2014756.92</v>
          </cell>
        </row>
        <row r="1603">
          <cell r="B1603">
            <v>42121</v>
          </cell>
          <cell r="C1603" t="str">
            <v>INSS</v>
          </cell>
          <cell r="D1603">
            <v>979333</v>
          </cell>
          <cell r="E1603">
            <v>260510.69</v>
          </cell>
          <cell r="F1603">
            <v>0</v>
          </cell>
          <cell r="G1603">
            <v>1239843.69</v>
          </cell>
        </row>
        <row r="1604">
          <cell r="B1604">
            <v>42122</v>
          </cell>
          <cell r="C1604" t="str">
            <v>FGTS</v>
          </cell>
          <cell r="D1604">
            <v>370886.63</v>
          </cell>
          <cell r="E1604">
            <v>100087.56</v>
          </cell>
          <cell r="F1604">
            <v>0</v>
          </cell>
          <cell r="G1604">
            <v>470974.19</v>
          </cell>
        </row>
        <row r="1605">
          <cell r="B1605">
            <v>42123</v>
          </cell>
          <cell r="C1605" t="str">
            <v>Contribuições Sindicais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B1606">
            <v>42124</v>
          </cell>
          <cell r="C1606" t="str">
            <v>INSS s/ 13º Salário</v>
          </cell>
          <cell r="D1606">
            <v>83296.960000000006</v>
          </cell>
          <cell r="E1606">
            <v>20606.13</v>
          </cell>
          <cell r="F1606">
            <v>0</v>
          </cell>
          <cell r="G1606">
            <v>103903.09</v>
          </cell>
        </row>
        <row r="1607">
          <cell r="B1607">
            <v>42125</v>
          </cell>
          <cell r="C1607" t="str">
            <v>INSS s/ Férias</v>
          </cell>
          <cell r="D1607">
            <v>88362.54</v>
          </cell>
          <cell r="E1607">
            <v>28057.23</v>
          </cell>
          <cell r="F1607">
            <v>-389.85</v>
          </cell>
          <cell r="G1607">
            <v>116029.92</v>
          </cell>
        </row>
        <row r="1608">
          <cell r="B1608">
            <v>42126</v>
          </cell>
          <cell r="C1608" t="str">
            <v>FGTS s/ Férias</v>
          </cell>
          <cell r="D1608">
            <v>33883.4</v>
          </cell>
          <cell r="E1608">
            <v>10688.53</v>
          </cell>
          <cell r="F1608">
            <v>-148.51</v>
          </cell>
          <cell r="G1608">
            <v>44423.42</v>
          </cell>
        </row>
        <row r="1609">
          <cell r="B1609">
            <v>42127</v>
          </cell>
          <cell r="C1609" t="str">
            <v>FGTS s/ 13º Salário</v>
          </cell>
          <cell r="D1609">
            <v>31732.65</v>
          </cell>
          <cell r="E1609">
            <v>7849.96</v>
          </cell>
          <cell r="F1609">
            <v>0</v>
          </cell>
          <cell r="G1609">
            <v>39582.61</v>
          </cell>
        </row>
        <row r="1610">
          <cell r="B1610">
            <v>4212999</v>
          </cell>
          <cell r="C1610" t="str">
            <v>Outros Encargos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B1611">
            <v>4213</v>
          </cell>
          <cell r="C1611" t="str">
            <v>Benefícios</v>
          </cell>
          <cell r="D1611">
            <v>865767.3</v>
          </cell>
          <cell r="E1611">
            <v>218372.21</v>
          </cell>
          <cell r="F1611">
            <v>-4157.7299999999996</v>
          </cell>
          <cell r="G1611">
            <v>1079981.78</v>
          </cell>
        </row>
        <row r="1612">
          <cell r="B1612">
            <v>42131</v>
          </cell>
          <cell r="C1612" t="str">
            <v>Previdência Privada Complementar</v>
          </cell>
          <cell r="D1612">
            <v>354625.65</v>
          </cell>
          <cell r="E1612">
            <v>87521.33</v>
          </cell>
          <cell r="F1612">
            <v>0</v>
          </cell>
          <cell r="G1612">
            <v>442146.98</v>
          </cell>
        </row>
        <row r="1613">
          <cell r="B1613">
            <v>42132</v>
          </cell>
          <cell r="C1613" t="str">
            <v>Auxílio Alimentação</v>
          </cell>
          <cell r="D1613">
            <v>270211.86</v>
          </cell>
          <cell r="E1613">
            <v>67552.820000000007</v>
          </cell>
          <cell r="F1613">
            <v>0</v>
          </cell>
          <cell r="G1613">
            <v>337764.68</v>
          </cell>
        </row>
        <row r="1614">
          <cell r="B1614">
            <v>42133</v>
          </cell>
          <cell r="C1614" t="str">
            <v>Auxílio Transporte</v>
          </cell>
          <cell r="D1614">
            <v>7286.65</v>
          </cell>
          <cell r="E1614">
            <v>4845.74</v>
          </cell>
          <cell r="F1614">
            <v>-3993.41</v>
          </cell>
          <cell r="G1614">
            <v>8138.98</v>
          </cell>
        </row>
        <row r="1615">
          <cell r="B1615">
            <v>42134</v>
          </cell>
          <cell r="C1615" t="str">
            <v>Auxílio Moradia</v>
          </cell>
          <cell r="D1615">
            <v>15600</v>
          </cell>
          <cell r="E1615">
            <v>3900</v>
          </cell>
          <cell r="F1615">
            <v>0</v>
          </cell>
          <cell r="G1615">
            <v>19500</v>
          </cell>
        </row>
        <row r="1616">
          <cell r="B1616">
            <v>42135</v>
          </cell>
          <cell r="C1616" t="str">
            <v>Auxílio Creche</v>
          </cell>
          <cell r="D1616">
            <v>50138.080000000002</v>
          </cell>
          <cell r="E1616">
            <v>12418.88</v>
          </cell>
          <cell r="F1616">
            <v>0</v>
          </cell>
          <cell r="G1616">
            <v>62556.959999999999</v>
          </cell>
        </row>
        <row r="1617">
          <cell r="B1617">
            <v>42136</v>
          </cell>
          <cell r="C1617" t="str">
            <v>Assistência Médica e  Odontológica</v>
          </cell>
          <cell r="D1617">
            <v>151473.03</v>
          </cell>
          <cell r="E1617">
            <v>37998.04</v>
          </cell>
          <cell r="F1617">
            <v>0</v>
          </cell>
          <cell r="G1617">
            <v>189471.07</v>
          </cell>
        </row>
        <row r="1618">
          <cell r="B1618">
            <v>42137</v>
          </cell>
          <cell r="C1618" t="str">
            <v>Seguro de Vida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B1619">
            <v>42138</v>
          </cell>
          <cell r="C1619" t="str">
            <v>Recreação e Lazer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B1620">
            <v>42139</v>
          </cell>
          <cell r="C1620" t="str">
            <v>Assistência e Capacitação Profissional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B1621">
            <v>421310</v>
          </cell>
          <cell r="C1621" t="str">
            <v>Vale Cultura</v>
          </cell>
          <cell r="D1621">
            <v>2652</v>
          </cell>
          <cell r="E1621">
            <v>800</v>
          </cell>
          <cell r="F1621">
            <v>-137</v>
          </cell>
          <cell r="G1621">
            <v>3315</v>
          </cell>
        </row>
        <row r="1622">
          <cell r="B1622">
            <v>421311</v>
          </cell>
          <cell r="C1622" t="str">
            <v>Saúde Ocupacional</v>
          </cell>
          <cell r="D1622">
            <v>13780.03</v>
          </cell>
          <cell r="E1622">
            <v>3335.4</v>
          </cell>
          <cell r="F1622">
            <v>-27.32</v>
          </cell>
          <cell r="G1622">
            <v>17088.11</v>
          </cell>
        </row>
        <row r="1623">
          <cell r="B1623">
            <v>4213999</v>
          </cell>
          <cell r="C1623" t="str">
            <v>Outros benefícios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B1624">
            <v>4214</v>
          </cell>
          <cell r="C1624" t="str">
            <v>Outros Gastos de Pessoal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B1625">
            <v>4214999</v>
          </cell>
          <cell r="C1625" t="str">
            <v>Outras Despesas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B1626">
            <v>4215</v>
          </cell>
          <cell r="C1626" t="str">
            <v>Indenizações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B1627">
            <v>42151</v>
          </cell>
          <cell r="C1627" t="str">
            <v>Indenizações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B1628">
            <v>422</v>
          </cell>
          <cell r="C1628" t="str">
            <v>Despesas Com Materiais</v>
          </cell>
          <cell r="D1628">
            <v>101195.87</v>
          </cell>
          <cell r="E1628">
            <v>4864.46</v>
          </cell>
          <cell r="F1628">
            <v>-44940</v>
          </cell>
          <cell r="G1628">
            <v>61120.33</v>
          </cell>
        </row>
        <row r="1629">
          <cell r="B1629">
            <v>4221</v>
          </cell>
          <cell r="C1629" t="str">
            <v>Despesas com Materiais Nacionais</v>
          </cell>
          <cell r="D1629">
            <v>101195.87</v>
          </cell>
          <cell r="E1629">
            <v>4864.46</v>
          </cell>
          <cell r="F1629">
            <v>-44940</v>
          </cell>
          <cell r="G1629">
            <v>61120.33</v>
          </cell>
        </row>
        <row r="1630">
          <cell r="B1630">
            <v>42211</v>
          </cell>
          <cell r="C1630" t="str">
            <v>Materiais Adm. e de Expediente</v>
          </cell>
          <cell r="D1630">
            <v>99127.87</v>
          </cell>
          <cell r="E1630">
            <v>4864.46</v>
          </cell>
          <cell r="F1630">
            <v>-44940</v>
          </cell>
          <cell r="G1630">
            <v>59052.33</v>
          </cell>
        </row>
        <row r="1631">
          <cell r="B1631">
            <v>42212</v>
          </cell>
          <cell r="C1631" t="str">
            <v>Combustíveis e Lubrificantes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B1632">
            <v>42213</v>
          </cell>
          <cell r="C1632" t="str">
            <v>Materiais e Equipamentos</v>
          </cell>
          <cell r="D1632">
            <v>2068</v>
          </cell>
          <cell r="E1632">
            <v>0</v>
          </cell>
          <cell r="F1632">
            <v>0</v>
          </cell>
          <cell r="G1632">
            <v>2068</v>
          </cell>
        </row>
        <row r="1633">
          <cell r="B1633">
            <v>42214</v>
          </cell>
          <cell r="C1633" t="str">
            <v>Outros Materiais Nacionais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B1634">
            <v>422198</v>
          </cell>
          <cell r="C1634" t="str">
            <v>(-)  Reemb. Despesas de Materiais Conven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B1635">
            <v>4222</v>
          </cell>
          <cell r="C1635" t="str">
            <v>Despesas com Materiais Estrangeiros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B1636">
            <v>42221</v>
          </cell>
          <cell r="C1636" t="str">
            <v>Materiais e Equipamentos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B1637">
            <v>4222999</v>
          </cell>
          <cell r="C1637" t="str">
            <v>Outros Materiais Estrangeiros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B1638">
            <v>423</v>
          </cell>
          <cell r="C1638" t="str">
            <v>Desp.c/Serv. de Terceiros</v>
          </cell>
          <cell r="D1638">
            <v>1304076.3400000001</v>
          </cell>
          <cell r="E1638">
            <v>411040.27</v>
          </cell>
          <cell r="F1638">
            <v>-444.5</v>
          </cell>
          <cell r="G1638">
            <v>1714672.11</v>
          </cell>
        </row>
        <row r="1639">
          <cell r="B1639">
            <v>4231</v>
          </cell>
          <cell r="C1639" t="str">
            <v>Desp.c/Serv. de Terceiros - Nacionais</v>
          </cell>
          <cell r="D1639">
            <v>1304076.3400000001</v>
          </cell>
          <cell r="E1639">
            <v>411040.27</v>
          </cell>
          <cell r="F1639">
            <v>-444.5</v>
          </cell>
          <cell r="G1639">
            <v>1714672.11</v>
          </cell>
        </row>
        <row r="1640">
          <cell r="B1640">
            <v>42311</v>
          </cell>
          <cell r="C1640" t="str">
            <v>Serviços de Consultoria</v>
          </cell>
          <cell r="D1640">
            <v>16571</v>
          </cell>
          <cell r="E1640">
            <v>0</v>
          </cell>
          <cell r="F1640">
            <v>0</v>
          </cell>
          <cell r="G1640">
            <v>16571</v>
          </cell>
        </row>
        <row r="1641">
          <cell r="B1641">
            <v>42312</v>
          </cell>
          <cell r="C1641" t="str">
            <v>Serviços de Apoio Técnico e/ou Administrativo</v>
          </cell>
          <cell r="D1641">
            <v>494872.53</v>
          </cell>
          <cell r="E1641">
            <v>199281.69</v>
          </cell>
          <cell r="F1641">
            <v>0</v>
          </cell>
          <cell r="G1641">
            <v>694154.22</v>
          </cell>
        </row>
        <row r="1642">
          <cell r="B1642">
            <v>42313</v>
          </cell>
          <cell r="C1642" t="str">
            <v>Cessão ou Requisição de Pessoal</v>
          </cell>
          <cell r="D1642">
            <v>103951.92</v>
          </cell>
          <cell r="E1642">
            <v>24403.53</v>
          </cell>
          <cell r="F1642">
            <v>0</v>
          </cell>
          <cell r="G1642">
            <v>128355.45</v>
          </cell>
        </row>
        <row r="1643">
          <cell r="B1643">
            <v>42314</v>
          </cell>
          <cell r="C1643" t="str">
            <v>Publicidade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B1644">
            <v>42315</v>
          </cell>
          <cell r="C1644" t="str">
            <v>Cursos, Seminários e Convenções</v>
          </cell>
          <cell r="D1644">
            <v>84932.49</v>
          </cell>
          <cell r="E1644">
            <v>27441.67</v>
          </cell>
          <cell r="F1644">
            <v>0</v>
          </cell>
          <cell r="G1644">
            <v>112374.16</v>
          </cell>
        </row>
        <row r="1645">
          <cell r="B1645">
            <v>42316</v>
          </cell>
          <cell r="C1645" t="str">
            <v>Serviços de Processamentos de Dados</v>
          </cell>
          <cell r="D1645">
            <v>130998.94</v>
          </cell>
          <cell r="E1645">
            <v>32385.53</v>
          </cell>
          <cell r="F1645">
            <v>0</v>
          </cell>
          <cell r="G1645">
            <v>163384.47</v>
          </cell>
        </row>
        <row r="1646">
          <cell r="B1646">
            <v>42317</v>
          </cell>
          <cell r="C1646" t="str">
            <v>Serviços Manut. Equipamentos Informática</v>
          </cell>
          <cell r="D1646">
            <v>251333.06</v>
          </cell>
          <cell r="E1646">
            <v>72430.009999999995</v>
          </cell>
          <cell r="F1646">
            <v>0</v>
          </cell>
          <cell r="G1646">
            <v>323763.07</v>
          </cell>
        </row>
        <row r="1647">
          <cell r="B1647">
            <v>42318</v>
          </cell>
          <cell r="C1647" t="str">
            <v>Serv. Tributários e Auditoria</v>
          </cell>
          <cell r="D1647">
            <v>60916.67</v>
          </cell>
          <cell r="E1647">
            <v>12833.33</v>
          </cell>
          <cell r="F1647">
            <v>0</v>
          </cell>
          <cell r="G1647">
            <v>73750</v>
          </cell>
        </row>
        <row r="1648">
          <cell r="B1648">
            <v>42319</v>
          </cell>
          <cell r="C1648" t="str">
            <v>Serviços de Limpeza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B1649">
            <v>423110</v>
          </cell>
          <cell r="C1649" t="str">
            <v>Serviços de Segurança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B1650">
            <v>423111</v>
          </cell>
          <cell r="C1650" t="str">
            <v>Serviços de Reforma das Instalações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B1651">
            <v>423112</v>
          </cell>
          <cell r="C1651" t="str">
            <v>Servicos Gerais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B1652">
            <v>423113</v>
          </cell>
          <cell r="C1652" t="str">
            <v>Locação de Veículos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B1653">
            <v>423114</v>
          </cell>
          <cell r="C1653" t="str">
            <v>Cessão Temporária e Manut. de Software</v>
          </cell>
          <cell r="D1653">
            <v>86286.12</v>
          </cell>
          <cell r="E1653">
            <v>19823.990000000002</v>
          </cell>
          <cell r="F1653">
            <v>-444.5</v>
          </cell>
          <cell r="G1653">
            <v>105665.61</v>
          </cell>
        </row>
        <row r="1654">
          <cell r="B1654">
            <v>423115</v>
          </cell>
          <cell r="C1654" t="str">
            <v>Serviços de Clipping de Multimídia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B1655">
            <v>423117</v>
          </cell>
          <cell r="C1655" t="str">
            <v>Despesas com Estagiarios</v>
          </cell>
          <cell r="D1655">
            <v>62048.57</v>
          </cell>
          <cell r="E1655">
            <v>20017.22</v>
          </cell>
          <cell r="F1655">
            <v>0</v>
          </cell>
          <cell r="G1655">
            <v>82065.789999999994</v>
          </cell>
        </row>
        <row r="1656">
          <cell r="B1656">
            <v>423118</v>
          </cell>
          <cell r="C1656" t="str">
            <v>Despesas com Eventos e Confraternizações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B1657">
            <v>423119</v>
          </cell>
          <cell r="C1657" t="str">
            <v>Despesas com Jovem Aprendiz</v>
          </cell>
          <cell r="D1657">
            <v>12165.04</v>
          </cell>
          <cell r="E1657">
            <v>2423.3000000000002</v>
          </cell>
          <cell r="F1657">
            <v>0</v>
          </cell>
          <cell r="G1657">
            <v>14588.34</v>
          </cell>
        </row>
        <row r="1658">
          <cell r="B1658">
            <v>4231997</v>
          </cell>
          <cell r="C1658" t="str">
            <v>Serviço Prestado PF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B1659">
            <v>4231998</v>
          </cell>
          <cell r="C1659" t="str">
            <v>(-) Reemb. de desp. c/ Serviço de Terc.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B1660">
            <v>4231999</v>
          </cell>
          <cell r="C1660" t="str">
            <v>Outros Serviços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B1661">
            <v>4232</v>
          </cell>
          <cell r="C1661" t="str">
            <v>Desp.c/Serv. de Terceiros - Estrangeiros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B1662">
            <v>42321</v>
          </cell>
          <cell r="C1662" t="str">
            <v>Serviços de Consultoria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B1663">
            <v>42322</v>
          </cell>
          <cell r="C1663" t="str">
            <v>Cessão Temporária e Manut. de Software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B1664">
            <v>4232999</v>
          </cell>
          <cell r="C1664" t="str">
            <v>Outros Serviços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B1665">
            <v>424</v>
          </cell>
          <cell r="C1665" t="str">
            <v>Desp.c/Tributos</v>
          </cell>
          <cell r="D1665">
            <v>417718.45</v>
          </cell>
          <cell r="E1665">
            <v>16605.46</v>
          </cell>
          <cell r="F1665">
            <v>0</v>
          </cell>
          <cell r="G1665">
            <v>434323.91</v>
          </cell>
        </row>
        <row r="1666">
          <cell r="B1666">
            <v>4241</v>
          </cell>
          <cell r="C1666" t="str">
            <v>Desp.c/Tributos-Imp.,Txs e Contribuições</v>
          </cell>
          <cell r="D1666">
            <v>417718.45</v>
          </cell>
          <cell r="E1666">
            <v>16605.46</v>
          </cell>
          <cell r="F1666">
            <v>0</v>
          </cell>
          <cell r="G1666">
            <v>434323.91</v>
          </cell>
        </row>
        <row r="1667">
          <cell r="B1667">
            <v>42411</v>
          </cell>
          <cell r="C1667" t="str">
            <v>ITR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B1668">
            <v>42412</v>
          </cell>
          <cell r="C1668" t="str">
            <v>IPTU</v>
          </cell>
          <cell r="D1668">
            <v>38120.54</v>
          </cell>
          <cell r="E1668">
            <v>9930.56</v>
          </cell>
          <cell r="F1668">
            <v>0</v>
          </cell>
          <cell r="G1668">
            <v>48051.1</v>
          </cell>
        </row>
        <row r="1669">
          <cell r="B1669">
            <v>42413</v>
          </cell>
          <cell r="C1669" t="str">
            <v>IPVA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B1670">
            <v>42414</v>
          </cell>
          <cell r="C1670" t="str">
            <v>Taxas Municipais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B1671">
            <v>42415</v>
          </cell>
          <cell r="C1671" t="str">
            <v>PIS s/ Outras Receitas</v>
          </cell>
          <cell r="D1671">
            <v>65752.58</v>
          </cell>
          <cell r="E1671">
            <v>580.98</v>
          </cell>
          <cell r="F1671">
            <v>0</v>
          </cell>
          <cell r="G1671">
            <v>66333.56</v>
          </cell>
        </row>
        <row r="1672">
          <cell r="B1672">
            <v>42416</v>
          </cell>
          <cell r="C1672" t="str">
            <v>COFINS s/ outras Receitas</v>
          </cell>
          <cell r="D1672">
            <v>308559.03000000003</v>
          </cell>
          <cell r="E1672">
            <v>3575.27</v>
          </cell>
          <cell r="F1672">
            <v>0</v>
          </cell>
          <cell r="G1672">
            <v>312134.3</v>
          </cell>
        </row>
        <row r="1673">
          <cell r="B1673">
            <v>42417</v>
          </cell>
          <cell r="C1673" t="str">
            <v>ICMS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B1674">
            <v>42418</v>
          </cell>
          <cell r="C1674" t="str">
            <v>Outros Impostos e Taxas</v>
          </cell>
          <cell r="D1674">
            <v>317.56</v>
          </cell>
          <cell r="E1674">
            <v>0</v>
          </cell>
          <cell r="F1674">
            <v>0</v>
          </cell>
          <cell r="G1674">
            <v>317.56</v>
          </cell>
        </row>
        <row r="1675">
          <cell r="B1675">
            <v>42419</v>
          </cell>
          <cell r="C1675" t="str">
            <v>REFORMA DAS INSTALAÇÕES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B1676">
            <v>424110</v>
          </cell>
          <cell r="C1676" t="str">
            <v>Despesas com IRPJ - Anos Anteriores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B1677">
            <v>424111</v>
          </cell>
          <cell r="C1677" t="str">
            <v>Despesas com CSLL - Anos Anteriores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B1678">
            <v>424112</v>
          </cell>
          <cell r="C1678" t="str">
            <v>Taxas Estaduais</v>
          </cell>
          <cell r="D1678">
            <v>4968.74</v>
          </cell>
          <cell r="E1678">
            <v>2518.65</v>
          </cell>
          <cell r="F1678">
            <v>0</v>
          </cell>
          <cell r="G1678">
            <v>7487.39</v>
          </cell>
        </row>
        <row r="1679">
          <cell r="B1679">
            <v>424113</v>
          </cell>
          <cell r="C1679" t="str">
            <v>Perdas de Créditos Tributários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B1680">
            <v>425</v>
          </cell>
          <cell r="C1680" t="str">
            <v>Despesas com Provisôes</v>
          </cell>
          <cell r="D1680">
            <v>1113685.95</v>
          </cell>
          <cell r="E1680">
            <v>0</v>
          </cell>
          <cell r="F1680">
            <v>0</v>
          </cell>
          <cell r="G1680">
            <v>1113685.95</v>
          </cell>
        </row>
        <row r="1681">
          <cell r="B1681">
            <v>4251</v>
          </cell>
          <cell r="C1681" t="str">
            <v>Imposto de Renda</v>
          </cell>
          <cell r="D1681">
            <v>668444.49</v>
          </cell>
          <cell r="E1681">
            <v>0</v>
          </cell>
          <cell r="F1681">
            <v>0</v>
          </cell>
          <cell r="G1681">
            <v>668444.49</v>
          </cell>
        </row>
        <row r="1682">
          <cell r="B1682">
            <v>42511</v>
          </cell>
          <cell r="C1682" t="str">
            <v>Provisão p/ IRPJ</v>
          </cell>
          <cell r="D1682">
            <v>668444.49</v>
          </cell>
          <cell r="E1682">
            <v>0</v>
          </cell>
          <cell r="F1682">
            <v>0</v>
          </cell>
          <cell r="G1682">
            <v>668444.49</v>
          </cell>
        </row>
        <row r="1683">
          <cell r="B1683">
            <v>42512</v>
          </cell>
          <cell r="C1683" t="str">
            <v>Provisao p/ IRPJ Diferido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B1684">
            <v>4252</v>
          </cell>
          <cell r="C1684" t="str">
            <v>Contribuição Social s/ Lucro Líquido</v>
          </cell>
          <cell r="D1684">
            <v>266728.8</v>
          </cell>
          <cell r="E1684">
            <v>0</v>
          </cell>
          <cell r="F1684">
            <v>0</v>
          </cell>
          <cell r="G1684">
            <v>266728.8</v>
          </cell>
        </row>
        <row r="1685">
          <cell r="B1685">
            <v>42521</v>
          </cell>
          <cell r="C1685" t="str">
            <v>Provisão p/ CSLL</v>
          </cell>
          <cell r="D1685">
            <v>266728.8</v>
          </cell>
          <cell r="E1685">
            <v>0</v>
          </cell>
          <cell r="F1685">
            <v>0</v>
          </cell>
          <cell r="G1685">
            <v>266728.8</v>
          </cell>
        </row>
        <row r="1686">
          <cell r="B1686">
            <v>42522</v>
          </cell>
          <cell r="C1686" t="str">
            <v>Provisao p/ CSLL Diferido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B1687">
            <v>4253</v>
          </cell>
          <cell r="C1687" t="str">
            <v>Desp. c/ Provisões-Retific. de Créditos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B1688">
            <v>42531</v>
          </cell>
          <cell r="C1688" t="str">
            <v>Provisões p/ Devedores Duvidosos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B1689">
            <v>42532</v>
          </cell>
          <cell r="C1689" t="str">
            <v>Provisões p/Perdas em Valores Mobiliário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B1690">
            <v>4254</v>
          </cell>
          <cell r="C1690" t="str">
            <v>Despesas c/ Provisões - p/ Contingências</v>
          </cell>
          <cell r="D1690">
            <v>178512.66</v>
          </cell>
          <cell r="E1690">
            <v>0</v>
          </cell>
          <cell r="F1690">
            <v>0</v>
          </cell>
          <cell r="G1690">
            <v>178512.66</v>
          </cell>
        </row>
        <row r="1691">
          <cell r="B1691">
            <v>42541</v>
          </cell>
          <cell r="C1691" t="str">
            <v>Provisões p/ Contingências Trabalhistas</v>
          </cell>
          <cell r="D1691">
            <v>178512.66</v>
          </cell>
          <cell r="E1691">
            <v>0</v>
          </cell>
          <cell r="F1691">
            <v>0</v>
          </cell>
          <cell r="G1691">
            <v>178512.66</v>
          </cell>
        </row>
        <row r="1692">
          <cell r="B1692">
            <v>42542</v>
          </cell>
          <cell r="C1692" t="str">
            <v>Provisões p/ Contingências Cíveis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B1693">
            <v>42543</v>
          </cell>
          <cell r="C1693" t="str">
            <v>Provisões p/ Contingências Fiscais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B1694">
            <v>4254999</v>
          </cell>
          <cell r="C1694" t="str">
            <v>Outras Provisões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B1695">
            <v>426</v>
          </cell>
          <cell r="C1695" t="str">
            <v>Despesas Gerais</v>
          </cell>
          <cell r="D1695">
            <v>2779461.53</v>
          </cell>
          <cell r="E1695">
            <v>699256.3</v>
          </cell>
          <cell r="F1695">
            <v>0</v>
          </cell>
          <cell r="G1695">
            <v>3478717.83</v>
          </cell>
        </row>
        <row r="1696">
          <cell r="B1696">
            <v>4261</v>
          </cell>
          <cell r="C1696" t="str">
            <v>Desp. Gerais Funcionamento Instalações</v>
          </cell>
          <cell r="D1696">
            <v>1592807.11</v>
          </cell>
          <cell r="E1696">
            <v>389178.03</v>
          </cell>
          <cell r="F1696">
            <v>0</v>
          </cell>
          <cell r="G1696">
            <v>1981985.14</v>
          </cell>
        </row>
        <row r="1697">
          <cell r="B1697">
            <v>42611</v>
          </cell>
          <cell r="C1697" t="str">
            <v>Aluguéis</v>
          </cell>
          <cell r="D1697">
            <v>245769.16</v>
          </cell>
          <cell r="E1697">
            <v>61519.07</v>
          </cell>
          <cell r="F1697">
            <v>0</v>
          </cell>
          <cell r="G1697">
            <v>307288.23</v>
          </cell>
        </row>
        <row r="1698">
          <cell r="B1698">
            <v>42612</v>
          </cell>
          <cell r="C1698" t="str">
            <v>Arrendamento Mercantil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B1699">
            <v>42613</v>
          </cell>
          <cell r="C1699" t="str">
            <v>Manutenção e Reparos</v>
          </cell>
          <cell r="D1699">
            <v>64315</v>
          </cell>
          <cell r="E1699">
            <v>0</v>
          </cell>
          <cell r="F1699">
            <v>0</v>
          </cell>
          <cell r="G1699">
            <v>64315</v>
          </cell>
        </row>
        <row r="1700">
          <cell r="B1700">
            <v>42614</v>
          </cell>
          <cell r="C1700" t="str">
            <v>Energia Elétrica</v>
          </cell>
          <cell r="D1700">
            <v>82067.05</v>
          </cell>
          <cell r="E1700">
            <v>24189.29</v>
          </cell>
          <cell r="F1700">
            <v>0</v>
          </cell>
          <cell r="G1700">
            <v>106256.34</v>
          </cell>
        </row>
        <row r="1701">
          <cell r="B1701">
            <v>42615</v>
          </cell>
          <cell r="C1701" t="str">
            <v>Água e Esgoto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B1702">
            <v>42616</v>
          </cell>
          <cell r="C1702" t="str">
            <v>Telecomunicações</v>
          </cell>
          <cell r="D1702">
            <v>3306.83</v>
          </cell>
          <cell r="E1702">
            <v>1698.39</v>
          </cell>
          <cell r="F1702">
            <v>0</v>
          </cell>
          <cell r="G1702">
            <v>5005.22</v>
          </cell>
        </row>
        <row r="1703">
          <cell r="B1703">
            <v>42617</v>
          </cell>
          <cell r="C1703" t="str">
            <v>Correios e Malotes</v>
          </cell>
          <cell r="D1703">
            <v>656.7</v>
          </cell>
          <cell r="E1703">
            <v>0</v>
          </cell>
          <cell r="F1703">
            <v>0</v>
          </cell>
          <cell r="G1703">
            <v>656.7</v>
          </cell>
        </row>
        <row r="1704">
          <cell r="B1704">
            <v>42618</v>
          </cell>
          <cell r="C1704" t="str">
            <v>Reproduções</v>
          </cell>
          <cell r="D1704">
            <v>9204.7000000000007</v>
          </cell>
          <cell r="E1704">
            <v>0</v>
          </cell>
          <cell r="F1704">
            <v>0</v>
          </cell>
          <cell r="G1704">
            <v>9204.7000000000007</v>
          </cell>
        </row>
        <row r="1705">
          <cell r="B1705">
            <v>42619</v>
          </cell>
          <cell r="C1705" t="str">
            <v>Seguros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B1706">
            <v>426110</v>
          </cell>
          <cell r="C1706" t="str">
            <v>Conduções e Lanches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B1707">
            <v>426111</v>
          </cell>
          <cell r="C1707" t="str">
            <v>Depreciação e Amortização</v>
          </cell>
          <cell r="D1707">
            <v>979885.23</v>
          </cell>
          <cell r="E1707">
            <v>245786.42</v>
          </cell>
          <cell r="F1707">
            <v>0</v>
          </cell>
          <cell r="G1707">
            <v>1225671.6499999999</v>
          </cell>
        </row>
        <row r="1708">
          <cell r="B1708">
            <v>426112</v>
          </cell>
          <cell r="C1708" t="str">
            <v>Alugueis de Móveis, Máquinas e Equip.</v>
          </cell>
          <cell r="D1708">
            <v>584.92999999999995</v>
          </cell>
          <cell r="E1708">
            <v>146.22999999999999</v>
          </cell>
          <cell r="F1708">
            <v>0</v>
          </cell>
          <cell r="G1708">
            <v>731.16</v>
          </cell>
        </row>
        <row r="1709">
          <cell r="B1709">
            <v>426113</v>
          </cell>
          <cell r="C1709" t="str">
            <v>Aluguel de Eq de Processamento de Dados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B1710">
            <v>426114</v>
          </cell>
          <cell r="C1710" t="str">
            <v>Serviço de Limpeza e Higiene</v>
          </cell>
          <cell r="D1710">
            <v>53378.15</v>
          </cell>
          <cell r="E1710">
            <v>15499.74</v>
          </cell>
          <cell r="F1710">
            <v>0</v>
          </cell>
          <cell r="G1710">
            <v>68877.89</v>
          </cell>
        </row>
        <row r="1711">
          <cell r="B1711">
            <v>426115</v>
          </cell>
          <cell r="C1711" t="str">
            <v>Projeto de Eficiência Energética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B1712">
            <v>426116</v>
          </cell>
          <cell r="C1712" t="str">
            <v>Condomínios</v>
          </cell>
          <cell r="D1712">
            <v>117905.94</v>
          </cell>
          <cell r="E1712">
            <v>29655.01</v>
          </cell>
          <cell r="F1712">
            <v>0</v>
          </cell>
          <cell r="G1712">
            <v>147560.95000000001</v>
          </cell>
        </row>
        <row r="1713">
          <cell r="B1713">
            <v>426117</v>
          </cell>
          <cell r="C1713" t="str">
            <v>Serviços Gerais</v>
          </cell>
          <cell r="D1713">
            <v>35733.42</v>
          </cell>
          <cell r="E1713">
            <v>10683.88</v>
          </cell>
          <cell r="F1713">
            <v>0</v>
          </cell>
          <cell r="G1713">
            <v>46417.3</v>
          </cell>
        </row>
        <row r="1714">
          <cell r="B1714">
            <v>4261998</v>
          </cell>
          <cell r="C1714" t="str">
            <v>(-) Reemb despesas Gerais de funcionamen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B1715">
            <v>4261999</v>
          </cell>
          <cell r="C1715" t="str">
            <v>Outras Despesas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B1716">
            <v>4262</v>
          </cell>
          <cell r="C1716" t="str">
            <v>Despesas Gerais da Administração</v>
          </cell>
          <cell r="D1716">
            <v>1186654.42</v>
          </cell>
          <cell r="E1716">
            <v>310078.27</v>
          </cell>
          <cell r="F1716">
            <v>0</v>
          </cell>
          <cell r="G1716">
            <v>1496732.69</v>
          </cell>
        </row>
        <row r="1717">
          <cell r="B1717">
            <v>42621</v>
          </cell>
          <cell r="C1717" t="str">
            <v>Honorários da Diretoria</v>
          </cell>
          <cell r="D1717">
            <v>259857.04</v>
          </cell>
          <cell r="E1717">
            <v>64964.26</v>
          </cell>
          <cell r="F1717">
            <v>0</v>
          </cell>
          <cell r="G1717">
            <v>324821.3</v>
          </cell>
        </row>
        <row r="1718">
          <cell r="B1718">
            <v>42622</v>
          </cell>
          <cell r="C1718" t="str">
            <v>Honorários Conselhos de Adm. e Fiscal</v>
          </cell>
          <cell r="D1718">
            <v>115744.54</v>
          </cell>
          <cell r="E1718">
            <v>38761.99</v>
          </cell>
          <cell r="F1718">
            <v>0</v>
          </cell>
          <cell r="G1718">
            <v>154506.53</v>
          </cell>
        </row>
        <row r="1719">
          <cell r="B1719">
            <v>42623</v>
          </cell>
          <cell r="C1719" t="str">
            <v>Despesas com Estagiários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B1720">
            <v>42624</v>
          </cell>
          <cell r="C1720" t="str">
            <v>Despesas de Viagens - Passagens Aéreas</v>
          </cell>
          <cell r="D1720">
            <v>77087.570000000007</v>
          </cell>
          <cell r="E1720">
            <v>22685.43</v>
          </cell>
          <cell r="F1720">
            <v>0</v>
          </cell>
          <cell r="G1720">
            <v>99773</v>
          </cell>
        </row>
        <row r="1721">
          <cell r="B1721">
            <v>42625</v>
          </cell>
          <cell r="C1721" t="str">
            <v>Despesas de Viagens - Hospedagens</v>
          </cell>
          <cell r="D1721">
            <v>2243.2199999999998</v>
          </cell>
          <cell r="E1721">
            <v>0</v>
          </cell>
          <cell r="F1721">
            <v>0</v>
          </cell>
          <cell r="G1721">
            <v>2243.2199999999998</v>
          </cell>
        </row>
        <row r="1722">
          <cell r="B1722">
            <v>42626</v>
          </cell>
          <cell r="C1722" t="str">
            <v>Despesas de Viagens - Outros</v>
          </cell>
          <cell r="D1722">
            <v>4511.32</v>
          </cell>
          <cell r="E1722">
            <v>12490.7</v>
          </cell>
          <cell r="F1722">
            <v>0</v>
          </cell>
          <cell r="G1722">
            <v>17002.02</v>
          </cell>
        </row>
        <row r="1723">
          <cell r="B1723">
            <v>42627</v>
          </cell>
          <cell r="C1723" t="str">
            <v>Assinaturas Banco de Dados e Portais</v>
          </cell>
          <cell r="D1723">
            <v>504569.63</v>
          </cell>
          <cell r="E1723">
            <v>143974.22</v>
          </cell>
          <cell r="F1723">
            <v>0</v>
          </cell>
          <cell r="G1723">
            <v>648543.85</v>
          </cell>
        </row>
        <row r="1724">
          <cell r="B1724">
            <v>42628</v>
          </cell>
          <cell r="C1724" t="str">
            <v>Donativos e Contribuições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B1725">
            <v>42629</v>
          </cell>
          <cell r="C1725" t="str">
            <v>Despesas Legais e Judiciais</v>
          </cell>
          <cell r="D1725">
            <v>1658.32</v>
          </cell>
          <cell r="E1725">
            <v>112.88</v>
          </cell>
          <cell r="F1725">
            <v>0</v>
          </cell>
          <cell r="G1725">
            <v>1771.2</v>
          </cell>
        </row>
        <row r="1726">
          <cell r="B1726">
            <v>426210</v>
          </cell>
          <cell r="C1726" t="str">
            <v>Despesa de Viagem ao Exterior</v>
          </cell>
          <cell r="D1726">
            <v>64001.34</v>
          </cell>
          <cell r="E1726">
            <v>0</v>
          </cell>
          <cell r="F1726">
            <v>0</v>
          </cell>
          <cell r="G1726">
            <v>64001.34</v>
          </cell>
        </row>
        <row r="1727">
          <cell r="B1727">
            <v>426211</v>
          </cell>
          <cell r="C1727" t="str">
            <v>Doação de Livros Técnicos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B1728">
            <v>426212</v>
          </cell>
          <cell r="C1728" t="str">
            <v>DESPESAS NAO DEDUTIVEIS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B1729">
            <v>426213</v>
          </cell>
          <cell r="C1729" t="str">
            <v>DESPESAS NÃO DEDUTIVEIS</v>
          </cell>
          <cell r="D1729">
            <v>39560.300000000003</v>
          </cell>
          <cell r="E1729">
            <v>0</v>
          </cell>
          <cell r="F1729">
            <v>0</v>
          </cell>
          <cell r="G1729">
            <v>39560.300000000003</v>
          </cell>
        </row>
        <row r="1730">
          <cell r="B1730">
            <v>426214</v>
          </cell>
          <cell r="C1730" t="str">
            <v>Honorários Comite de Auditoria</v>
          </cell>
          <cell r="D1730">
            <v>42226.8</v>
          </cell>
          <cell r="E1730">
            <v>10556.7</v>
          </cell>
          <cell r="F1730">
            <v>0</v>
          </cell>
          <cell r="G1730">
            <v>52783.5</v>
          </cell>
        </row>
        <row r="1731">
          <cell r="B1731">
            <v>426215</v>
          </cell>
          <cell r="C1731" t="str">
            <v>Seguro de Responsabilidade Cívil</v>
          </cell>
          <cell r="D1731">
            <v>75194.34</v>
          </cell>
          <cell r="E1731">
            <v>16532.09</v>
          </cell>
          <cell r="F1731">
            <v>0</v>
          </cell>
          <cell r="G1731">
            <v>91726.43</v>
          </cell>
        </row>
        <row r="1732">
          <cell r="B1732">
            <v>4262998</v>
          </cell>
          <cell r="C1732" t="str">
            <v>(-) Reemb. de desp. Gerais da Administ.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B1733">
            <v>4262999</v>
          </cell>
          <cell r="C1733" t="str">
            <v>Outras Despesas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B1734">
            <v>4262101</v>
          </cell>
          <cell r="C1734" t="str">
            <v>Despesas com Concurso Publico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B1735">
            <v>427</v>
          </cell>
          <cell r="C1735" t="str">
            <v>Despesas Financeiras</v>
          </cell>
          <cell r="D1735">
            <v>373611.44</v>
          </cell>
          <cell r="E1735">
            <v>89619.45</v>
          </cell>
          <cell r="F1735">
            <v>0</v>
          </cell>
          <cell r="G1735">
            <v>463230.89</v>
          </cell>
        </row>
        <row r="1736">
          <cell r="B1736">
            <v>42701</v>
          </cell>
          <cell r="C1736" t="str">
            <v>Despesas Financeiras</v>
          </cell>
          <cell r="D1736">
            <v>373611.44</v>
          </cell>
          <cell r="E1736">
            <v>89619.45</v>
          </cell>
          <cell r="F1736">
            <v>0</v>
          </cell>
          <cell r="G1736">
            <v>463230.89</v>
          </cell>
        </row>
        <row r="1737">
          <cell r="B1737">
            <v>42711</v>
          </cell>
          <cell r="C1737" t="str">
            <v>Juros Pagos ou Incorridos</v>
          </cell>
          <cell r="D1737">
            <v>3.15</v>
          </cell>
          <cell r="E1737">
            <v>0</v>
          </cell>
          <cell r="F1737">
            <v>0</v>
          </cell>
          <cell r="G1737">
            <v>3.15</v>
          </cell>
        </row>
        <row r="1738">
          <cell r="B1738">
            <v>42712</v>
          </cell>
          <cell r="C1738" t="str">
            <v>Descontos Concedidos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B1739">
            <v>42713</v>
          </cell>
          <cell r="C1739" t="str">
            <v>Comissões e Despesas Bancárias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B1740">
            <v>42714</v>
          </cell>
          <cell r="C1740" t="str">
            <v>Variações Monetárias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B1741">
            <v>42715</v>
          </cell>
          <cell r="C1741" t="str">
            <v>Despesas Financeiras Comerciais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B1742">
            <v>42716</v>
          </cell>
          <cell r="C1742" t="str">
            <v>Multas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B1743">
            <v>42717</v>
          </cell>
          <cell r="C1743" t="str">
            <v>CPMF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B1744">
            <v>42718</v>
          </cell>
          <cell r="C1744" t="str">
            <v>Perda na Venda de Ações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B1745">
            <v>42719</v>
          </cell>
          <cell r="C1745" t="str">
            <v>Despesa c/Juros s/Capital Próprio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B1746">
            <v>427110</v>
          </cell>
          <cell r="C1746" t="str">
            <v>Multas Indedutiveis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B1747">
            <v>42720</v>
          </cell>
          <cell r="C1747" t="str">
            <v>Prov. Contingências Variações Monetárias</v>
          </cell>
          <cell r="D1747">
            <v>373608.29</v>
          </cell>
          <cell r="E1747">
            <v>89619.45</v>
          </cell>
          <cell r="F1747">
            <v>0</v>
          </cell>
          <cell r="G1747">
            <v>463227.74</v>
          </cell>
        </row>
        <row r="1748">
          <cell r="B1748">
            <v>427121</v>
          </cell>
          <cell r="C1748" t="str">
            <v>Prov. Contingências Multas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B1749">
            <v>4271999</v>
          </cell>
          <cell r="C1749" t="str">
            <v>Outras Despesas Financeiras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B1750">
            <v>428</v>
          </cell>
          <cell r="C1750" t="str">
            <v>Despesas com Indenizações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B1751">
            <v>4281</v>
          </cell>
          <cell r="C1751" t="str">
            <v>Indenizações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B1752">
            <v>42811</v>
          </cell>
          <cell r="C1752" t="str">
            <v>Indenizações Trabalhistas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B1753">
            <v>42812</v>
          </cell>
          <cell r="C1753" t="str">
            <v>Indenizações Civeis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B1754">
            <v>42813</v>
          </cell>
          <cell r="C1754" t="str">
            <v>Indenizações Fiscais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B1755">
            <v>429</v>
          </cell>
          <cell r="C1755" t="str">
            <v>Outras Despesas</v>
          </cell>
          <cell r="D1755">
            <v>600000</v>
          </cell>
          <cell r="E1755">
            <v>0</v>
          </cell>
          <cell r="F1755">
            <v>0</v>
          </cell>
          <cell r="G1755">
            <v>600000</v>
          </cell>
        </row>
        <row r="1756">
          <cell r="B1756">
            <v>4291</v>
          </cell>
          <cell r="C1756" t="str">
            <v>Perdas de Alienação de Investimento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B1757">
            <v>42911</v>
          </cell>
          <cell r="C1757" t="str">
            <v>Result. Negativo Venda de Investimentos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B1758">
            <v>4292</v>
          </cell>
          <cell r="C1758" t="str">
            <v>Perdas de Equivalência Patrimonial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B1759">
            <v>42921</v>
          </cell>
          <cell r="C1759" t="str">
            <v>Result.Negativo Equivalência Patrimonial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B1760">
            <v>4293</v>
          </cell>
          <cell r="C1760" t="str">
            <v>Perdas na Alienação de Imobilizado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B1761">
            <v>42931</v>
          </cell>
          <cell r="C1761" t="str">
            <v>Result. Negativo na Venda de Imobilizado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B1762">
            <v>42932</v>
          </cell>
          <cell r="C1762" t="str">
            <v>PERDA DE BENS NO IMOBILIZADO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B1763">
            <v>42933</v>
          </cell>
          <cell r="C1763" t="str">
            <v>PERDA DE BENS NO IMOBILIZADO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B1764">
            <v>4294</v>
          </cell>
          <cell r="C1764" t="str">
            <v>Perdas na Alienação de Diferido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B1765">
            <v>42941</v>
          </cell>
          <cell r="C1765" t="str">
            <v>Resultado Negativo na Venda de Diferido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B1766">
            <v>4296</v>
          </cell>
          <cell r="C1766" t="str">
            <v>Participações nos Lucros ou  Resultados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B1767">
            <v>42961</v>
          </cell>
          <cell r="C1767" t="str">
            <v>Empregados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B1768">
            <v>42962</v>
          </cell>
          <cell r="C1768" t="str">
            <v>Administradores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B1769">
            <v>4298</v>
          </cell>
          <cell r="C1769" t="str">
            <v>Reversão de Juros s/Capital Proprio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B1770">
            <v>42981</v>
          </cell>
          <cell r="C1770" t="str">
            <v>Reversão de Juros s/Capital Proprio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B1771">
            <v>4299</v>
          </cell>
          <cell r="C1771" t="str">
            <v>Perdas com Bens do Ativo Permanente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B1772">
            <v>42991</v>
          </cell>
          <cell r="C1772" t="str">
            <v>Perdas com Alienações - Investimento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B1773">
            <v>42992</v>
          </cell>
          <cell r="C1773" t="str">
            <v>Perdas com Alienações - Imobilizado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B1774">
            <v>42993</v>
          </cell>
          <cell r="C1774" t="str">
            <v>Perdas com Alienações - Intangível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B1775">
            <v>42994</v>
          </cell>
          <cell r="C1775" t="str">
            <v>Perdas com Extravio de Bens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B1776">
            <v>42995</v>
          </cell>
          <cell r="C1776" t="str">
            <v>Perdas com Obsolescência de Bens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B1777">
            <v>42996</v>
          </cell>
          <cell r="C1777" t="str">
            <v>INVENTARIO FISICO  - AJUSTE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B1778">
            <v>42934</v>
          </cell>
          <cell r="C1778" t="str">
            <v>Doações de Imobilizado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B1779">
            <v>42998</v>
          </cell>
          <cell r="C1779" t="str">
            <v>Redução ao Valor Recuperável Impairment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42910</v>
          </cell>
          <cell r="C1780" t="str">
            <v>Despesas Concurso Público</v>
          </cell>
          <cell r="D1780">
            <v>600000</v>
          </cell>
          <cell r="E1780">
            <v>0</v>
          </cell>
          <cell r="F1780">
            <v>0</v>
          </cell>
          <cell r="G1780">
            <v>600000</v>
          </cell>
        </row>
        <row r="1781">
          <cell r="B1781">
            <v>429101</v>
          </cell>
          <cell r="C1781" t="str">
            <v>Despesa de Concurso Público</v>
          </cell>
          <cell r="D1781">
            <v>600000</v>
          </cell>
          <cell r="E1781">
            <v>0</v>
          </cell>
          <cell r="F1781">
            <v>0</v>
          </cell>
          <cell r="G1781">
            <v>600000</v>
          </cell>
        </row>
        <row r="1782">
          <cell r="B1782">
            <v>5</v>
          </cell>
          <cell r="C1782" t="str">
            <v>Resultado do Período</v>
          </cell>
          <cell r="D1782">
            <v>2678790.52</v>
          </cell>
          <cell r="E1782">
            <v>0</v>
          </cell>
          <cell r="F1782">
            <v>-1382804.03</v>
          </cell>
          <cell r="G1782">
            <v>1295986.49</v>
          </cell>
        </row>
        <row r="1783">
          <cell r="B1783">
            <v>51</v>
          </cell>
          <cell r="C1783" t="str">
            <v>Resultado do Período</v>
          </cell>
          <cell r="D1783">
            <v>2678790.52</v>
          </cell>
          <cell r="E1783">
            <v>0</v>
          </cell>
          <cell r="F1783">
            <v>-1382804.03</v>
          </cell>
          <cell r="G1783">
            <v>1295986.49</v>
          </cell>
        </row>
        <row r="1784">
          <cell r="B1784">
            <v>511</v>
          </cell>
          <cell r="C1784" t="str">
            <v>Lucro do Período</v>
          </cell>
          <cell r="D1784">
            <v>5470778.5199999996</v>
          </cell>
          <cell r="E1784">
            <v>0</v>
          </cell>
          <cell r="F1784">
            <v>0</v>
          </cell>
          <cell r="G1784">
            <v>5470778.5199999996</v>
          </cell>
        </row>
        <row r="1785">
          <cell r="B1785">
            <v>5111</v>
          </cell>
          <cell r="C1785" t="str">
            <v>Janeiro</v>
          </cell>
          <cell r="D1785">
            <v>801472.64</v>
          </cell>
          <cell r="E1785">
            <v>0</v>
          </cell>
          <cell r="F1785">
            <v>0</v>
          </cell>
          <cell r="G1785">
            <v>801472.64</v>
          </cell>
        </row>
        <row r="1786">
          <cell r="B1786">
            <v>5112</v>
          </cell>
          <cell r="C1786" t="str">
            <v>Fevereiro</v>
          </cell>
          <cell r="D1786">
            <v>935410.39</v>
          </cell>
          <cell r="E1786">
            <v>0</v>
          </cell>
          <cell r="F1786">
            <v>0</v>
          </cell>
          <cell r="G1786">
            <v>935410.39</v>
          </cell>
        </row>
        <row r="1787">
          <cell r="B1787">
            <v>5113</v>
          </cell>
          <cell r="C1787" t="str">
            <v>Março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B1788">
            <v>5114</v>
          </cell>
          <cell r="C1788" t="str">
            <v>Abril</v>
          </cell>
          <cell r="D1788">
            <v>3733895.49</v>
          </cell>
          <cell r="E1788">
            <v>0</v>
          </cell>
          <cell r="F1788">
            <v>0</v>
          </cell>
          <cell r="G1788">
            <v>3733895.49</v>
          </cell>
        </row>
        <row r="1789">
          <cell r="B1789">
            <v>5115</v>
          </cell>
          <cell r="C1789" t="str">
            <v>Maio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B1790">
            <v>5116</v>
          </cell>
          <cell r="C1790" t="str">
            <v>Junho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B1791">
            <v>5117</v>
          </cell>
          <cell r="C1791" t="str">
            <v>Julho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B1792">
            <v>5118</v>
          </cell>
          <cell r="C1792" t="str">
            <v>Agosto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B1793">
            <v>5119</v>
          </cell>
          <cell r="C1793" t="str">
            <v>Setembro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B1794">
            <v>51110</v>
          </cell>
          <cell r="C1794" t="str">
            <v>Outubro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B1795">
            <v>51111</v>
          </cell>
          <cell r="C1795" t="str">
            <v>Novembro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B1796">
            <v>51112</v>
          </cell>
          <cell r="C1796" t="str">
            <v>Dezembro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B1797">
            <v>512</v>
          </cell>
          <cell r="C1797" t="str">
            <v>Prejuízo do Período</v>
          </cell>
          <cell r="D1797">
            <v>-2791988</v>
          </cell>
          <cell r="E1797">
            <v>0</v>
          </cell>
          <cell r="F1797">
            <v>-1382804.03</v>
          </cell>
          <cell r="G1797">
            <v>4174792.03</v>
          </cell>
        </row>
        <row r="1798">
          <cell r="B1798">
            <v>5121</v>
          </cell>
          <cell r="C1798" t="str">
            <v>Janeiro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B1799">
            <v>5122</v>
          </cell>
          <cell r="C1799" t="str">
            <v>Fevereiro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B1800">
            <v>5123</v>
          </cell>
          <cell r="C1800" t="str">
            <v>Março</v>
          </cell>
          <cell r="D1800">
            <v>-2791988</v>
          </cell>
          <cell r="E1800">
            <v>0</v>
          </cell>
          <cell r="F1800">
            <v>0</v>
          </cell>
          <cell r="G1800">
            <v>2791988</v>
          </cell>
        </row>
        <row r="1801">
          <cell r="B1801">
            <v>5124</v>
          </cell>
          <cell r="C1801" t="str">
            <v>Abril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B1802">
            <v>5125</v>
          </cell>
          <cell r="C1802" t="str">
            <v>Maio</v>
          </cell>
          <cell r="D1802">
            <v>0</v>
          </cell>
          <cell r="E1802">
            <v>0</v>
          </cell>
          <cell r="F1802">
            <v>-1382804.03</v>
          </cell>
          <cell r="G1802">
            <v>1382804.03</v>
          </cell>
        </row>
        <row r="1803">
          <cell r="B1803">
            <v>5126</v>
          </cell>
          <cell r="C1803" t="str">
            <v>Junho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B1804">
            <v>5127</v>
          </cell>
          <cell r="C1804" t="str">
            <v>Julho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B1805">
            <v>5128</v>
          </cell>
          <cell r="C1805" t="str">
            <v>Agosto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B1806">
            <v>5129</v>
          </cell>
          <cell r="C1806" t="str">
            <v>Setembro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B1807">
            <v>51210</v>
          </cell>
          <cell r="C1807" t="str">
            <v>Outubro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B1808">
            <v>51211</v>
          </cell>
          <cell r="C1808" t="str">
            <v>Novembro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B1809">
            <v>51212</v>
          </cell>
          <cell r="C1809" t="str">
            <v>Dezembro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B1810">
            <v>6</v>
          </cell>
          <cell r="C1810" t="str">
            <v>RESULTADO DO EXERCÍCIO DO ANO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B1811">
            <v>61</v>
          </cell>
          <cell r="C1811" t="str">
            <v>Resultado do Exercício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</sheetData>
      <sheetData sheetId="26"/>
      <sheetData sheetId="27"/>
      <sheetData sheetId="28"/>
      <sheetData sheetId="29">
        <row r="668">
          <cell r="G668">
            <v>0</v>
          </cell>
        </row>
        <row r="1357">
          <cell r="G1357">
            <v>-26107789.34</v>
          </cell>
        </row>
        <row r="1407">
          <cell r="G1407">
            <v>0</v>
          </cell>
        </row>
        <row r="1408">
          <cell r="G1408">
            <v>-22945.54</v>
          </cell>
        </row>
        <row r="1409">
          <cell r="G1409">
            <v>0</v>
          </cell>
        </row>
        <row r="1436">
          <cell r="G1436">
            <v>26984381.649999999</v>
          </cell>
        </row>
        <row r="1449">
          <cell r="G1449">
            <v>0</v>
          </cell>
        </row>
        <row r="1451">
          <cell r="G1451">
            <v>16283.03</v>
          </cell>
        </row>
        <row r="1462">
          <cell r="G1462">
            <v>1449325.63</v>
          </cell>
        </row>
        <row r="1472">
          <cell r="G1472">
            <v>1314</v>
          </cell>
        </row>
        <row r="1566">
          <cell r="G1566">
            <v>0</v>
          </cell>
        </row>
        <row r="1589">
          <cell r="G1589">
            <v>0</v>
          </cell>
        </row>
        <row r="1590">
          <cell r="G1590">
            <v>0</v>
          </cell>
        </row>
        <row r="1601">
          <cell r="G1601">
            <v>0</v>
          </cell>
        </row>
        <row r="1612">
          <cell r="G1612">
            <v>1989</v>
          </cell>
        </row>
        <row r="1671">
          <cell r="G1671">
            <v>579989.31000000006</v>
          </cell>
        </row>
        <row r="1682">
          <cell r="G1682">
            <v>0</v>
          </cell>
        </row>
        <row r="1683">
          <cell r="G1683">
            <v>0</v>
          </cell>
        </row>
        <row r="1684">
          <cell r="G1684">
            <v>0</v>
          </cell>
        </row>
        <row r="1720">
          <cell r="G1720">
            <v>31031.3</v>
          </cell>
        </row>
        <row r="1738">
          <cell r="G1738">
            <v>283988.84000000003</v>
          </cell>
        </row>
        <row r="1739">
          <cell r="G1739">
            <v>0</v>
          </cell>
        </row>
      </sheetData>
      <sheetData sheetId="30">
        <row r="1361">
          <cell r="G1361">
            <v>-39850436.390000001</v>
          </cell>
        </row>
        <row r="1411">
          <cell r="G1411">
            <v>0</v>
          </cell>
        </row>
        <row r="1412">
          <cell r="G1412">
            <v>-22945.54</v>
          </cell>
        </row>
        <row r="1413">
          <cell r="G1413">
            <v>0</v>
          </cell>
        </row>
        <row r="1440">
          <cell r="G1440">
            <v>36816461.890000001</v>
          </cell>
        </row>
        <row r="1454">
          <cell r="G1454">
            <v>22161.22</v>
          </cell>
        </row>
        <row r="1455">
          <cell r="G1455">
            <v>24525.7</v>
          </cell>
        </row>
        <row r="1468">
          <cell r="G1468">
            <v>590849.68999999994</v>
          </cell>
        </row>
        <row r="1476">
          <cell r="G1476">
            <v>1752</v>
          </cell>
        </row>
        <row r="1570">
          <cell r="G1570">
            <v>0</v>
          </cell>
        </row>
        <row r="1593">
          <cell r="G1593">
            <v>0</v>
          </cell>
        </row>
        <row r="1594">
          <cell r="G1594">
            <v>0</v>
          </cell>
        </row>
        <row r="1608">
          <cell r="G1608">
            <v>270211.86</v>
          </cell>
        </row>
        <row r="1616">
          <cell r="G1616">
            <v>2652</v>
          </cell>
        </row>
        <row r="1676">
          <cell r="G1676">
            <v>414622.83</v>
          </cell>
        </row>
        <row r="1679">
          <cell r="G1679">
            <v>165366.48000000001</v>
          </cell>
        </row>
        <row r="1686">
          <cell r="G1686">
            <v>178512.66</v>
          </cell>
        </row>
        <row r="1687">
          <cell r="G1687">
            <v>0</v>
          </cell>
        </row>
        <row r="1688">
          <cell r="G1688">
            <v>0</v>
          </cell>
        </row>
        <row r="1724">
          <cell r="G1724">
            <v>39560.300000000003</v>
          </cell>
        </row>
        <row r="1742">
          <cell r="G1742">
            <v>373608.29</v>
          </cell>
        </row>
        <row r="1743">
          <cell r="G1743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lanilha1"/>
      <sheetName val="IRPJ_CSLL_2021"/>
      <sheetName val="12.2021"/>
      <sheetName val="11.2021"/>
      <sheetName val="10.2021"/>
      <sheetName val="01.2022"/>
      <sheetName val="02.2022"/>
      <sheetName val="EPE (2)"/>
      <sheetName val="IRPJ_CSLL_2022"/>
      <sheetName val="IRPJ_CSLL_2023"/>
      <sheetName val="09.2023"/>
      <sheetName val="08.2023"/>
      <sheetName val="07.2023"/>
      <sheetName val="06.2023"/>
      <sheetName val="EPE (3)"/>
      <sheetName val="05.2023"/>
      <sheetName val="04.2023"/>
      <sheetName val="03.2023"/>
      <sheetName val="02.2023"/>
      <sheetName val="01.2023"/>
      <sheetName val="12.2022"/>
      <sheetName val="11.2022"/>
      <sheetName val="10.2022"/>
      <sheetName val="09.2022"/>
      <sheetName val="08.2022"/>
      <sheetName val="07.2022"/>
      <sheetName val="06.2022"/>
      <sheetName val="05.2022"/>
      <sheetName val="07.2020"/>
      <sheetName val="08.2020"/>
      <sheetName val="Plan1"/>
      <sheetName val="03.2022"/>
      <sheetName val="04.2022"/>
      <sheetName val="06.2021"/>
      <sheetName val="07.2021"/>
      <sheetName val="08.2021"/>
      <sheetName val="09.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J7">
            <v>68508548.799999997</v>
          </cell>
          <cell r="K7">
            <v>77878509.329999998</v>
          </cell>
          <cell r="L7">
            <v>86966560.060000002</v>
          </cell>
        </row>
        <row r="8">
          <cell r="J8">
            <v>67932268.450000003</v>
          </cell>
          <cell r="K8">
            <v>77641537.030000001</v>
          </cell>
          <cell r="L8">
            <v>86955557.159999996</v>
          </cell>
        </row>
        <row r="10">
          <cell r="J10">
            <v>135998.71</v>
          </cell>
          <cell r="K10">
            <v>323361.78000000003</v>
          </cell>
        </row>
        <row r="13">
          <cell r="J13">
            <v>47574.65</v>
          </cell>
          <cell r="K13">
            <v>47574.65</v>
          </cell>
          <cell r="L13">
            <v>47574.65</v>
          </cell>
        </row>
        <row r="14">
          <cell r="J14">
            <v>25354.66</v>
          </cell>
          <cell r="K14">
            <v>25354.66</v>
          </cell>
          <cell r="L14">
            <v>25354.66</v>
          </cell>
        </row>
        <row r="15">
          <cell r="J15">
            <v>2996</v>
          </cell>
          <cell r="K15">
            <v>3412</v>
          </cell>
          <cell r="L15">
            <v>3828</v>
          </cell>
        </row>
        <row r="16">
          <cell r="J16">
            <v>0</v>
          </cell>
          <cell r="K16">
            <v>0</v>
          </cell>
          <cell r="L16">
            <v>0</v>
          </cell>
        </row>
        <row r="17">
          <cell r="J17">
            <v>57368.88</v>
          </cell>
          <cell r="K17">
            <v>84127.62</v>
          </cell>
          <cell r="L17">
            <v>84127.62</v>
          </cell>
        </row>
        <row r="18">
          <cell r="J18">
            <v>0</v>
          </cell>
          <cell r="K18">
            <v>0</v>
          </cell>
          <cell r="L18">
            <v>0</v>
          </cell>
        </row>
        <row r="19">
          <cell r="J19">
            <v>4582</v>
          </cell>
          <cell r="K19">
            <v>5200</v>
          </cell>
          <cell r="L19">
            <v>5818</v>
          </cell>
        </row>
        <row r="20">
          <cell r="J20">
            <v>178512.66</v>
          </cell>
          <cell r="K20">
            <v>178512.66</v>
          </cell>
          <cell r="L20">
            <v>228883.71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J22">
            <v>0</v>
          </cell>
          <cell r="K22">
            <v>0</v>
          </cell>
          <cell r="L22">
            <v>5067.3599999999997</v>
          </cell>
        </row>
        <row r="23">
          <cell r="J23">
            <v>0</v>
          </cell>
          <cell r="K23">
            <v>0</v>
          </cell>
          <cell r="L23">
            <v>2346.3000000000002</v>
          </cell>
        </row>
        <row r="24">
          <cell r="J24">
            <v>648082.22</v>
          </cell>
          <cell r="K24">
            <v>694331.06</v>
          </cell>
          <cell r="L24">
            <v>800824.15</v>
          </cell>
        </row>
        <row r="25">
          <cell r="J25">
            <v>39560.300000000003</v>
          </cell>
          <cell r="K25">
            <v>40550.300000000003</v>
          </cell>
          <cell r="L25">
            <v>40550.300000000003</v>
          </cell>
        </row>
        <row r="26">
          <cell r="J26">
            <v>0</v>
          </cell>
          <cell r="K26">
            <v>0</v>
          </cell>
          <cell r="L26">
            <v>0</v>
          </cell>
        </row>
        <row r="29">
          <cell r="J29">
            <v>0</v>
          </cell>
          <cell r="K29">
            <v>0</v>
          </cell>
          <cell r="L29">
            <v>0</v>
          </cell>
        </row>
        <row r="30">
          <cell r="J30">
            <v>22945.54</v>
          </cell>
          <cell r="K30">
            <v>22945.54</v>
          </cell>
          <cell r="L30">
            <v>22976.05</v>
          </cell>
        </row>
        <row r="31">
          <cell r="J31">
            <v>0</v>
          </cell>
          <cell r="K31">
            <v>0</v>
          </cell>
          <cell r="L31">
            <v>0</v>
          </cell>
        </row>
        <row r="39">
          <cell r="J39">
            <v>267519.27420000022</v>
          </cell>
        </row>
        <row r="88">
          <cell r="J88">
            <v>47574.65</v>
          </cell>
          <cell r="K88">
            <v>47574.65</v>
          </cell>
          <cell r="L88">
            <v>47574.65</v>
          </cell>
        </row>
        <row r="89">
          <cell r="J89">
            <v>25354.66</v>
          </cell>
          <cell r="K89">
            <v>25354.66</v>
          </cell>
          <cell r="L89">
            <v>25354.66</v>
          </cell>
        </row>
        <row r="90">
          <cell r="J90">
            <v>57368.88</v>
          </cell>
          <cell r="K90">
            <v>84127.62</v>
          </cell>
          <cell r="L90">
            <v>84127.62</v>
          </cell>
        </row>
        <row r="91">
          <cell r="J91">
            <v>0</v>
          </cell>
          <cell r="L91">
            <v>0</v>
          </cell>
        </row>
      </sheetData>
      <sheetData sheetId="10">
        <row r="7">
          <cell r="J7">
            <v>74616030.650000006</v>
          </cell>
          <cell r="K7">
            <v>84809863.290000007</v>
          </cell>
        </row>
        <row r="8">
          <cell r="J8">
            <v>73443255.859999999</v>
          </cell>
          <cell r="K8">
            <v>83438090.099999994</v>
          </cell>
        </row>
        <row r="10">
          <cell r="J10">
            <v>874334.08</v>
          </cell>
          <cell r="K10">
            <v>641593.48</v>
          </cell>
          <cell r="L10">
            <v>755084.83000000007</v>
          </cell>
        </row>
        <row r="13">
          <cell r="J13">
            <v>15848.95</v>
          </cell>
          <cell r="K13">
            <v>33396</v>
          </cell>
        </row>
        <row r="14">
          <cell r="J14">
            <v>51621.279999999999</v>
          </cell>
          <cell r="K14">
            <v>59872.6</v>
          </cell>
        </row>
        <row r="15">
          <cell r="J15">
            <v>2360</v>
          </cell>
          <cell r="K15">
            <v>2690</v>
          </cell>
        </row>
        <row r="16">
          <cell r="J16">
            <v>0</v>
          </cell>
          <cell r="K16">
            <v>0</v>
          </cell>
        </row>
        <row r="17">
          <cell r="J17">
            <v>27764.2</v>
          </cell>
          <cell r="K17">
            <v>43415.91</v>
          </cell>
        </row>
        <row r="18">
          <cell r="J18">
            <v>7573.41</v>
          </cell>
          <cell r="K18">
            <v>7573.41</v>
          </cell>
        </row>
        <row r="19">
          <cell r="J19">
            <v>4374</v>
          </cell>
          <cell r="K19">
            <v>4997</v>
          </cell>
        </row>
        <row r="20">
          <cell r="J20">
            <v>16350.89</v>
          </cell>
          <cell r="K20">
            <v>16350.89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1070802.1399999999</v>
          </cell>
          <cell r="K24">
            <v>1179238.45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9">
          <cell r="J29">
            <v>0</v>
          </cell>
          <cell r="K29">
            <v>0</v>
          </cell>
          <cell r="L29">
            <v>12400</v>
          </cell>
        </row>
        <row r="30">
          <cell r="J30">
            <v>0</v>
          </cell>
          <cell r="K30">
            <v>0</v>
          </cell>
          <cell r="L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</row>
        <row r="73">
          <cell r="K73">
            <v>0</v>
          </cell>
        </row>
        <row r="74">
          <cell r="K74">
            <v>0</v>
          </cell>
        </row>
        <row r="87">
          <cell r="J87">
            <v>13623.975708000029</v>
          </cell>
          <cell r="K87">
            <v>14115.783906000055</v>
          </cell>
          <cell r="L87">
            <v>16948.462902000003</v>
          </cell>
        </row>
        <row r="88">
          <cell r="J88">
            <v>15848.95</v>
          </cell>
          <cell r="K88">
            <v>33396</v>
          </cell>
          <cell r="L88">
            <v>33962.03</v>
          </cell>
        </row>
        <row r="89">
          <cell r="J89">
            <v>51621.279999999999</v>
          </cell>
          <cell r="K89">
            <v>59872.6</v>
          </cell>
          <cell r="L89">
            <v>59872.6</v>
          </cell>
        </row>
        <row r="90">
          <cell r="J90">
            <v>27764.2</v>
          </cell>
          <cell r="K90">
            <v>43415.91</v>
          </cell>
          <cell r="L90">
            <v>53008.9</v>
          </cell>
        </row>
        <row r="91">
          <cell r="J91">
            <v>7573.41</v>
          </cell>
          <cell r="K91">
            <v>7573.41</v>
          </cell>
          <cell r="L91">
            <v>23536.07</v>
          </cell>
        </row>
        <row r="103">
          <cell r="J103">
            <v>4403156.1400000025</v>
          </cell>
          <cell r="K103">
            <v>4403156.1400000025</v>
          </cell>
          <cell r="L103">
            <v>4403156.1399999997</v>
          </cell>
        </row>
        <row r="109">
          <cell r="J109">
            <v>928611.32</v>
          </cell>
          <cell r="K109">
            <v>1078374.54</v>
          </cell>
          <cell r="L109">
            <v>1233061.29</v>
          </cell>
        </row>
        <row r="110">
          <cell r="J110">
            <v>426343.29</v>
          </cell>
          <cell r="K110">
            <v>495210.91</v>
          </cell>
          <cell r="L110">
            <v>565875.39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PL"/>
      <sheetName val="Balancete 09.2022"/>
      <sheetName val="BP"/>
      <sheetName val="DRE"/>
      <sheetName val="DRA"/>
      <sheetName val="DMPL"/>
      <sheetName val="DFC"/>
      <sheetName val="DVA"/>
      <sheetName val="Mov imob"/>
      <sheetName val="DF's"/>
      <sheetName val="Instrumentos financeiros "/>
      <sheetName val="Razão Provisões p. Contigências"/>
      <sheetName val="Impostos a recuperar"/>
      <sheetName val="Depositos judiciais"/>
    </sheetNames>
    <sheetDataSet>
      <sheetData sheetId="0"/>
      <sheetData sheetId="1"/>
      <sheetData sheetId="2"/>
      <sheetData sheetId="3">
        <row r="35">
          <cell r="D35">
            <v>2789</v>
          </cell>
          <cell r="F35">
            <v>2571</v>
          </cell>
        </row>
        <row r="41">
          <cell r="D41">
            <v>6982</v>
          </cell>
          <cell r="F41">
            <v>6185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tiane Schmitz" id="{25122906-14ED-46C1-BE28-EA1DADF051C7}" userId="Tatiane Schmitz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5" dT="2022-05-22T14:07:06.96" personId="{25122906-14ED-46C1-BE28-EA1DADF051C7}" id="{5A730DC5-F1A6-41A5-AACA-397F6B1BA4D9}">
    <text>Quando forem ajustar essa diferença precisa verificar os efeitos na DFC e DVA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O56"/>
  <sheetViews>
    <sheetView showGridLines="0" showZeros="0" tabSelected="1" zoomScaleNormal="100" workbookViewId="0">
      <selection activeCell="J13" sqref="J13"/>
    </sheetView>
  </sheetViews>
  <sheetFormatPr defaultColWidth="9.140625" defaultRowHeight="12.75" x14ac:dyDescent="0.2"/>
  <cols>
    <col min="1" max="1" width="2.140625" style="15" customWidth="1"/>
    <col min="2" max="2" width="37.28515625" style="15" customWidth="1"/>
    <col min="3" max="3" width="12.140625" style="15" customWidth="1"/>
    <col min="4" max="4" width="17.42578125" style="16" customWidth="1"/>
    <col min="5" max="5" width="2.7109375" style="16" customWidth="1"/>
    <col min="6" max="6" width="17.42578125" style="16" customWidth="1"/>
    <col min="7" max="7" width="9.140625" style="15"/>
    <col min="8" max="8" width="9.140625" style="1" hidden="1" customWidth="1"/>
    <col min="9" max="9" width="9.140625" style="15"/>
    <col min="10" max="10" width="10.28515625" style="15" bestFit="1" customWidth="1"/>
    <col min="11" max="11" width="11.42578125" style="205" bestFit="1" customWidth="1"/>
    <col min="12" max="12" width="10.42578125" style="205" bestFit="1" customWidth="1"/>
    <col min="13" max="13" width="9.140625" style="205"/>
    <col min="14" max="14" width="10.28515625" style="205" bestFit="1" customWidth="1"/>
    <col min="15" max="16384" width="9.140625" style="15"/>
  </cols>
  <sheetData>
    <row r="1" spans="2:15" x14ac:dyDescent="0.2">
      <c r="B1" s="650"/>
      <c r="C1" s="650"/>
      <c r="D1" s="650"/>
      <c r="E1" s="650"/>
      <c r="F1" s="650"/>
    </row>
    <row r="2" spans="2:15" x14ac:dyDescent="0.2">
      <c r="B2" s="650" t="s">
        <v>0</v>
      </c>
      <c r="C2" s="650"/>
      <c r="D2" s="650"/>
      <c r="E2" s="650"/>
      <c r="F2" s="650"/>
    </row>
    <row r="3" spans="2:15" x14ac:dyDescent="0.2">
      <c r="B3" s="651" t="s">
        <v>1</v>
      </c>
      <c r="C3" s="651"/>
      <c r="D3" s="651"/>
      <c r="E3" s="651"/>
      <c r="F3" s="651"/>
    </row>
    <row r="4" spans="2:15" x14ac:dyDescent="0.2">
      <c r="B4" s="650" t="s">
        <v>2</v>
      </c>
      <c r="C4" s="650"/>
      <c r="D4" s="650"/>
      <c r="E4" s="650"/>
      <c r="F4" s="650"/>
    </row>
    <row r="5" spans="2:15" x14ac:dyDescent="0.2">
      <c r="B5" s="651" t="s">
        <v>522</v>
      </c>
      <c r="C5" s="651"/>
      <c r="D5" s="651"/>
      <c r="E5" s="651"/>
      <c r="F5" s="651"/>
    </row>
    <row r="6" spans="2:15" ht="13.5" thickBot="1" x14ac:dyDescent="0.25">
      <c r="C6" s="106" t="s">
        <v>304</v>
      </c>
      <c r="D6" s="40">
        <v>45199</v>
      </c>
      <c r="E6" s="33"/>
      <c r="F6" s="40">
        <v>44926</v>
      </c>
    </row>
    <row r="7" spans="2:15" x14ac:dyDescent="0.2">
      <c r="B7" s="27" t="s">
        <v>3</v>
      </c>
    </row>
    <row r="8" spans="2:15" x14ac:dyDescent="0.2">
      <c r="O8" s="205"/>
    </row>
    <row r="9" spans="2:15" x14ac:dyDescent="0.2">
      <c r="B9" s="27" t="s">
        <v>4</v>
      </c>
      <c r="O9" s="205"/>
    </row>
    <row r="10" spans="2:15" x14ac:dyDescent="0.2">
      <c r="B10" s="28" t="s">
        <v>5</v>
      </c>
      <c r="C10" s="108">
        <v>5</v>
      </c>
      <c r="D10" s="8">
        <f>SUMIF('Balancete 09.2023'!C:C,1112,'Balancete 09.2023'!K:K)</f>
        <v>38118</v>
      </c>
      <c r="E10" s="8"/>
      <c r="F10" s="13">
        <v>30622</v>
      </c>
      <c r="G10" s="13"/>
      <c r="H10" s="11">
        <f>F10-D10</f>
        <v>-7496</v>
      </c>
      <c r="I10" s="13"/>
      <c r="J10" s="13"/>
      <c r="O10" s="205"/>
    </row>
    <row r="11" spans="2:15" x14ac:dyDescent="0.2">
      <c r="B11" s="28" t="s">
        <v>7</v>
      </c>
      <c r="C11" s="108">
        <v>6</v>
      </c>
      <c r="D11" s="8">
        <f>SUMIF('Balancete 09.2023'!C:C,1123,'Balancete 09.2023'!K:K)</f>
        <v>2797</v>
      </c>
      <c r="E11" s="8"/>
      <c r="F11" s="13">
        <v>1526</v>
      </c>
      <c r="G11" s="13"/>
      <c r="H11" s="284">
        <f t="shared" ref="H11:H13" si="0">F11-D11</f>
        <v>-1271</v>
      </c>
      <c r="I11" s="13"/>
      <c r="J11" s="13"/>
      <c r="O11" s="205"/>
    </row>
    <row r="12" spans="2:15" x14ac:dyDescent="0.2">
      <c r="B12" s="28" t="s">
        <v>8</v>
      </c>
      <c r="C12" s="108">
        <v>7</v>
      </c>
      <c r="D12" s="8">
        <f>SUM(SUMIF('Balancete 09.2023'!C:C,1124,'Balancete 09.2023'!K:K),SUMIF('Balancete 09.2023'!C:C,1129,'Balancete 09.2023'!K:K),SUMIF('Balancete 09.2023'!C:C,1125,'Balancete 09.2023'!K:K))</f>
        <v>2493</v>
      </c>
      <c r="E12" s="8"/>
      <c r="F12" s="13">
        <v>792</v>
      </c>
      <c r="G12" s="13"/>
      <c r="H12" s="243">
        <f t="shared" si="0"/>
        <v>-1701</v>
      </c>
      <c r="I12" s="13"/>
      <c r="J12" s="13"/>
      <c r="O12" s="205"/>
    </row>
    <row r="13" spans="2:15" x14ac:dyDescent="0.2">
      <c r="B13" s="28" t="s">
        <v>86</v>
      </c>
      <c r="C13" s="108">
        <v>8</v>
      </c>
      <c r="D13" s="8">
        <f>SUMIF('Balancete 09.2023'!C:C,113,'Balancete 09.2023'!K:K)</f>
        <v>2727</v>
      </c>
      <c r="E13" s="8"/>
      <c r="F13" s="13">
        <v>2579</v>
      </c>
      <c r="G13" s="13"/>
      <c r="H13" s="243">
        <f t="shared" si="0"/>
        <v>-148</v>
      </c>
      <c r="I13" s="13"/>
      <c r="J13" s="13"/>
      <c r="O13" s="205"/>
    </row>
    <row r="14" spans="2:15" hidden="1" x14ac:dyDescent="0.2">
      <c r="B14" s="28" t="s">
        <v>9</v>
      </c>
      <c r="C14" s="29"/>
      <c r="D14" s="8">
        <f>SUMIF('Balancete 09.2023'!C:C,11299,'Balancete 09.2023'!K:K)</f>
        <v>0</v>
      </c>
      <c r="E14" s="8"/>
      <c r="F14" s="8">
        <v>0</v>
      </c>
      <c r="G14" s="13"/>
      <c r="I14" s="13"/>
      <c r="J14" s="205"/>
      <c r="O14" s="205"/>
    </row>
    <row r="15" spans="2:15" x14ac:dyDescent="0.2">
      <c r="C15" s="30"/>
      <c r="D15" s="24">
        <f>SUM(D10:D14)</f>
        <v>46135</v>
      </c>
      <c r="E15" s="8"/>
      <c r="F15" s="24">
        <f>SUM(F10:F14)</f>
        <v>35519</v>
      </c>
      <c r="G15" s="13"/>
      <c r="O15" s="205"/>
    </row>
    <row r="16" spans="2:15" x14ac:dyDescent="0.2">
      <c r="C16" s="30"/>
      <c r="D16" s="7"/>
      <c r="E16" s="8"/>
      <c r="F16" s="7"/>
      <c r="G16" s="13"/>
      <c r="O16" s="205"/>
    </row>
    <row r="17" spans="2:15" x14ac:dyDescent="0.2">
      <c r="B17" s="27" t="s">
        <v>10</v>
      </c>
      <c r="C17" s="30"/>
      <c r="D17" s="6"/>
      <c r="E17" s="8"/>
      <c r="F17" s="6"/>
      <c r="G17" s="13"/>
      <c r="O17" s="205"/>
    </row>
    <row r="18" spans="2:15" s="31" customFormat="1" x14ac:dyDescent="0.2">
      <c r="B18" s="32" t="s">
        <v>1149</v>
      </c>
      <c r="C18" s="30"/>
      <c r="D18" s="8"/>
      <c r="E18" s="13"/>
      <c r="F18" s="8"/>
      <c r="G18" s="13"/>
      <c r="H18" s="282"/>
      <c r="K18" s="205"/>
      <c r="L18" s="205"/>
      <c r="M18" s="205"/>
      <c r="N18" s="205"/>
      <c r="O18" s="205"/>
    </row>
    <row r="19" spans="2:15" s="31" customFormat="1" x14ac:dyDescent="0.2">
      <c r="B19" s="28" t="s">
        <v>7</v>
      </c>
      <c r="C19" s="108">
        <v>6</v>
      </c>
      <c r="D19" s="8">
        <f>SUMIF('Balancete 09.2023'!C:C,1213,'Balancete 09.2023'!K:K)</f>
        <v>177</v>
      </c>
      <c r="E19" s="13"/>
      <c r="F19" s="13">
        <v>164</v>
      </c>
      <c r="G19" s="13"/>
      <c r="H19" s="284">
        <f t="shared" ref="H19:H23" si="1">F19-D19</f>
        <v>-13</v>
      </c>
      <c r="J19" s="13"/>
      <c r="K19" s="205"/>
      <c r="L19" s="205"/>
      <c r="M19" s="205"/>
      <c r="N19" s="205"/>
      <c r="O19" s="205"/>
    </row>
    <row r="20" spans="2:15" x14ac:dyDescent="0.2">
      <c r="B20" s="28" t="s">
        <v>11</v>
      </c>
      <c r="C20" s="108">
        <v>9</v>
      </c>
      <c r="D20" s="8">
        <f>SUMIF('Balancete 09.2023'!C:C,1218,'Balancete 09.2023'!K:K)</f>
        <v>4676</v>
      </c>
      <c r="E20" s="8"/>
      <c r="F20" s="13">
        <v>4399</v>
      </c>
      <c r="G20" s="13"/>
      <c r="H20" s="11">
        <f>F20-D20</f>
        <v>-277</v>
      </c>
      <c r="I20" s="31"/>
      <c r="J20" s="13"/>
      <c r="O20" s="205"/>
    </row>
    <row r="21" spans="2:15" x14ac:dyDescent="0.2">
      <c r="B21" s="28" t="s">
        <v>284</v>
      </c>
      <c r="C21" s="108">
        <v>8</v>
      </c>
      <c r="D21" s="8">
        <f>SUMIF('Balancete 09.2023'!C:C,1216,'Balancete 09.2023'!I:I)</f>
        <v>0</v>
      </c>
      <c r="E21" s="8"/>
      <c r="F21" s="13">
        <v>281</v>
      </c>
      <c r="G21" s="13"/>
      <c r="H21" s="243">
        <f t="shared" si="1"/>
        <v>281</v>
      </c>
      <c r="I21" s="31"/>
      <c r="J21" s="13"/>
      <c r="K21" s="262"/>
      <c r="O21" s="205"/>
    </row>
    <row r="22" spans="2:15" x14ac:dyDescent="0.2">
      <c r="B22" s="32" t="s">
        <v>12</v>
      </c>
      <c r="C22" s="108">
        <v>10</v>
      </c>
      <c r="D22" s="8">
        <f>SUMIF('Balancete 09.2023'!C:C,123,'Balancete 09.2023'!K:K)</f>
        <v>5808</v>
      </c>
      <c r="E22" s="8"/>
      <c r="F22" s="13">
        <v>6831</v>
      </c>
      <c r="G22" s="13"/>
      <c r="H22" s="243">
        <f>F22-D22</f>
        <v>1023</v>
      </c>
      <c r="I22" s="31"/>
      <c r="J22" s="13"/>
      <c r="O22" s="205"/>
    </row>
    <row r="23" spans="2:15" x14ac:dyDescent="0.2">
      <c r="B23" s="32" t="s">
        <v>13</v>
      </c>
      <c r="C23" s="108">
        <v>11</v>
      </c>
      <c r="D23" s="8">
        <f>SUMIF('Balancete 09.2023'!C:C,124,'Balancete 09.2023'!K:K)</f>
        <v>3044</v>
      </c>
      <c r="E23" s="8"/>
      <c r="F23" s="13">
        <v>4179</v>
      </c>
      <c r="G23" s="13"/>
      <c r="H23" s="243">
        <f t="shared" si="1"/>
        <v>1135</v>
      </c>
      <c r="I23" s="31"/>
      <c r="J23" s="13"/>
      <c r="O23" s="205"/>
    </row>
    <row r="24" spans="2:15" x14ac:dyDescent="0.2">
      <c r="C24" s="30"/>
      <c r="D24" s="24">
        <f>SUM(D19:D23)</f>
        <v>13705</v>
      </c>
      <c r="E24" s="8"/>
      <c r="F24" s="24">
        <f>SUM(F19:F23)</f>
        <v>15854</v>
      </c>
      <c r="G24" s="13"/>
    </row>
    <row r="25" spans="2:15" x14ac:dyDescent="0.2">
      <c r="C25" s="30"/>
      <c r="D25" s="7"/>
      <c r="E25" s="8"/>
      <c r="F25" s="7"/>
      <c r="G25" s="13"/>
    </row>
    <row r="26" spans="2:15" x14ac:dyDescent="0.2">
      <c r="C26" s="30"/>
      <c r="D26" s="7"/>
      <c r="E26" s="8"/>
      <c r="F26" s="7"/>
      <c r="G26" s="13"/>
    </row>
    <row r="27" spans="2:15" ht="13.5" thickBot="1" x14ac:dyDescent="0.25">
      <c r="B27" s="33" t="s">
        <v>14</v>
      </c>
      <c r="C27" s="34"/>
      <c r="D27" s="5">
        <f>D15+D24</f>
        <v>59840</v>
      </c>
      <c r="E27" s="7"/>
      <c r="F27" s="5">
        <f>F15+F24</f>
        <v>51373</v>
      </c>
      <c r="G27" s="13"/>
    </row>
    <row r="28" spans="2:15" ht="13.5" thickTop="1" x14ac:dyDescent="0.2">
      <c r="C28" s="30"/>
      <c r="D28" s="7"/>
      <c r="E28" s="35"/>
      <c r="F28" s="7"/>
      <c r="G28" s="13"/>
      <c r="K28" s="37"/>
      <c r="L28" s="37"/>
      <c r="M28" s="37"/>
      <c r="N28" s="37"/>
    </row>
    <row r="29" spans="2:15" x14ac:dyDescent="0.2">
      <c r="B29" s="27" t="s">
        <v>15</v>
      </c>
      <c r="C29" s="30"/>
      <c r="D29" s="13"/>
      <c r="E29" s="13"/>
      <c r="F29" s="13"/>
      <c r="G29" s="13"/>
      <c r="K29" s="37"/>
      <c r="L29" s="37"/>
      <c r="M29" s="37"/>
      <c r="N29" s="37"/>
    </row>
    <row r="30" spans="2:15" x14ac:dyDescent="0.2">
      <c r="B30" s="36" t="s">
        <v>4</v>
      </c>
      <c r="C30" s="30"/>
      <c r="D30" s="13"/>
      <c r="E30" s="13"/>
      <c r="F30" s="13"/>
      <c r="G30" s="13"/>
      <c r="K30" s="37"/>
      <c r="L30" s="37"/>
      <c r="M30" s="37"/>
      <c r="N30" s="37"/>
    </row>
    <row r="31" spans="2:15" x14ac:dyDescent="0.2">
      <c r="B31" s="28" t="s">
        <v>16</v>
      </c>
      <c r="C31" s="108">
        <v>12</v>
      </c>
      <c r="D31" s="8">
        <f>-SUMIF('Balancete 09.2023'!C:C,2114,'Balancete 09.2023'!K:K)</f>
        <v>805</v>
      </c>
      <c r="E31" s="8"/>
      <c r="F31" s="13">
        <v>305</v>
      </c>
      <c r="G31" s="13"/>
      <c r="H31" s="243">
        <f>D31-F31</f>
        <v>500</v>
      </c>
      <c r="K31" s="37"/>
      <c r="L31" s="37"/>
      <c r="M31" s="37"/>
      <c r="N31" s="37"/>
    </row>
    <row r="32" spans="2:15" x14ac:dyDescent="0.2">
      <c r="B32" s="28" t="s">
        <v>17</v>
      </c>
      <c r="C32" s="108">
        <v>13</v>
      </c>
      <c r="D32" s="8">
        <f>-SUM(SUMIF('Balancete 09.2023'!C:C,2116,'Balancete 09.2023'!K:K),SUMIF('Balancete 09.2023'!C:C,2117,'Balancete 09.2023'!K:K))</f>
        <v>1879</v>
      </c>
      <c r="E32" s="8"/>
      <c r="F32" s="13">
        <v>986</v>
      </c>
      <c r="G32" s="13"/>
      <c r="H32" s="243">
        <f t="shared" ref="H32:H36" si="2">D32-F32</f>
        <v>893</v>
      </c>
      <c r="J32" s="13"/>
      <c r="K32" s="37"/>
      <c r="L32" s="37"/>
      <c r="M32" s="37"/>
      <c r="N32" s="37"/>
    </row>
    <row r="33" spans="2:14" x14ac:dyDescent="0.2">
      <c r="B33" s="28" t="s">
        <v>18</v>
      </c>
      <c r="C33" s="108">
        <v>14</v>
      </c>
      <c r="D33" s="8">
        <f>-SUM(SUMIF('Balancete 09.2023'!C:C,2118,'Balancete 09.2023'!K:K),-SUMIF('Balancete 09.2023'!C:C,21189,'Balancete 09.2023'!K:K))</f>
        <v>18029</v>
      </c>
      <c r="E33" s="8"/>
      <c r="F33" s="13">
        <v>14314</v>
      </c>
      <c r="G33" s="13"/>
      <c r="H33" s="243">
        <f t="shared" si="2"/>
        <v>3715</v>
      </c>
      <c r="K33" s="37"/>
      <c r="L33" s="37"/>
      <c r="M33" s="37"/>
      <c r="N33" s="37"/>
    </row>
    <row r="34" spans="2:14" x14ac:dyDescent="0.2">
      <c r="B34" s="28" t="s">
        <v>22</v>
      </c>
      <c r="C34" s="108">
        <v>15</v>
      </c>
      <c r="D34" s="8">
        <f>-SUMIF('Balancete 09.2023'!C:C,211110,'Balancete 09.2023'!K:K)</f>
        <v>0</v>
      </c>
      <c r="E34" s="8"/>
      <c r="F34" s="13">
        <v>2825</v>
      </c>
      <c r="G34" s="13"/>
      <c r="H34" s="243">
        <f t="shared" si="2"/>
        <v>-2825</v>
      </c>
      <c r="J34" s="13"/>
      <c r="K34" s="37"/>
      <c r="L34" s="37"/>
      <c r="M34" s="37"/>
      <c r="N34" s="37"/>
    </row>
    <row r="35" spans="2:14" x14ac:dyDescent="0.2">
      <c r="B35" s="28" t="s">
        <v>20</v>
      </c>
      <c r="C35" s="108"/>
      <c r="D35" s="8">
        <f>-SUMIF('Balancete 09.2023'!C:C,21114,'Balancete 09.2023'!K:K)</f>
        <v>26</v>
      </c>
      <c r="E35" s="8"/>
      <c r="F35" s="13">
        <v>26</v>
      </c>
      <c r="G35" s="13"/>
      <c r="H35" s="11">
        <f t="shared" si="2"/>
        <v>0</v>
      </c>
      <c r="K35" s="37"/>
      <c r="L35" s="37"/>
      <c r="M35" s="37"/>
      <c r="N35" s="37"/>
    </row>
    <row r="36" spans="2:14" x14ac:dyDescent="0.2">
      <c r="B36" s="28" t="s">
        <v>21</v>
      </c>
      <c r="C36" s="108">
        <v>16</v>
      </c>
      <c r="D36" s="8">
        <f>-SUM(SUMIF('Balancete 09.2023'!C:C,21115,'Balancete 09.2023'!K:K),SUMIF('Balancete 09.2023'!C:C,21189,'Balancete 09.2023'!K:K))</f>
        <v>680</v>
      </c>
      <c r="E36" s="8"/>
      <c r="F36" s="13">
        <v>668</v>
      </c>
      <c r="G36" s="13"/>
      <c r="H36" s="243">
        <f t="shared" si="2"/>
        <v>12</v>
      </c>
      <c r="I36" s="13"/>
      <c r="K36" s="37"/>
      <c r="L36" s="37"/>
      <c r="M36" s="37"/>
      <c r="N36" s="37"/>
    </row>
    <row r="37" spans="2:14" x14ac:dyDescent="0.2">
      <c r="C37" s="30"/>
      <c r="D37" s="24">
        <f>SUM(D31:D36)</f>
        <v>21419</v>
      </c>
      <c r="E37" s="6"/>
      <c r="F37" s="24">
        <f>SUM(F31:F36)</f>
        <v>19124</v>
      </c>
      <c r="G37" s="13"/>
      <c r="K37" s="37"/>
      <c r="L37" s="37"/>
      <c r="M37" s="37"/>
      <c r="N37" s="37"/>
    </row>
    <row r="38" spans="2:14" x14ac:dyDescent="0.2">
      <c r="C38" s="30"/>
      <c r="D38" s="7"/>
      <c r="E38" s="8"/>
      <c r="F38" s="7"/>
      <c r="G38" s="13"/>
      <c r="K38" s="37"/>
      <c r="L38" s="37"/>
      <c r="M38" s="37"/>
      <c r="N38" s="37"/>
    </row>
    <row r="39" spans="2:14" x14ac:dyDescent="0.2">
      <c r="B39" s="36" t="s">
        <v>10</v>
      </c>
      <c r="C39" s="30"/>
      <c r="D39" s="7"/>
      <c r="E39" s="8"/>
      <c r="F39" s="7"/>
      <c r="G39" s="13"/>
      <c r="K39" s="37"/>
      <c r="L39" s="37"/>
      <c r="M39" s="37"/>
      <c r="N39" s="37"/>
    </row>
    <row r="40" spans="2:14" x14ac:dyDescent="0.2">
      <c r="B40" s="28" t="s">
        <v>22</v>
      </c>
      <c r="C40" s="108">
        <v>15</v>
      </c>
      <c r="D40" s="8">
        <f>-SUMIF('Balancete 09.2023'!C:C,2215,'Balancete 09.2023'!K:K)</f>
        <v>11532</v>
      </c>
      <c r="E40" s="8"/>
      <c r="F40" s="13">
        <v>7040</v>
      </c>
      <c r="G40" s="13"/>
      <c r="H40" s="243">
        <f t="shared" ref="H40" si="3">D40-F40</f>
        <v>4492</v>
      </c>
      <c r="J40" s="13"/>
      <c r="K40" s="37"/>
      <c r="L40" s="37"/>
      <c r="M40" s="37"/>
      <c r="N40" s="37"/>
    </row>
    <row r="41" spans="2:14" s="31" customFormat="1" x14ac:dyDescent="0.2">
      <c r="B41" s="28"/>
      <c r="C41" s="109"/>
      <c r="D41" s="24">
        <f>SUM(D40)</f>
        <v>11532</v>
      </c>
      <c r="E41" s="6"/>
      <c r="F41" s="24">
        <f>SUM(F40)</f>
        <v>7040</v>
      </c>
      <c r="G41" s="13"/>
      <c r="H41" s="282"/>
      <c r="K41" s="205"/>
      <c r="L41" s="205"/>
      <c r="M41" s="205"/>
      <c r="N41" s="205"/>
    </row>
    <row r="42" spans="2:14" x14ac:dyDescent="0.2">
      <c r="C42" s="109"/>
      <c r="D42" s="7"/>
      <c r="E42" s="8"/>
      <c r="F42" s="7"/>
      <c r="G42" s="13"/>
      <c r="K42" s="37"/>
      <c r="L42" s="37"/>
      <c r="M42" s="37"/>
      <c r="N42" s="37"/>
    </row>
    <row r="43" spans="2:14" x14ac:dyDescent="0.2">
      <c r="B43" s="36" t="s">
        <v>23</v>
      </c>
      <c r="C43" s="109"/>
      <c r="D43" s="7"/>
      <c r="E43" s="8"/>
      <c r="F43" s="7"/>
      <c r="G43" s="13"/>
      <c r="K43" s="37"/>
      <c r="L43" s="37"/>
      <c r="M43" s="37"/>
      <c r="N43" s="37"/>
    </row>
    <row r="44" spans="2:14" x14ac:dyDescent="0.2">
      <c r="B44" s="28" t="s">
        <v>48</v>
      </c>
      <c r="C44" s="108">
        <v>17</v>
      </c>
      <c r="D44" s="8">
        <f>-SUMIF('Balancete 09.2023'!C:C,241,'Balancete 09.2023'!K:K)</f>
        <v>31019</v>
      </c>
      <c r="E44" s="8"/>
      <c r="F44" s="13">
        <v>28469</v>
      </c>
      <c r="G44" s="13"/>
      <c r="H44" s="243">
        <f t="shared" ref="H44:H47" si="4">D44-F44</f>
        <v>2550</v>
      </c>
      <c r="J44" s="13"/>
      <c r="K44" s="37"/>
      <c r="L44" s="37"/>
      <c r="M44" s="37"/>
      <c r="N44" s="37"/>
    </row>
    <row r="45" spans="2:14" s="31" customFormat="1" hidden="1" x14ac:dyDescent="0.2">
      <c r="B45" s="28" t="s">
        <v>24</v>
      </c>
      <c r="C45" s="108"/>
      <c r="D45" s="8">
        <v>0</v>
      </c>
      <c r="E45" s="8"/>
      <c r="F45" s="13">
        <v>0</v>
      </c>
      <c r="G45" s="13"/>
      <c r="H45" s="243">
        <f t="shared" si="4"/>
        <v>0</v>
      </c>
      <c r="J45" s="13"/>
      <c r="K45" s="205"/>
      <c r="L45" s="205"/>
      <c r="M45" s="205"/>
      <c r="N45" s="205"/>
    </row>
    <row r="46" spans="2:14" s="31" customFormat="1" x14ac:dyDescent="0.2">
      <c r="B46" s="28" t="s">
        <v>25</v>
      </c>
      <c r="C46" s="108">
        <v>18</v>
      </c>
      <c r="D46" s="8">
        <f>-SUMIF('Balancete 09.2023'!C:C,247,'Balancete 09.2023'!K:K)</f>
        <v>246</v>
      </c>
      <c r="E46" s="8"/>
      <c r="F46" s="13">
        <v>2550</v>
      </c>
      <c r="G46" s="13"/>
      <c r="H46" s="243">
        <f>D46-F46</f>
        <v>-2304</v>
      </c>
      <c r="J46" s="13"/>
      <c r="K46" s="205"/>
      <c r="L46" s="205"/>
      <c r="M46" s="205"/>
      <c r="N46" s="205"/>
    </row>
    <row r="47" spans="2:14" s="31" customFormat="1" x14ac:dyDescent="0.2">
      <c r="B47" s="28" t="s">
        <v>1150</v>
      </c>
      <c r="C47" s="108">
        <v>19</v>
      </c>
      <c r="D47" s="8">
        <f>-SUM(SUMIF('Balancete 09.2023'!C:C,246,'Balancete 09.2023'!K:K),SUMIF('Balancete 09.2023'!C:C,243,'Balancete 09.2023'!K:K))</f>
        <v>-4376</v>
      </c>
      <c r="E47" s="8"/>
      <c r="F47" s="13">
        <v>-5810</v>
      </c>
      <c r="G47" s="13"/>
      <c r="H47" s="243">
        <f t="shared" si="4"/>
        <v>1434</v>
      </c>
      <c r="J47" s="13"/>
      <c r="K47" s="205"/>
      <c r="L47" s="205"/>
      <c r="M47" s="205"/>
      <c r="N47" s="205"/>
    </row>
    <row r="48" spans="2:14" x14ac:dyDescent="0.2">
      <c r="D48" s="24">
        <f>SUM(D44:D47)</f>
        <v>26889</v>
      </c>
      <c r="E48" s="8"/>
      <c r="F48" s="24">
        <f>SUM(F44:F47)</f>
        <v>25209</v>
      </c>
      <c r="G48" s="13"/>
      <c r="K48" s="37"/>
      <c r="L48" s="37"/>
      <c r="M48" s="37"/>
      <c r="N48" s="37"/>
    </row>
    <row r="49" spans="2:14" x14ac:dyDescent="0.2">
      <c r="D49" s="7"/>
      <c r="E49" s="8"/>
      <c r="F49" s="7"/>
      <c r="G49" s="13"/>
      <c r="K49" s="37"/>
      <c r="L49" s="37"/>
      <c r="M49" s="37"/>
      <c r="N49" s="37"/>
    </row>
    <row r="50" spans="2:14" x14ac:dyDescent="0.2">
      <c r="D50" s="7"/>
      <c r="E50" s="8"/>
      <c r="F50" s="7"/>
      <c r="K50" s="37"/>
      <c r="L50" s="37"/>
      <c r="M50" s="37"/>
      <c r="N50" s="37"/>
    </row>
    <row r="51" spans="2:14" ht="13.5" thickBot="1" x14ac:dyDescent="0.25">
      <c r="B51" s="33" t="s">
        <v>27</v>
      </c>
      <c r="D51" s="5">
        <f>D37+D41+D48</f>
        <v>59840</v>
      </c>
      <c r="E51" s="6"/>
      <c r="F51" s="5">
        <f>F48+F41+F37</f>
        <v>51373</v>
      </c>
      <c r="K51" s="37"/>
      <c r="L51" s="37"/>
      <c r="M51" s="37"/>
      <c r="N51" s="37"/>
    </row>
    <row r="52" spans="2:14" ht="13.5" thickTop="1" x14ac:dyDescent="0.2">
      <c r="C52" s="27"/>
      <c r="D52" s="7"/>
      <c r="E52" s="8"/>
      <c r="F52" s="7"/>
      <c r="K52" s="37"/>
      <c r="L52" s="37"/>
      <c r="M52" s="37"/>
      <c r="N52" s="37"/>
    </row>
    <row r="53" spans="2:14" x14ac:dyDescent="0.2">
      <c r="B53" s="15" t="s">
        <v>1308</v>
      </c>
      <c r="D53" s="37"/>
      <c r="E53" s="37"/>
      <c r="F53" s="37"/>
      <c r="K53" s="37"/>
      <c r="L53" s="37"/>
      <c r="M53" s="37"/>
      <c r="N53" s="37"/>
    </row>
    <row r="54" spans="2:14" x14ac:dyDescent="0.2">
      <c r="K54" s="37"/>
      <c r="L54" s="37"/>
      <c r="M54" s="37"/>
      <c r="N54" s="37"/>
    </row>
    <row r="55" spans="2:14" x14ac:dyDescent="0.2">
      <c r="D55" s="101">
        <f>D27-D51</f>
        <v>0</v>
      </c>
      <c r="F55" s="101">
        <f>F27-F51</f>
        <v>0</v>
      </c>
      <c r="H55" s="283">
        <f>SUM(H5:H54)</f>
        <v>0</v>
      </c>
      <c r="K55" s="37"/>
      <c r="L55" s="37"/>
      <c r="M55" s="37"/>
      <c r="N55" s="37"/>
    </row>
    <row r="56" spans="2:14" x14ac:dyDescent="0.2">
      <c r="D56" s="15"/>
    </row>
  </sheetData>
  <mergeCells count="5">
    <mergeCell ref="B1:F1"/>
    <mergeCell ref="B2:F2"/>
    <mergeCell ref="B3:F3"/>
    <mergeCell ref="B4:F4"/>
    <mergeCell ref="B5:F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8"/>
  <sheetViews>
    <sheetView workbookViewId="0">
      <selection activeCell="D3" sqref="D3:E8"/>
    </sheetView>
  </sheetViews>
  <sheetFormatPr defaultRowHeight="15" x14ac:dyDescent="0.25"/>
  <cols>
    <col min="4" max="4" width="56.85546875" customWidth="1"/>
    <col min="5" max="5" width="9.5703125" bestFit="1" customWidth="1"/>
  </cols>
  <sheetData>
    <row r="3" spans="4:5" x14ac:dyDescent="0.25">
      <c r="D3" s="233" t="s">
        <v>266</v>
      </c>
      <c r="E3" s="233" t="s">
        <v>1155</v>
      </c>
    </row>
    <row r="4" spans="4:5" x14ac:dyDescent="0.25">
      <c r="D4" s="234" t="s">
        <v>1158</v>
      </c>
      <c r="E4" s="235">
        <v>-2452</v>
      </c>
    </row>
    <row r="5" spans="4:5" x14ac:dyDescent="0.25">
      <c r="D5" s="234" t="s">
        <v>1157</v>
      </c>
      <c r="E5" s="235">
        <v>-5810</v>
      </c>
    </row>
    <row r="6" spans="4:5" x14ac:dyDescent="0.25">
      <c r="D6" s="234" t="s">
        <v>1159</v>
      </c>
      <c r="E6" s="235">
        <v>-5810</v>
      </c>
    </row>
    <row r="7" spans="4:5" x14ac:dyDescent="0.25">
      <c r="D7" s="234" t="s">
        <v>1160</v>
      </c>
      <c r="E7" s="235">
        <v>0</v>
      </c>
    </row>
    <row r="8" spans="4:5" x14ac:dyDescent="0.25">
      <c r="D8" s="234" t="s">
        <v>1156</v>
      </c>
      <c r="E8" s="235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2:P62"/>
  <sheetViews>
    <sheetView showGridLines="0" zoomScale="115" zoomScaleNormal="115" workbookViewId="0">
      <selection activeCell="B2" sqref="B2:K56"/>
    </sheetView>
  </sheetViews>
  <sheetFormatPr defaultColWidth="9.140625" defaultRowHeight="14.25" customHeight="1" x14ac:dyDescent="0.2"/>
  <cols>
    <col min="1" max="1" width="4.7109375" style="15" customWidth="1"/>
    <col min="2" max="2" width="38.5703125" style="15" customWidth="1"/>
    <col min="3" max="3" width="4.7109375" style="15" customWidth="1"/>
    <col min="4" max="4" width="6.85546875" style="16" customWidth="1"/>
    <col min="5" max="5" width="12.28515625" style="16" customWidth="1"/>
    <col min="6" max="6" width="1.140625" style="15" customWidth="1"/>
    <col min="7" max="7" width="12.28515625" style="15" customWidth="1"/>
    <col min="8" max="8" width="2.7109375" style="15" customWidth="1"/>
    <col min="9" max="9" width="12.28515625" style="16" customWidth="1"/>
    <col min="10" max="10" width="1.140625" style="16" customWidth="1"/>
    <col min="11" max="11" width="12.28515625" style="16" customWidth="1"/>
    <col min="12" max="12" width="5.42578125" style="15" customWidth="1"/>
    <col min="13" max="13" width="9.140625" style="15"/>
    <col min="14" max="15" width="10.28515625" style="260" bestFit="1" customWidth="1"/>
    <col min="16" max="16" width="9.140625" style="260"/>
    <col min="17" max="16384" width="9.140625" style="15"/>
  </cols>
  <sheetData>
    <row r="2" spans="2:11" ht="14.25" customHeight="1" x14ac:dyDescent="0.2">
      <c r="B2" s="650" t="str">
        <f>[1]BP!B2</f>
        <v>Empresa de Pesquisa Energética - EPE</v>
      </c>
      <c r="C2" s="650"/>
      <c r="D2" s="650"/>
      <c r="E2" s="650"/>
      <c r="F2" s="650"/>
      <c r="G2" s="650"/>
      <c r="H2" s="650"/>
      <c r="I2" s="650"/>
      <c r="J2" s="650"/>
      <c r="K2" s="650"/>
    </row>
    <row r="3" spans="2:11" ht="14.25" customHeight="1" x14ac:dyDescent="0.2">
      <c r="B3" s="651" t="str">
        <f>[1]BP!B3</f>
        <v>CNPJ 06.977.747/0001-80</v>
      </c>
      <c r="C3" s="651"/>
      <c r="D3" s="651"/>
      <c r="E3" s="651"/>
      <c r="F3" s="651"/>
      <c r="G3" s="651"/>
      <c r="H3" s="651"/>
      <c r="I3" s="651"/>
      <c r="J3" s="651"/>
      <c r="K3" s="651"/>
    </row>
    <row r="4" spans="2:11" ht="14.25" customHeight="1" x14ac:dyDescent="0.2">
      <c r="B4" s="650" t="s">
        <v>302</v>
      </c>
      <c r="C4" s="650"/>
      <c r="D4" s="650"/>
      <c r="E4" s="650"/>
      <c r="F4" s="650"/>
      <c r="G4" s="650"/>
      <c r="H4" s="650"/>
      <c r="I4" s="650"/>
      <c r="J4" s="650"/>
      <c r="K4" s="650"/>
    </row>
    <row r="5" spans="2:11" ht="14.25" customHeight="1" x14ac:dyDescent="0.2">
      <c r="B5" s="651" t="str">
        <f>[1]BP!B5</f>
        <v>(em milhares de reais)</v>
      </c>
      <c r="C5" s="651"/>
      <c r="D5" s="651"/>
      <c r="E5" s="651"/>
      <c r="F5" s="651"/>
      <c r="G5" s="651"/>
      <c r="H5" s="651"/>
      <c r="I5" s="651"/>
      <c r="J5" s="651"/>
      <c r="K5" s="651"/>
    </row>
    <row r="7" spans="2:11" ht="27.75" customHeight="1" thickBot="1" x14ac:dyDescent="0.25">
      <c r="D7" s="119" t="s">
        <v>304</v>
      </c>
      <c r="E7" s="61" t="s">
        <v>1528</v>
      </c>
      <c r="F7" s="35"/>
      <c r="G7" s="61" t="s">
        <v>1529</v>
      </c>
      <c r="H7" s="35"/>
      <c r="I7" s="61" t="s">
        <v>1530</v>
      </c>
      <c r="J7" s="119"/>
      <c r="K7" s="61" t="s">
        <v>1531</v>
      </c>
    </row>
    <row r="8" spans="2:11" ht="14.25" customHeight="1" x14ac:dyDescent="0.2">
      <c r="B8" s="27" t="s">
        <v>29</v>
      </c>
      <c r="D8" s="110"/>
      <c r="E8" s="8">
        <v>0</v>
      </c>
      <c r="F8" s="23"/>
      <c r="G8" s="8">
        <f>E8</f>
        <v>0</v>
      </c>
      <c r="H8" s="23"/>
      <c r="I8" s="8">
        <v>0</v>
      </c>
      <c r="J8" s="8"/>
      <c r="K8" s="8">
        <v>0</v>
      </c>
    </row>
    <row r="9" spans="2:11" ht="10.5" customHeight="1" x14ac:dyDescent="0.2">
      <c r="B9" s="255"/>
      <c r="D9" s="110"/>
      <c r="E9" s="8"/>
      <c r="F9" s="23"/>
      <c r="G9" s="23"/>
      <c r="H9" s="23"/>
      <c r="I9" s="8"/>
      <c r="J9" s="8"/>
      <c r="K9" s="8"/>
    </row>
    <row r="10" spans="2:11" ht="14.25" customHeight="1" x14ac:dyDescent="0.2">
      <c r="B10" s="27" t="s">
        <v>30</v>
      </c>
      <c r="D10" s="108">
        <v>21</v>
      </c>
      <c r="E10" s="22"/>
      <c r="F10" s="99"/>
      <c r="G10" s="99"/>
      <c r="H10" s="99"/>
      <c r="I10" s="22"/>
      <c r="J10" s="22"/>
      <c r="K10" s="22"/>
    </row>
    <row r="11" spans="2:11" ht="14.25" customHeight="1" x14ac:dyDescent="0.2">
      <c r="B11" s="15" t="s">
        <v>31</v>
      </c>
      <c r="D11" s="108"/>
      <c r="E11" s="8">
        <f>SUM(-SUMIF('Balancete 09.2023'!C:C,4111,'Balancete 09.2023'!K:K),-SUMIF('Balancete 09.2023'!C:C,41110,'Balancete 09.2023'!K:K))</f>
        <v>-33532</v>
      </c>
      <c r="F11" s="99"/>
      <c r="G11" s="8">
        <f>SUM(-SUMIF('Balancete 3ºtrim'!B:B,4111,'Balancete 3ºtrim'!J:J),-SUMIF('Balancete 3ºtrim'!B:B,41110,'Balancete 3ºtrim'!J:J))</f>
        <v>-11169</v>
      </c>
      <c r="H11" s="99"/>
      <c r="I11" s="8">
        <v>-31052</v>
      </c>
      <c r="J11" s="8"/>
      <c r="K11" s="8">
        <v>-10400</v>
      </c>
    </row>
    <row r="12" spans="2:11" ht="14.25" customHeight="1" x14ac:dyDescent="0.2">
      <c r="B12" s="15" t="s">
        <v>32</v>
      </c>
      <c r="D12" s="108"/>
      <c r="E12" s="8">
        <f>-SUMIF('Balancete 09.2023'!C:C,4112,'Balancete 09.2023'!K:K)</f>
        <v>-9807</v>
      </c>
      <c r="F12" s="99"/>
      <c r="G12" s="8">
        <f>-SUMIF('Balancete 3ºtrim'!B:B,4112,'Balancete 3ºtrim'!J:J)</f>
        <v>-3303</v>
      </c>
      <c r="H12" s="99"/>
      <c r="I12" s="8">
        <v>-8969</v>
      </c>
      <c r="J12" s="8"/>
      <c r="K12" s="8">
        <v>-3027</v>
      </c>
    </row>
    <row r="13" spans="2:11" ht="14.25" customHeight="1" x14ac:dyDescent="0.2">
      <c r="B13" s="15" t="s">
        <v>33</v>
      </c>
      <c r="D13" s="108"/>
      <c r="E13" s="8">
        <f>-SUMIF('Balancete 09.2023'!C:C,4113,'Balancete 09.2023'!K:K)</f>
        <v>-4701</v>
      </c>
      <c r="F13" s="99"/>
      <c r="G13" s="8">
        <f>-SUMIF('Balancete 3ºtrim'!B:B,4113,'Balancete 3ºtrim'!J:J)</f>
        <v>-1631</v>
      </c>
      <c r="H13" s="99"/>
      <c r="I13" s="8">
        <v>-4562</v>
      </c>
      <c r="J13" s="8"/>
      <c r="K13" s="8">
        <v>-1555</v>
      </c>
    </row>
    <row r="14" spans="2:11" ht="12.75" hidden="1" x14ac:dyDescent="0.2">
      <c r="B14" s="15" t="s">
        <v>34</v>
      </c>
      <c r="D14" s="108"/>
      <c r="E14" s="8">
        <v>0</v>
      </c>
      <c r="F14" s="99"/>
      <c r="G14" s="8">
        <v>0</v>
      </c>
      <c r="H14" s="99"/>
      <c r="I14" s="8">
        <v>0</v>
      </c>
      <c r="J14" s="8"/>
      <c r="K14" s="8">
        <v>0</v>
      </c>
    </row>
    <row r="15" spans="2:11" ht="14.25" customHeight="1" x14ac:dyDescent="0.2">
      <c r="B15" s="15" t="s">
        <v>35</v>
      </c>
      <c r="D15" s="108"/>
      <c r="E15" s="8">
        <f>-SUMIF('Balancete 09.2023'!C:C,413,'Balancete 09.2023'!K:K)</f>
        <v>-6530</v>
      </c>
      <c r="F15" s="99"/>
      <c r="G15" s="8">
        <f>-SUMIF('Balancete 3ºtrim'!B:B,413,'Balancete 3ºtrim'!J:J)</f>
        <v>-1250</v>
      </c>
      <c r="H15" s="99"/>
      <c r="I15" s="8">
        <v>-4141</v>
      </c>
      <c r="J15" s="8"/>
      <c r="K15" s="8">
        <v>-794</v>
      </c>
    </row>
    <row r="16" spans="2:11" ht="14.25" customHeight="1" x14ac:dyDescent="0.2">
      <c r="B16" s="15" t="s">
        <v>36</v>
      </c>
      <c r="D16" s="108"/>
      <c r="E16" s="8">
        <f>-SUMIF('Balancete 09.2023'!C:C,4161,'Balancete 09.2023'!K:K)</f>
        <v>-3621</v>
      </c>
      <c r="F16" s="99"/>
      <c r="G16" s="8">
        <f>-SUMIF('Balancete 3ºtrim'!B:B,4161,'Balancete 3ºtrim'!J:J)</f>
        <v>-1250</v>
      </c>
      <c r="H16" s="99"/>
      <c r="I16" s="8">
        <v>-3134</v>
      </c>
      <c r="J16" s="8"/>
      <c r="K16" s="8">
        <v>-1142</v>
      </c>
    </row>
    <row r="17" spans="2:15" ht="14.25" customHeight="1" x14ac:dyDescent="0.2">
      <c r="B17" s="15" t="s">
        <v>37</v>
      </c>
      <c r="D17" s="108"/>
      <c r="E17" s="8">
        <f>-SUMIF('Balancete 09.2023'!C:C,4162,'Balancete 09.2023'!K:K)</f>
        <v>-3187</v>
      </c>
      <c r="F17" s="99"/>
      <c r="G17" s="8">
        <f>-SUMIF('Balancete 3ºtrim'!B:B,4162,'Balancete 3ºtrim'!J:J)</f>
        <v>-1240</v>
      </c>
      <c r="H17" s="99"/>
      <c r="I17" s="8">
        <v>-2668</v>
      </c>
      <c r="J17" s="8"/>
      <c r="K17" s="8">
        <v>-982</v>
      </c>
    </row>
    <row r="18" spans="2:15" ht="14.25" customHeight="1" thickBot="1" x14ac:dyDescent="0.25">
      <c r="B18" s="15" t="s">
        <v>38</v>
      </c>
      <c r="D18" s="108"/>
      <c r="E18" s="21">
        <f>-SUMIF('Balancete 09.2023'!C:C,4141,'Balancete 09.2023'!K:K)</f>
        <v>-248</v>
      </c>
      <c r="F18" s="99"/>
      <c r="G18" s="21">
        <f>-SUMIF('Balancete 3ºtrim'!B:B,4141,'Balancete 3ºtrim'!J:J)</f>
        <v>-80</v>
      </c>
      <c r="H18" s="99"/>
      <c r="I18" s="8">
        <v>-221</v>
      </c>
      <c r="J18" s="8"/>
      <c r="K18" s="8">
        <v>-71</v>
      </c>
      <c r="N18" s="261"/>
      <c r="O18" s="261"/>
    </row>
    <row r="19" spans="2:15" ht="14.25" customHeight="1" x14ac:dyDescent="0.2">
      <c r="D19" s="256"/>
      <c r="E19" s="62">
        <f>SUM(E11:E18)</f>
        <v>-61626</v>
      </c>
      <c r="F19" s="257"/>
      <c r="G19" s="62">
        <f>SUM(G11:G18)</f>
        <v>-19923</v>
      </c>
      <c r="H19" s="257"/>
      <c r="I19" s="62">
        <f>SUM(I11:I18)</f>
        <v>-54747</v>
      </c>
      <c r="J19" s="7"/>
      <c r="K19" s="62">
        <f>SUM(K11:K18)</f>
        <v>-17971</v>
      </c>
    </row>
    <row r="20" spans="2:15" ht="14.25" customHeight="1" x14ac:dyDescent="0.25">
      <c r="D20" s="111"/>
      <c r="E20" s="100"/>
      <c r="F20"/>
      <c r="G20" s="100"/>
      <c r="H20"/>
      <c r="I20" s="100"/>
      <c r="J20" s="100"/>
      <c r="K20" s="100"/>
    </row>
    <row r="21" spans="2:15" ht="14.25" customHeight="1" x14ac:dyDescent="0.2">
      <c r="B21" s="27" t="s">
        <v>39</v>
      </c>
      <c r="D21" s="112"/>
      <c r="E21" s="24">
        <f>+E8+E19</f>
        <v>-61626</v>
      </c>
      <c r="F21" s="99"/>
      <c r="G21" s="24">
        <f>+G8+G19</f>
        <v>-19923</v>
      </c>
      <c r="H21" s="99"/>
      <c r="I21" s="24">
        <f>I8+I19</f>
        <v>-54747</v>
      </c>
      <c r="J21" s="7"/>
      <c r="K21" s="24">
        <f>K8+K19</f>
        <v>-17971</v>
      </c>
    </row>
    <row r="22" spans="2:15" ht="14.25" customHeight="1" x14ac:dyDescent="0.2">
      <c r="B22" s="255"/>
      <c r="D22" s="113"/>
      <c r="E22" s="25"/>
      <c r="F22" s="99"/>
      <c r="G22" s="25"/>
      <c r="H22" s="99"/>
      <c r="I22" s="25"/>
      <c r="J22" s="25"/>
      <c r="K22" s="25"/>
    </row>
    <row r="23" spans="2:15" ht="14.25" customHeight="1" x14ac:dyDescent="0.2">
      <c r="B23" s="27" t="s">
        <v>40</v>
      </c>
      <c r="D23" s="108">
        <v>21</v>
      </c>
      <c r="E23" s="22"/>
      <c r="F23" s="99"/>
      <c r="G23" s="22"/>
      <c r="H23" s="99"/>
      <c r="I23" s="22"/>
      <c r="J23" s="22"/>
      <c r="K23" s="22"/>
    </row>
    <row r="24" spans="2:15" ht="14.25" customHeight="1" x14ac:dyDescent="0.2">
      <c r="B24" s="15" t="s">
        <v>31</v>
      </c>
      <c r="D24" s="108"/>
      <c r="E24" s="8">
        <f>-SUMIF('Balancete 09.2023'!C:C,4211,'Balancete 09.2023'!K:K)</f>
        <v>-13406</v>
      </c>
      <c r="F24" s="22"/>
      <c r="G24" s="8">
        <f>-SUMIF('Balancete 3ºtrim'!B:B,4211,'Balancete 3ºtrim'!J:J)</f>
        <v>-4460</v>
      </c>
      <c r="H24" s="22"/>
      <c r="I24" s="8">
        <v>-13263</v>
      </c>
      <c r="J24" s="8"/>
      <c r="K24" s="8">
        <v>-4499</v>
      </c>
    </row>
    <row r="25" spans="2:15" ht="14.25" customHeight="1" x14ac:dyDescent="0.2">
      <c r="B25" s="15" t="s">
        <v>32</v>
      </c>
      <c r="D25" s="108"/>
      <c r="E25" s="8">
        <f>-SUMIF('Balancete 09.2023'!C:C,4212,'Balancete 09.2023'!K:K)</f>
        <v>-3909</v>
      </c>
      <c r="F25" s="22"/>
      <c r="G25" s="8">
        <f>-SUMIF('Balancete 3ºtrim'!B:B,4212,'Balancete 3ºtrim'!J:J)</f>
        <v>-1310</v>
      </c>
      <c r="H25" s="22"/>
      <c r="I25" s="8">
        <v>-3969</v>
      </c>
      <c r="J25" s="8"/>
      <c r="K25" s="8">
        <v>-1334</v>
      </c>
    </row>
    <row r="26" spans="2:15" ht="14.25" customHeight="1" x14ac:dyDescent="0.2">
      <c r="B26" s="15" t="s">
        <v>33</v>
      </c>
      <c r="D26" s="108"/>
      <c r="E26" s="8">
        <f>-SUMIF('Balancete 09.2023'!C:C,4213,'Balancete 09.2023'!K:K)</f>
        <v>-2058</v>
      </c>
      <c r="F26" s="22"/>
      <c r="G26" s="8">
        <f>-SUMIF('Balancete 3ºtrim'!B:B,4213,'Balancete 3ºtrim'!J:J)</f>
        <v>-708</v>
      </c>
      <c r="H26" s="22"/>
      <c r="I26" s="8">
        <v>-2061</v>
      </c>
      <c r="J26" s="8"/>
      <c r="K26" s="8">
        <v>-711</v>
      </c>
    </row>
    <row r="27" spans="2:15" ht="14.25" customHeight="1" x14ac:dyDescent="0.2">
      <c r="B27" s="15" t="s">
        <v>34</v>
      </c>
      <c r="D27" s="108"/>
      <c r="E27" s="8">
        <f>-SUMIF('Balancete 09.2023'!C:C,422,'Balancete 09.2023'!K:K)</f>
        <v>-23</v>
      </c>
      <c r="F27" s="22"/>
      <c r="G27" s="8">
        <f>-SUMIF('Balancete 3ºtrim'!B:B,422,'Balancete 3ºtrim'!J:J)</f>
        <v>-7</v>
      </c>
      <c r="H27" s="22"/>
      <c r="I27" s="8">
        <v>-128</v>
      </c>
      <c r="J27" s="8"/>
      <c r="K27" s="8">
        <v>-15</v>
      </c>
    </row>
    <row r="28" spans="2:15" ht="14.25" customHeight="1" x14ac:dyDescent="0.2">
      <c r="B28" s="15" t="s">
        <v>35</v>
      </c>
      <c r="D28" s="108"/>
      <c r="E28" s="8">
        <f>-SUMIF('Balancete 09.2023'!C:C,423,'Balancete 09.2023'!K:K)</f>
        <v>-4249</v>
      </c>
      <c r="F28" s="22"/>
      <c r="G28" s="8">
        <f>-SUMIF('Balancete 3ºtrim'!B:B,423,'Balancete 3ºtrim'!J:J)</f>
        <v>-1592</v>
      </c>
      <c r="H28" s="22"/>
      <c r="I28" s="8">
        <v>-4222</v>
      </c>
      <c r="J28" s="8"/>
      <c r="K28" s="8">
        <v>-1253</v>
      </c>
      <c r="N28" s="261"/>
      <c r="O28" s="261"/>
    </row>
    <row r="29" spans="2:15" ht="14.25" customHeight="1" x14ac:dyDescent="0.2">
      <c r="B29" s="15" t="s">
        <v>38</v>
      </c>
      <c r="D29" s="108"/>
      <c r="E29" s="8">
        <f>-SUMIF('Balancete 09.2023'!C:C,424,'Balancete 09.2023'!K:K)</f>
        <v>-516</v>
      </c>
      <c r="F29" s="22"/>
      <c r="G29" s="8">
        <f>-SUMIF('Balancete 3ºtrim'!B:B,424,'Balancete 3ºtrim'!J:J)</f>
        <v>-250</v>
      </c>
      <c r="H29" s="22"/>
      <c r="I29" s="8">
        <v>-751</v>
      </c>
      <c r="J29" s="8"/>
      <c r="K29" s="8">
        <v>-302</v>
      </c>
    </row>
    <row r="30" spans="2:15" ht="14.25" customHeight="1" x14ac:dyDescent="0.2">
      <c r="B30" s="15" t="s">
        <v>36</v>
      </c>
      <c r="D30" s="108"/>
      <c r="E30" s="8">
        <f>-SUMIF('Balancete 09.2023'!C:C,4261,'Balancete 09.2023'!K:K)</f>
        <v>-3971</v>
      </c>
      <c r="F30" s="22"/>
      <c r="G30" s="8">
        <f>-SUMIF('Balancete 3ºtrim'!B:B,4261,'Balancete 3ºtrim'!J:J)</f>
        <v>-1322</v>
      </c>
      <c r="H30" s="22"/>
      <c r="I30" s="8">
        <v>-3620</v>
      </c>
      <c r="J30" s="8"/>
      <c r="K30" s="8">
        <v>-1235</v>
      </c>
    </row>
    <row r="31" spans="2:15" ht="14.25" customHeight="1" x14ac:dyDescent="0.2">
      <c r="B31" s="15" t="s">
        <v>37</v>
      </c>
      <c r="D31" s="108"/>
      <c r="E31" s="21">
        <f>-SUMIF('Balancete 09.2023'!C:C,4262,'Balancete 09.2023'!K:K)</f>
        <v>-2438</v>
      </c>
      <c r="F31" s="99"/>
      <c r="G31" s="21">
        <f>-SUMIF('Balancete 3ºtrim'!B:B,4262,'Balancete 3ºtrim'!J:J)</f>
        <v>-812</v>
      </c>
      <c r="H31" s="99"/>
      <c r="I31" s="21">
        <v>-2925</v>
      </c>
      <c r="J31" s="21"/>
      <c r="K31" s="21">
        <v>-1014</v>
      </c>
    </row>
    <row r="32" spans="2:15" ht="14.25" customHeight="1" thickBot="1" x14ac:dyDescent="0.25">
      <c r="B32" s="15" t="s">
        <v>1298</v>
      </c>
      <c r="D32" s="108"/>
      <c r="E32" s="21">
        <f>-SUMIF('Balancete 09.2023'!C:C,4254,'Balancete 09.2023'!K:K)</f>
        <v>-16</v>
      </c>
      <c r="F32" s="99"/>
      <c r="G32" s="21">
        <f>-SUMIF('Balancete 3ºtrim'!B:B,4254,'Balancete 3ºtrim'!J:J)</f>
        <v>0</v>
      </c>
      <c r="H32" s="99"/>
      <c r="I32" s="21">
        <v>-236</v>
      </c>
      <c r="J32" s="21"/>
      <c r="K32" s="21">
        <v>-58</v>
      </c>
      <c r="N32" s="261"/>
    </row>
    <row r="33" spans="2:15" ht="14.25" customHeight="1" x14ac:dyDescent="0.2">
      <c r="D33" s="111"/>
      <c r="E33" s="62">
        <f>SUM(E24:E32)</f>
        <v>-30586</v>
      </c>
      <c r="F33" s="23"/>
      <c r="G33" s="62">
        <f>SUM(G24:G32)</f>
        <v>-10461</v>
      </c>
      <c r="H33" s="23"/>
      <c r="I33" s="62">
        <f>SUM(I24:I32)</f>
        <v>-31175</v>
      </c>
      <c r="J33" s="7"/>
      <c r="K33" s="62">
        <f>SUM(K24:K32)</f>
        <v>-10421</v>
      </c>
    </row>
    <row r="34" spans="2:15" ht="14.25" customHeight="1" x14ac:dyDescent="0.2">
      <c r="D34" s="111"/>
      <c r="E34" s="7"/>
      <c r="F34" s="23"/>
      <c r="G34" s="7"/>
      <c r="H34" s="23"/>
      <c r="I34" s="7"/>
      <c r="J34" s="7"/>
      <c r="K34" s="7"/>
      <c r="O34" s="261"/>
    </row>
    <row r="35" spans="2:15" ht="14.25" customHeight="1" x14ac:dyDescent="0.2">
      <c r="B35" s="27" t="s">
        <v>41</v>
      </c>
      <c r="D35" s="108"/>
      <c r="E35" s="8"/>
      <c r="F35" s="22"/>
      <c r="G35" s="8"/>
      <c r="H35" s="22"/>
      <c r="I35" s="8"/>
      <c r="J35" s="8"/>
      <c r="K35" s="8"/>
    </row>
    <row r="36" spans="2:15" ht="14.25" customHeight="1" x14ac:dyDescent="0.2">
      <c r="B36" s="15" t="s">
        <v>42</v>
      </c>
      <c r="D36" s="108">
        <v>22</v>
      </c>
      <c r="E36" s="21">
        <f>-SUMIF('Balancete 09.2023'!C:C,311,'Balancete 09.2023'!K:K)</f>
        <v>91361</v>
      </c>
      <c r="F36" s="99"/>
      <c r="G36" s="21">
        <f>-SUMIF('Balancete 3ºtrim'!B:B,311,'Balancete 3ºtrim'!J:J)</f>
        <v>27759</v>
      </c>
      <c r="H36" s="99"/>
      <c r="I36" s="8">
        <v>79339</v>
      </c>
      <c r="J36" s="8"/>
      <c r="K36" s="8">
        <v>25626</v>
      </c>
      <c r="N36" s="261"/>
    </row>
    <row r="37" spans="2:15" ht="14.25" customHeight="1" x14ac:dyDescent="0.2">
      <c r="B37" s="15" t="s">
        <v>283</v>
      </c>
      <c r="D37" s="108">
        <v>23</v>
      </c>
      <c r="E37" s="21">
        <f>-SUMIF('Balancete 09.2023'!C:C,33212,'Balancete 09.2023'!K:K)</f>
        <v>4162</v>
      </c>
      <c r="F37" s="99"/>
      <c r="G37" s="21">
        <f>-SUMIF('Balancete 3ºtrim'!B:B,33212,'Balancete 3ºtrim'!J:J)</f>
        <v>2238</v>
      </c>
      <c r="H37" s="99"/>
      <c r="I37" s="8">
        <v>6223</v>
      </c>
      <c r="J37" s="8"/>
      <c r="K37" s="8">
        <v>2833</v>
      </c>
    </row>
    <row r="38" spans="2:15" ht="12.75" x14ac:dyDescent="0.2">
      <c r="B38" s="15" t="s">
        <v>1299</v>
      </c>
      <c r="D38" s="108"/>
      <c r="E38" s="21">
        <f>-SUMIF('Balancete 09.2023'!C:C,3361,'Balancete 09.2023'!K:K)</f>
        <v>12</v>
      </c>
      <c r="F38" s="22"/>
      <c r="G38" s="21">
        <f>-SUMIF('Balancete 3ºtrim'!B:B,3361,'Balancete 3ºtrim'!J:J)</f>
        <v>12</v>
      </c>
      <c r="H38" s="22"/>
      <c r="I38" s="8">
        <v>23</v>
      </c>
      <c r="J38" s="8"/>
      <c r="K38" s="8">
        <v>0</v>
      </c>
    </row>
    <row r="39" spans="2:15" ht="14.25" customHeight="1" x14ac:dyDescent="0.2">
      <c r="B39" s="15" t="s">
        <v>43</v>
      </c>
      <c r="D39" s="108"/>
      <c r="E39" s="21">
        <f>-SUMIF('Balancete 09.2023'!C:C,33213,'Balancete 09.2023'!K:K)</f>
        <v>43</v>
      </c>
      <c r="F39" s="99"/>
      <c r="G39" s="21">
        <f>-SUMIF('Balancete 3ºtrim'!B:B,33213,'Balancete 3ºtrim'!J:J)</f>
        <v>1</v>
      </c>
      <c r="H39" s="99"/>
      <c r="I39" s="8">
        <v>70</v>
      </c>
      <c r="J39" s="8"/>
      <c r="K39" s="8">
        <v>69</v>
      </c>
      <c r="O39" s="261"/>
    </row>
    <row r="40" spans="2:15" ht="14.25" customHeight="1" thickBot="1" x14ac:dyDescent="0.25">
      <c r="B40" s="15" t="s">
        <v>1300</v>
      </c>
      <c r="D40" s="108"/>
      <c r="E40" s="8">
        <f>-'[1]Balancete 03.2023'!H1415</f>
        <v>0</v>
      </c>
      <c r="F40" s="99"/>
      <c r="G40" s="8">
        <v>0</v>
      </c>
      <c r="H40" s="99"/>
      <c r="I40" s="8">
        <v>372</v>
      </c>
      <c r="J40" s="8"/>
      <c r="K40" s="8">
        <v>-54</v>
      </c>
    </row>
    <row r="41" spans="2:15" ht="14.25" customHeight="1" x14ac:dyDescent="0.2">
      <c r="B41" s="255"/>
      <c r="D41" s="114"/>
      <c r="E41" s="26">
        <f>SUM(E36:E40)</f>
        <v>95578</v>
      </c>
      <c r="F41" s="257"/>
      <c r="G41" s="26">
        <f>SUM(G36:G40)</f>
        <v>30010</v>
      </c>
      <c r="H41" s="257"/>
      <c r="I41" s="26">
        <f>SUM(I36:I40)</f>
        <v>86027</v>
      </c>
      <c r="J41" s="7"/>
      <c r="K41" s="26">
        <f>SUM(K36:K40)</f>
        <v>28474</v>
      </c>
    </row>
    <row r="42" spans="2:15" ht="14.25" customHeight="1" x14ac:dyDescent="0.2">
      <c r="B42" s="255"/>
      <c r="D42" s="110"/>
      <c r="E42" s="23"/>
      <c r="F42" s="23"/>
      <c r="G42" s="23"/>
      <c r="H42" s="23"/>
      <c r="I42" s="23"/>
      <c r="J42" s="23"/>
      <c r="K42" s="23"/>
    </row>
    <row r="43" spans="2:15" ht="27" customHeight="1" x14ac:dyDescent="0.2">
      <c r="B43" s="281" t="s">
        <v>1265</v>
      </c>
      <c r="D43" s="112"/>
      <c r="E43" s="6">
        <f>E41+E33+E21</f>
        <v>3366</v>
      </c>
      <c r="F43" s="99"/>
      <c r="G43" s="6">
        <f>G41+G33+G21</f>
        <v>-374</v>
      </c>
      <c r="H43" s="99"/>
      <c r="I43" s="6">
        <f>I41+I33+I21</f>
        <v>105</v>
      </c>
      <c r="J43" s="6"/>
      <c r="K43" s="6">
        <f>K41+K33+K21</f>
        <v>82</v>
      </c>
    </row>
    <row r="44" spans="2:15" ht="9" customHeight="1" x14ac:dyDescent="0.25">
      <c r="B44" s="255"/>
      <c r="D44" s="110"/>
      <c r="E44"/>
      <c r="F44"/>
      <c r="G44"/>
      <c r="H44"/>
      <c r="I44"/>
      <c r="J44"/>
      <c r="K44"/>
    </row>
    <row r="45" spans="2:15" ht="14.25" customHeight="1" x14ac:dyDescent="0.2">
      <c r="B45" s="15" t="s">
        <v>44</v>
      </c>
      <c r="D45" s="108">
        <v>24</v>
      </c>
      <c r="E45" s="8">
        <f>-SUMIF('Balancete 09.2023'!C:C,331,'Balancete 09.2023'!K:K)</f>
        <v>487</v>
      </c>
      <c r="F45" s="23"/>
      <c r="G45" s="8">
        <f>-SUMIF('Balancete 3ºtrim'!B:B,331,'Balancete 3ºtrim'!J:J)</f>
        <v>189</v>
      </c>
      <c r="H45" s="23"/>
      <c r="I45" s="8">
        <v>940</v>
      </c>
      <c r="J45" s="8"/>
      <c r="K45" s="8">
        <v>223</v>
      </c>
    </row>
    <row r="46" spans="2:15" ht="14.25" customHeight="1" x14ac:dyDescent="0.2">
      <c r="B46" s="15" t="s">
        <v>45</v>
      </c>
      <c r="D46" s="108">
        <v>24</v>
      </c>
      <c r="E46" s="8">
        <f>-SUMIF('Balancete 09.2023'!C:C,427,'Balancete 09.2023'!K:K)</f>
        <v>-1664</v>
      </c>
      <c r="F46" s="22"/>
      <c r="G46" s="8">
        <f>-SUMIF('Balancete 3ºtrim'!B:B,427,'Balancete 3ºtrim'!J:J)</f>
        <v>-701</v>
      </c>
      <c r="H46" s="22"/>
      <c r="I46" s="8">
        <v>-803</v>
      </c>
      <c r="J46" s="8"/>
      <c r="K46" s="8">
        <v>-201</v>
      </c>
    </row>
    <row r="47" spans="2:15" ht="6.75" customHeight="1" thickBot="1" x14ac:dyDescent="0.25">
      <c r="B47" s="255"/>
      <c r="D47" s="110"/>
      <c r="E47" s="258"/>
      <c r="F47" s="23"/>
      <c r="G47" s="258"/>
      <c r="H47" s="23"/>
      <c r="I47" s="258"/>
      <c r="J47" s="23"/>
      <c r="K47" s="258"/>
    </row>
    <row r="48" spans="2:15" ht="14.25" customHeight="1" x14ac:dyDescent="0.2">
      <c r="C48" s="120"/>
      <c r="D48" s="114"/>
      <c r="E48" s="6">
        <f>SUM(E45:E47)</f>
        <v>-1177</v>
      </c>
      <c r="F48" s="63"/>
      <c r="G48" s="6">
        <f>SUM(G45:G47)</f>
        <v>-512</v>
      </c>
      <c r="H48" s="63"/>
      <c r="I48" s="6">
        <f>SUM(I45:I47)</f>
        <v>137</v>
      </c>
      <c r="J48" s="6"/>
      <c r="K48" s="6">
        <f>SUM(K45:K47)</f>
        <v>22</v>
      </c>
    </row>
    <row r="49" spans="2:16" ht="14.25" customHeight="1" x14ac:dyDescent="0.2">
      <c r="C49" s="120"/>
      <c r="D49" s="115"/>
      <c r="E49" s="64"/>
      <c r="F49" s="63"/>
      <c r="G49" s="64"/>
      <c r="H49" s="63"/>
      <c r="I49" s="64"/>
      <c r="J49" s="38"/>
      <c r="K49" s="64"/>
    </row>
    <row r="50" spans="2:16" s="27" customFormat="1" ht="14.25" customHeight="1" x14ac:dyDescent="0.2">
      <c r="B50" s="27" t="s">
        <v>1264</v>
      </c>
      <c r="C50" s="121"/>
      <c r="D50" s="115"/>
      <c r="E50" s="6">
        <f>+E43+E48</f>
        <v>2189</v>
      </c>
      <c r="F50" s="38"/>
      <c r="G50" s="6">
        <f>+G43+G48</f>
        <v>-886</v>
      </c>
      <c r="H50" s="38"/>
      <c r="I50" s="6">
        <f>+I43+I48</f>
        <v>242</v>
      </c>
      <c r="J50" s="6"/>
      <c r="K50" s="6">
        <f>+K43+K48</f>
        <v>104</v>
      </c>
      <c r="N50" s="261"/>
      <c r="O50" s="261"/>
      <c r="P50" s="261"/>
    </row>
    <row r="51" spans="2:16" ht="6.75" customHeight="1" x14ac:dyDescent="0.2">
      <c r="C51" s="120"/>
      <c r="D51" s="115"/>
      <c r="E51" s="38"/>
      <c r="F51" s="63"/>
      <c r="G51" s="38"/>
      <c r="H51" s="63"/>
      <c r="I51" s="38"/>
      <c r="J51" s="38"/>
      <c r="K51" s="38"/>
    </row>
    <row r="52" spans="2:16" ht="14.25" customHeight="1" x14ac:dyDescent="0.2">
      <c r="B52" s="120" t="s">
        <v>46</v>
      </c>
      <c r="C52" s="255"/>
      <c r="D52" s="108">
        <v>25</v>
      </c>
      <c r="E52" s="8">
        <f>SUM(-SUMIF('Balancete 09.2023'!C:C,4251,'Balancete 09.2023'!K:K),-SUMIF('Balancete 09.2023'!C:C,4252,'Balancete 09.2023'!K:K))</f>
        <v>-755</v>
      </c>
      <c r="F52" s="22"/>
      <c r="G52" s="8">
        <f>SUM(-SUMIF('Balancete 3ºtrim'!B:B,4251,'Balancete 3ºtrim'!J:J),-SUMIF('Balancete 3ºtrim'!B:B,4252,'Balancete 3ºtrim'!J:J))</f>
        <v>120</v>
      </c>
      <c r="H52" s="22"/>
      <c r="I52" s="8">
        <v>-207</v>
      </c>
      <c r="J52" s="8"/>
      <c r="K52" s="8">
        <v>-70</v>
      </c>
    </row>
    <row r="53" spans="2:16" ht="15" customHeight="1" thickBot="1" x14ac:dyDescent="0.25">
      <c r="B53" s="120"/>
      <c r="C53" s="255"/>
      <c r="D53" s="108"/>
      <c r="E53" s="39"/>
      <c r="F53" s="18"/>
      <c r="G53" s="39"/>
      <c r="H53" s="18"/>
      <c r="I53" s="39"/>
      <c r="J53" s="18"/>
      <c r="K53" s="39"/>
    </row>
    <row r="54" spans="2:16" ht="14.25" customHeight="1" thickBot="1" x14ac:dyDescent="0.25">
      <c r="B54" s="121" t="s">
        <v>1263</v>
      </c>
      <c r="D54" s="108"/>
      <c r="E54" s="65">
        <f>+E50+E52</f>
        <v>1434</v>
      </c>
      <c r="F54" s="7"/>
      <c r="G54" s="65">
        <f>+G50+G52</f>
        <v>-766</v>
      </c>
      <c r="H54" s="7"/>
      <c r="I54" s="65">
        <f>+I50+I52</f>
        <v>35</v>
      </c>
      <c r="J54" s="7"/>
      <c r="K54" s="65">
        <f>+K50+K52</f>
        <v>34</v>
      </c>
    </row>
    <row r="55" spans="2:16" ht="14.25" customHeight="1" thickTop="1" x14ac:dyDescent="0.2">
      <c r="C55" s="99"/>
      <c r="D55" s="13"/>
      <c r="E55" s="13"/>
      <c r="G55" s="13"/>
      <c r="I55" s="13"/>
      <c r="J55" s="13"/>
      <c r="K55" s="13"/>
    </row>
    <row r="56" spans="2:16" ht="14.25" customHeight="1" x14ac:dyDescent="0.2">
      <c r="B56" s="15" t="str">
        <f>[1]BP!B54</f>
        <v>As Notas Explicativas são parte integrante das Demonstrações Financeiras intermediáriais.</v>
      </c>
      <c r="C56" s="99"/>
      <c r="D56" s="13"/>
      <c r="E56" s="13"/>
      <c r="I56" s="13"/>
      <c r="J56" s="13"/>
      <c r="K56" s="13"/>
    </row>
    <row r="57" spans="2:16" ht="25.5" customHeight="1" x14ac:dyDescent="0.2">
      <c r="C57" s="99"/>
      <c r="D57" s="13"/>
      <c r="E57" s="13">
        <f>E54-1434</f>
        <v>0</v>
      </c>
      <c r="G57" s="13">
        <f>G54+795+17-46</f>
        <v>0</v>
      </c>
      <c r="I57" s="13"/>
      <c r="J57" s="13"/>
      <c r="K57" s="13"/>
    </row>
    <row r="58" spans="2:16" ht="14.25" customHeight="1" x14ac:dyDescent="0.2">
      <c r="D58" s="13"/>
      <c r="E58" s="13"/>
      <c r="I58" s="13"/>
      <c r="J58" s="13"/>
      <c r="K58" s="13"/>
    </row>
    <row r="59" spans="2:16" ht="14.25" customHeight="1" x14ac:dyDescent="0.2">
      <c r="D59" s="13"/>
      <c r="E59" s="13"/>
      <c r="I59" s="13"/>
      <c r="J59" s="13"/>
      <c r="K59" s="13"/>
    </row>
    <row r="60" spans="2:16" ht="14.25" customHeight="1" x14ac:dyDescent="0.2">
      <c r="E60" s="101"/>
    </row>
    <row r="61" spans="2:16" ht="14.25" customHeight="1" x14ac:dyDescent="0.2">
      <c r="E61" s="101"/>
    </row>
    <row r="62" spans="2:16" ht="14.25" customHeight="1" x14ac:dyDescent="0.2">
      <c r="E62" s="102"/>
    </row>
  </sheetData>
  <mergeCells count="4">
    <mergeCell ref="B2:K2"/>
    <mergeCell ref="B3:K3"/>
    <mergeCell ref="B4:K4"/>
    <mergeCell ref="B5:K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R16"/>
  <sheetViews>
    <sheetView showGridLines="0" workbookViewId="0">
      <selection activeCell="B2" sqref="B2:M16"/>
    </sheetView>
  </sheetViews>
  <sheetFormatPr defaultColWidth="9.140625" defaultRowHeight="14.25" customHeight="1" x14ac:dyDescent="0.2"/>
  <cols>
    <col min="1" max="1" width="2.42578125" style="1" customWidth="1"/>
    <col min="2" max="2" width="30.5703125" style="1" customWidth="1"/>
    <col min="3" max="3" width="9.140625" style="1" customWidth="1"/>
    <col min="4" max="5" width="2.7109375" style="1" customWidth="1"/>
    <col min="6" max="6" width="1.28515625" style="12" customWidth="1"/>
    <col min="7" max="7" width="14.28515625" style="16" customWidth="1"/>
    <col min="8" max="8" width="2.7109375" style="1" customWidth="1"/>
    <col min="9" max="9" width="13.5703125" style="1" customWidth="1"/>
    <col min="10" max="10" width="2.7109375" style="1" customWidth="1"/>
    <col min="11" max="11" width="14.28515625" style="1" customWidth="1"/>
    <col min="12" max="12" width="2.7109375" style="1" customWidth="1"/>
    <col min="13" max="13" width="13.5703125" style="1" customWidth="1"/>
    <col min="14" max="14" width="2.7109375" style="1" customWidth="1"/>
    <col min="15" max="15" width="9.140625" style="1"/>
    <col min="16" max="16" width="14.5703125" style="9" bestFit="1" customWidth="1"/>
    <col min="17" max="17" width="12.7109375" style="9" bestFit="1" customWidth="1"/>
    <col min="18" max="18" width="11.5703125" style="1" bestFit="1" customWidth="1"/>
    <col min="19" max="16384" width="9.140625" style="1"/>
  </cols>
  <sheetData>
    <row r="2" spans="1:18" ht="14.25" customHeight="1" x14ac:dyDescent="0.2">
      <c r="B2" s="652" t="str">
        <f>[1]BP!B2</f>
        <v>Empresa de Pesquisa Energética - EPE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8" ht="14.25" customHeight="1" x14ac:dyDescent="0.2">
      <c r="B3" s="653" t="str">
        <f>[1]BP!B3</f>
        <v>CNPJ 06.977.747/0001-80</v>
      </c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</row>
    <row r="4" spans="1:18" ht="14.25" customHeight="1" x14ac:dyDescent="0.2">
      <c r="B4" s="652" t="s">
        <v>303</v>
      </c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</row>
    <row r="5" spans="1:18" ht="14.25" customHeight="1" x14ac:dyDescent="0.2">
      <c r="B5" s="653" t="str">
        <f>[1]BP!B5</f>
        <v>(em milhares de reais)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</row>
    <row r="7" spans="1:18" ht="24.75" customHeight="1" thickBot="1" x14ac:dyDescent="0.25">
      <c r="F7" s="66"/>
      <c r="G7" s="61" t="s">
        <v>1528</v>
      </c>
      <c r="H7" s="67"/>
      <c r="I7" s="61" t="s">
        <v>1597</v>
      </c>
      <c r="J7" s="67"/>
      <c r="K7" s="61" t="s">
        <v>1530</v>
      </c>
      <c r="M7" s="61" t="s">
        <v>1532</v>
      </c>
    </row>
    <row r="8" spans="1:18" ht="12.75" x14ac:dyDescent="0.2">
      <c r="B8" s="68"/>
      <c r="C8" s="69"/>
      <c r="F8" s="17"/>
      <c r="G8" s="18"/>
      <c r="H8" s="17"/>
      <c r="I8" s="17"/>
      <c r="J8" s="17"/>
      <c r="K8" s="18"/>
    </row>
    <row r="9" spans="1:18" ht="14.25" customHeight="1" x14ac:dyDescent="0.2">
      <c r="B9" s="70" t="s">
        <v>1263</v>
      </c>
      <c r="F9" s="19"/>
      <c r="G9" s="7">
        <f>DRE!E54</f>
        <v>1434</v>
      </c>
      <c r="H9" s="19"/>
      <c r="I9" s="7">
        <f>DRE!G54</f>
        <v>-766</v>
      </c>
      <c r="J9" s="19"/>
      <c r="K9" s="7">
        <f>DRE!I54</f>
        <v>35</v>
      </c>
      <c r="M9" s="7">
        <f>DRE!K54</f>
        <v>34</v>
      </c>
    </row>
    <row r="10" spans="1:18" ht="14.25" customHeight="1" x14ac:dyDescent="0.2">
      <c r="B10" s="70"/>
      <c r="C10" s="20"/>
      <c r="F10" s="11"/>
      <c r="G10" s="13"/>
      <c r="K10" s="13"/>
    </row>
    <row r="11" spans="1:18" ht="12.75" x14ac:dyDescent="0.2">
      <c r="B11" s="68" t="s">
        <v>1301</v>
      </c>
      <c r="C11" s="20"/>
      <c r="F11" s="11"/>
      <c r="G11" s="13">
        <v>0</v>
      </c>
      <c r="I11" s="13">
        <v>0</v>
      </c>
      <c r="K11" s="13">
        <v>0</v>
      </c>
      <c r="M11" s="13">
        <v>0</v>
      </c>
    </row>
    <row r="12" spans="1:18" ht="14.25" customHeight="1" x14ac:dyDescent="0.2">
      <c r="F12" s="11"/>
      <c r="G12" s="21"/>
      <c r="K12" s="21"/>
    </row>
    <row r="13" spans="1:18" s="12" customFormat="1" ht="14.25" customHeight="1" x14ac:dyDescent="0.2">
      <c r="A13" s="1"/>
      <c r="B13" s="70" t="s">
        <v>54</v>
      </c>
      <c r="C13" s="1"/>
      <c r="D13" s="1"/>
      <c r="E13" s="1"/>
      <c r="G13" s="7">
        <f>SUM(G9:G12)</f>
        <v>1434</v>
      </c>
      <c r="H13" s="7"/>
      <c r="I13" s="7">
        <f>SUM(I9:I12)</f>
        <v>-766</v>
      </c>
      <c r="J13" s="7"/>
      <c r="K13" s="7">
        <f>SUM(K9:K12)</f>
        <v>35</v>
      </c>
      <c r="L13" s="1"/>
      <c r="M13" s="7">
        <f>SUM(M9:M12)</f>
        <v>34</v>
      </c>
      <c r="N13" s="1"/>
      <c r="O13" s="1"/>
      <c r="P13" s="9"/>
      <c r="Q13" s="9"/>
      <c r="R13" s="1"/>
    </row>
    <row r="14" spans="1:18" s="12" customFormat="1" ht="14.25" hidden="1" customHeight="1" x14ac:dyDescent="0.2">
      <c r="A14" s="1"/>
      <c r="B14" s="1"/>
      <c r="C14" s="1"/>
      <c r="D14" s="1"/>
      <c r="E14" s="1"/>
      <c r="G14" s="259">
        <f>SUM(G9:G12)</f>
        <v>1434</v>
      </c>
      <c r="H14" s="1"/>
      <c r="I14" s="1"/>
      <c r="J14" s="1"/>
      <c r="K14" s="259">
        <f>SUM(K9:K12)</f>
        <v>35</v>
      </c>
      <c r="L14" s="1"/>
      <c r="M14" s="1"/>
      <c r="N14" s="1"/>
      <c r="O14" s="1"/>
      <c r="P14" s="9"/>
      <c r="Q14" s="9"/>
      <c r="R14" s="1"/>
    </row>
    <row r="16" spans="1:18" ht="14.25" customHeight="1" x14ac:dyDescent="0.2">
      <c r="B16" s="14" t="str">
        <f>[1]BP!B54</f>
        <v>As Notas Explicativas são parte integrante das Demonstrações Financeiras intermediáriais.</v>
      </c>
    </row>
  </sheetData>
  <mergeCells count="4">
    <mergeCell ref="B2:M2"/>
    <mergeCell ref="B3:M3"/>
    <mergeCell ref="B4:M4"/>
    <mergeCell ref="B5:M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5:Q55"/>
  <sheetViews>
    <sheetView showGridLines="0" zoomScaleNormal="100" zoomScaleSheetLayoutView="90" workbookViewId="0">
      <selection activeCell="B4" sqref="B4:N41"/>
    </sheetView>
  </sheetViews>
  <sheetFormatPr defaultColWidth="9.140625" defaultRowHeight="12.75" x14ac:dyDescent="0.2"/>
  <cols>
    <col min="1" max="1" width="3" style="1" customWidth="1"/>
    <col min="2" max="2" width="34.28515625" style="1" customWidth="1"/>
    <col min="3" max="3" width="12.140625" style="1" customWidth="1"/>
    <col min="4" max="4" width="15" style="1" customWidth="1"/>
    <col min="5" max="5" width="1.5703125" style="1" customWidth="1"/>
    <col min="6" max="6" width="14.7109375" style="1" hidden="1" customWidth="1"/>
    <col min="7" max="7" width="2.7109375" style="1" hidden="1" customWidth="1"/>
    <col min="8" max="8" width="9" style="1" hidden="1" customWidth="1"/>
    <col min="9" max="9" width="2.7109375" style="1" hidden="1" customWidth="1"/>
    <col min="10" max="10" width="19.140625" style="1" customWidth="1"/>
    <col min="11" max="11" width="2.7109375" style="1" customWidth="1"/>
    <col min="12" max="12" width="16.28515625" style="1" customWidth="1"/>
    <col min="13" max="13" width="2.7109375" style="1" bestFit="1" customWidth="1"/>
    <col min="14" max="14" width="20" style="1" customWidth="1"/>
    <col min="15" max="15" width="4" style="1" customWidth="1"/>
    <col min="16" max="16384" width="9.140625" style="1"/>
  </cols>
  <sheetData>
    <row r="5" spans="2:15" x14ac:dyDescent="0.2">
      <c r="B5" s="652" t="str">
        <f>BP!B2</f>
        <v>Empresa de Pesquisa Energética - EPE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</row>
    <row r="6" spans="2:15" x14ac:dyDescent="0.2">
      <c r="B6" s="653" t="str">
        <f>BP!B3</f>
        <v>CNPJ 06.977.747/0001-80</v>
      </c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</row>
    <row r="7" spans="2:15" x14ac:dyDescent="0.2">
      <c r="B7" s="652" t="s">
        <v>47</v>
      </c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</row>
    <row r="8" spans="2:15" x14ac:dyDescent="0.2">
      <c r="B8" s="653" t="str">
        <f>BP!B5</f>
        <v>(em milhares de reais)</v>
      </c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</row>
    <row r="10" spans="2:15" ht="38.25" x14ac:dyDescent="0.2">
      <c r="C10" s="107" t="s">
        <v>304</v>
      </c>
      <c r="D10" s="3" t="s">
        <v>48</v>
      </c>
      <c r="E10" s="3"/>
      <c r="F10" s="3" t="s">
        <v>49</v>
      </c>
      <c r="G10" s="3"/>
      <c r="H10" s="3" t="s">
        <v>50</v>
      </c>
      <c r="I10" s="4"/>
      <c r="J10" s="4" t="s">
        <v>51</v>
      </c>
      <c r="K10" s="4"/>
      <c r="L10" s="3" t="s">
        <v>52</v>
      </c>
      <c r="M10" s="3"/>
      <c r="N10" s="3" t="s">
        <v>53</v>
      </c>
    </row>
    <row r="11" spans="2:15" x14ac:dyDescent="0.2">
      <c r="C11" s="108"/>
      <c r="D11" s="11"/>
      <c r="E11" s="11"/>
      <c r="F11" s="11"/>
      <c r="G11" s="11"/>
      <c r="H11" s="11"/>
      <c r="I11" s="11"/>
      <c r="J11" s="11"/>
      <c r="K11" s="11"/>
      <c r="L11" s="8"/>
      <c r="M11" s="11"/>
      <c r="N11" s="8"/>
    </row>
    <row r="12" spans="2:15" ht="13.5" hidden="1" thickBot="1" x14ac:dyDescent="0.25">
      <c r="B12" s="27" t="s">
        <v>520</v>
      </c>
      <c r="C12" s="108"/>
      <c r="D12" s="134">
        <v>20544</v>
      </c>
      <c r="E12" s="6"/>
      <c r="F12" s="134">
        <v>163</v>
      </c>
      <c r="G12" s="7"/>
      <c r="H12" s="134">
        <v>0</v>
      </c>
      <c r="I12" s="6"/>
      <c r="J12" s="134">
        <v>5667</v>
      </c>
      <c r="K12" s="6"/>
      <c r="L12" s="5">
        <v>0</v>
      </c>
      <c r="M12" s="6"/>
      <c r="N12" s="5">
        <f>SUM(D12:L12)</f>
        <v>26374</v>
      </c>
      <c r="O12" s="12"/>
    </row>
    <row r="13" spans="2:15" ht="13.5" hidden="1" thickTop="1" x14ac:dyDescent="0.2">
      <c r="B13" s="27"/>
      <c r="C13" s="108"/>
      <c r="D13" s="7"/>
      <c r="E13" s="6"/>
      <c r="F13" s="7"/>
      <c r="G13" s="7"/>
      <c r="H13" s="7"/>
      <c r="I13" s="6"/>
      <c r="J13" s="7"/>
      <c r="K13" s="6"/>
      <c r="L13" s="7"/>
      <c r="M13" s="6"/>
      <c r="N13" s="8">
        <f>SUM(D13:L13)</f>
        <v>0</v>
      </c>
      <c r="O13" s="12"/>
    </row>
    <row r="14" spans="2:15" hidden="1" x14ac:dyDescent="0.2">
      <c r="B14" s="1" t="s">
        <v>1151</v>
      </c>
      <c r="C14" s="232">
        <v>17</v>
      </c>
      <c r="D14" s="21">
        <f>J12</f>
        <v>5667</v>
      </c>
      <c r="E14" s="8"/>
      <c r="F14" s="21">
        <v>0</v>
      </c>
      <c r="G14" s="21"/>
      <c r="H14" s="21"/>
      <c r="I14" s="8"/>
      <c r="J14" s="21">
        <f>-D14</f>
        <v>-5667</v>
      </c>
      <c r="K14" s="8"/>
      <c r="L14" s="21">
        <v>0</v>
      </c>
      <c r="M14" s="8"/>
      <c r="N14" s="8">
        <f t="shared" ref="N14:N17" si="0">SUM(D14:L14)</f>
        <v>0</v>
      </c>
      <c r="O14" s="11"/>
    </row>
    <row r="15" spans="2:15" hidden="1" x14ac:dyDescent="0.2">
      <c r="B15" s="15" t="s">
        <v>85</v>
      </c>
      <c r="C15" s="108">
        <v>18</v>
      </c>
      <c r="D15" s="8">
        <v>0</v>
      </c>
      <c r="E15" s="13"/>
      <c r="F15" s="8">
        <v>0</v>
      </c>
      <c r="G15" s="13"/>
      <c r="H15" s="8">
        <v>0</v>
      </c>
      <c r="I15" s="13"/>
      <c r="J15" s="8">
        <v>2258</v>
      </c>
      <c r="K15" s="13"/>
      <c r="L15" s="13">
        <v>0</v>
      </c>
      <c r="M15" s="13"/>
      <c r="N15" s="8">
        <f t="shared" si="0"/>
        <v>2258</v>
      </c>
    </row>
    <row r="16" spans="2:15" hidden="1" x14ac:dyDescent="0.2">
      <c r="B16" s="15" t="s">
        <v>1152</v>
      </c>
      <c r="C16" s="108">
        <v>19</v>
      </c>
      <c r="D16" s="13">
        <v>0</v>
      </c>
      <c r="E16" s="13"/>
      <c r="F16" s="13">
        <v>0</v>
      </c>
      <c r="G16" s="13"/>
      <c r="H16" s="13">
        <v>0</v>
      </c>
      <c r="I16" s="13"/>
      <c r="J16" s="13">
        <v>0</v>
      </c>
      <c r="K16" s="13"/>
      <c r="L16" s="8">
        <f>-3521</f>
        <v>-3521</v>
      </c>
      <c r="M16" s="13"/>
      <c r="N16" s="8">
        <f t="shared" si="0"/>
        <v>-3521</v>
      </c>
    </row>
    <row r="17" spans="2:17" hidden="1" x14ac:dyDescent="0.2">
      <c r="B17" s="15" t="s">
        <v>1153</v>
      </c>
      <c r="C17" s="108">
        <v>19</v>
      </c>
      <c r="D17" s="105" t="s">
        <v>84</v>
      </c>
      <c r="E17" s="13"/>
      <c r="F17" s="8">
        <v>-163</v>
      </c>
      <c r="G17" s="13"/>
      <c r="H17" s="8">
        <v>0</v>
      </c>
      <c r="I17" s="13"/>
      <c r="J17" s="8">
        <v>0</v>
      </c>
      <c r="K17" s="13"/>
      <c r="L17" s="13">
        <f>-F17-H17</f>
        <v>163</v>
      </c>
      <c r="M17" s="13"/>
      <c r="N17" s="8">
        <f t="shared" si="0"/>
        <v>0</v>
      </c>
    </row>
    <row r="18" spans="2:17" x14ac:dyDescent="0.2">
      <c r="B18" s="15"/>
      <c r="C18" s="10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8"/>
    </row>
    <row r="19" spans="2:17" ht="13.5" thickBot="1" x14ac:dyDescent="0.25">
      <c r="B19" s="27" t="s">
        <v>1144</v>
      </c>
      <c r="C19" s="108"/>
      <c r="D19" s="5">
        <f>SUM(D12:D18)</f>
        <v>26211</v>
      </c>
      <c r="E19" s="6"/>
      <c r="F19" s="5">
        <f>SUM(F12:F18)</f>
        <v>0</v>
      </c>
      <c r="G19" s="7"/>
      <c r="H19" s="5">
        <f>SUM(H12:H18)</f>
        <v>0</v>
      </c>
      <c r="I19" s="6"/>
      <c r="J19" s="5">
        <f>SUM(J12:J18)</f>
        <v>2258</v>
      </c>
      <c r="K19" s="6"/>
      <c r="L19" s="5">
        <v>-2983</v>
      </c>
      <c r="M19" s="6"/>
      <c r="N19" s="5">
        <f>SUM(D19:L19)</f>
        <v>25486</v>
      </c>
      <c r="O19" s="11"/>
      <c r="Q19" s="11"/>
    </row>
    <row r="20" spans="2:17" ht="13.5" thickTop="1" x14ac:dyDescent="0.2">
      <c r="C20" s="108"/>
      <c r="N20" s="11"/>
      <c r="O20" s="11"/>
    </row>
    <row r="21" spans="2:17" x14ac:dyDescent="0.2">
      <c r="B21" s="15" t="s">
        <v>1151</v>
      </c>
      <c r="C21" s="108">
        <v>17</v>
      </c>
      <c r="D21" s="11">
        <v>2258</v>
      </c>
      <c r="E21" s="11"/>
      <c r="F21" s="11">
        <v>0</v>
      </c>
      <c r="G21" s="11"/>
      <c r="H21" s="11">
        <v>0</v>
      </c>
      <c r="I21" s="11"/>
      <c r="J21" s="11">
        <v>-2258</v>
      </c>
      <c r="K21" s="11"/>
      <c r="L21" s="8">
        <v>0</v>
      </c>
      <c r="M21" s="11"/>
      <c r="N21" s="8">
        <f>SUM(D21:L21)</f>
        <v>0</v>
      </c>
    </row>
    <row r="22" spans="2:17" x14ac:dyDescent="0.2">
      <c r="B22" s="15" t="s">
        <v>85</v>
      </c>
      <c r="C22" s="108"/>
      <c r="D22" s="8">
        <v>0</v>
      </c>
      <c r="E22" s="11"/>
      <c r="F22" s="8">
        <v>0</v>
      </c>
      <c r="G22" s="11"/>
      <c r="H22" s="8">
        <v>0</v>
      </c>
      <c r="I22" s="11"/>
      <c r="J22" s="8">
        <v>1886</v>
      </c>
      <c r="K22" s="11"/>
      <c r="L22" s="11">
        <v>0</v>
      </c>
      <c r="M22" s="11"/>
      <c r="N22" s="8">
        <f>SUM(D22:L22)</f>
        <v>1886</v>
      </c>
    </row>
    <row r="23" spans="2:17" x14ac:dyDescent="0.2">
      <c r="B23" s="1" t="s">
        <v>810</v>
      </c>
      <c r="C23" s="108"/>
      <c r="D23" s="8">
        <v>0</v>
      </c>
      <c r="E23" s="11"/>
      <c r="F23" s="8"/>
      <c r="G23" s="11"/>
      <c r="H23" s="8"/>
      <c r="I23" s="11"/>
      <c r="J23" s="8">
        <v>0</v>
      </c>
      <c r="K23" s="11"/>
      <c r="L23" s="11">
        <v>375</v>
      </c>
      <c r="M23" s="11"/>
      <c r="N23" s="8">
        <f>SUM(D23:L23)</f>
        <v>375</v>
      </c>
    </row>
    <row r="24" spans="2:17" x14ac:dyDescent="0.2">
      <c r="B24" s="15" t="s">
        <v>1266</v>
      </c>
      <c r="C24" s="108"/>
      <c r="D24" s="105" t="s">
        <v>84</v>
      </c>
      <c r="E24" s="11"/>
      <c r="F24" s="8">
        <f>-F18</f>
        <v>0</v>
      </c>
      <c r="G24" s="11"/>
      <c r="H24" s="8">
        <v>0</v>
      </c>
      <c r="I24" s="11"/>
      <c r="J24" s="8">
        <v>0</v>
      </c>
      <c r="K24" s="11"/>
      <c r="L24" s="11">
        <v>35</v>
      </c>
      <c r="M24" s="11"/>
      <c r="N24" s="8">
        <f>SUM(D24:L24)</f>
        <v>35</v>
      </c>
    </row>
    <row r="25" spans="2:17" hidden="1" x14ac:dyDescent="0.2">
      <c r="B25" s="1" t="s">
        <v>301</v>
      </c>
      <c r="C25" s="108"/>
      <c r="D25" s="105" t="s">
        <v>84</v>
      </c>
      <c r="E25" s="11"/>
      <c r="F25" s="8"/>
      <c r="G25" s="11"/>
      <c r="H25" s="8">
        <v>0</v>
      </c>
      <c r="I25" s="11"/>
      <c r="J25" s="8">
        <v>0</v>
      </c>
      <c r="K25" s="11"/>
      <c r="L25" s="11"/>
      <c r="M25" s="11"/>
      <c r="N25" s="8">
        <f t="shared" ref="N25" si="1">SUM(D25:L25)</f>
        <v>0</v>
      </c>
      <c r="P25" s="11"/>
    </row>
    <row r="26" spans="2:17" x14ac:dyDescent="0.2">
      <c r="C26" s="10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8"/>
    </row>
    <row r="27" spans="2:17" s="15" customFormat="1" ht="13.5" thickBot="1" x14ac:dyDescent="0.25">
      <c r="B27" s="27" t="s">
        <v>1533</v>
      </c>
      <c r="C27" s="27"/>
      <c r="D27" s="5">
        <f>SUM(D19:D26)</f>
        <v>28469</v>
      </c>
      <c r="E27" s="6">
        <f t="shared" ref="E27:I27" si="2">SUM(E16:E22)</f>
        <v>0</v>
      </c>
      <c r="F27" s="5">
        <f>SUM(F19:F26)</f>
        <v>0</v>
      </c>
      <c r="G27" s="7">
        <f t="shared" si="2"/>
        <v>0</v>
      </c>
      <c r="H27" s="5">
        <f t="shared" si="2"/>
        <v>0</v>
      </c>
      <c r="I27" s="6">
        <f t="shared" si="2"/>
        <v>0</v>
      </c>
      <c r="J27" s="5">
        <f>SUM(J19:J25)</f>
        <v>1886</v>
      </c>
      <c r="K27" s="6"/>
      <c r="L27" s="5">
        <f>SUM(L19:L26)</f>
        <v>-2573</v>
      </c>
      <c r="M27" s="6"/>
      <c r="N27" s="5">
        <f>SUM(N19:N26)</f>
        <v>27782</v>
      </c>
      <c r="O27" s="13"/>
      <c r="P27" s="13"/>
      <c r="Q27" s="13"/>
    </row>
    <row r="28" spans="2:17" s="15" customFormat="1" ht="13.5" thickTop="1" x14ac:dyDescent="0.2">
      <c r="C28" s="10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8"/>
    </row>
    <row r="29" spans="2:17" x14ac:dyDescent="0.2">
      <c r="C29" s="10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8"/>
    </row>
    <row r="30" spans="2:17" ht="13.5" thickBot="1" x14ac:dyDescent="0.25">
      <c r="B30" s="27" t="s">
        <v>833</v>
      </c>
      <c r="C30" s="27"/>
      <c r="D30" s="5">
        <f>D27</f>
        <v>28469</v>
      </c>
      <c r="E30" s="6">
        <f t="shared" ref="E30:I30" si="3">SUM(E19:E26)</f>
        <v>0</v>
      </c>
      <c r="F30" s="5">
        <f t="shared" si="3"/>
        <v>0</v>
      </c>
      <c r="G30" s="7">
        <f t="shared" si="3"/>
        <v>0</v>
      </c>
      <c r="H30" s="5">
        <f t="shared" si="3"/>
        <v>0</v>
      </c>
      <c r="I30" s="6">
        <f t="shared" si="3"/>
        <v>0</v>
      </c>
      <c r="J30" s="5">
        <f>BP!F46</f>
        <v>2550</v>
      </c>
      <c r="K30" s="6"/>
      <c r="L30" s="5">
        <f>BP!F47</f>
        <v>-5810</v>
      </c>
      <c r="M30" s="6"/>
      <c r="N30" s="5">
        <f>SUM(D30:L30)</f>
        <v>25209</v>
      </c>
      <c r="O30" s="11">
        <f>N30-25209</f>
        <v>0</v>
      </c>
    </row>
    <row r="31" spans="2:17" ht="13.5" hidden="1" thickTop="1" x14ac:dyDescent="0.2">
      <c r="B31" s="15" t="s">
        <v>1151</v>
      </c>
      <c r="C31" s="108">
        <v>17</v>
      </c>
      <c r="D31" s="11">
        <v>0</v>
      </c>
      <c r="E31" s="11"/>
      <c r="F31" s="11">
        <v>0</v>
      </c>
      <c r="G31" s="11"/>
      <c r="H31" s="11">
        <v>0</v>
      </c>
      <c r="I31" s="11"/>
      <c r="J31" s="11">
        <f>-D31</f>
        <v>0</v>
      </c>
      <c r="K31" s="11"/>
      <c r="L31" s="8">
        <v>0</v>
      </c>
      <c r="M31" s="11"/>
      <c r="N31" s="8">
        <f t="shared" ref="N31" si="4">SUM(D31:L31)</f>
        <v>0</v>
      </c>
      <c r="O31" s="11"/>
    </row>
    <row r="32" spans="2:17" ht="13.5" thickTop="1" x14ac:dyDescent="0.2">
      <c r="B32" s="15"/>
      <c r="C32" s="108"/>
      <c r="D32" s="11"/>
      <c r="E32" s="11"/>
      <c r="F32" s="11"/>
      <c r="G32" s="11"/>
      <c r="H32" s="11"/>
      <c r="I32" s="11"/>
      <c r="J32" s="11"/>
      <c r="K32" s="11"/>
      <c r="L32" s="8"/>
      <c r="M32" s="11"/>
      <c r="N32" s="8"/>
      <c r="O32" s="11"/>
    </row>
    <row r="33" spans="2:15" x14ac:dyDescent="0.2">
      <c r="B33" s="15" t="s">
        <v>1151</v>
      </c>
      <c r="C33" s="108">
        <v>17</v>
      </c>
      <c r="D33" s="11">
        <v>2550</v>
      </c>
      <c r="E33" s="11"/>
      <c r="F33" s="11"/>
      <c r="G33" s="11"/>
      <c r="H33" s="11"/>
      <c r="I33" s="11"/>
      <c r="J33" s="11">
        <v>-2550</v>
      </c>
      <c r="K33" s="11"/>
      <c r="L33" s="8">
        <v>0</v>
      </c>
      <c r="M33" s="11"/>
      <c r="N33" s="8">
        <v>0</v>
      </c>
      <c r="O33" s="11"/>
    </row>
    <row r="34" spans="2:15" x14ac:dyDescent="0.2">
      <c r="B34" s="15" t="s">
        <v>85</v>
      </c>
      <c r="C34" s="108">
        <v>18</v>
      </c>
      <c r="D34" s="8">
        <v>0</v>
      </c>
      <c r="E34" s="11"/>
      <c r="F34" s="8">
        <v>0</v>
      </c>
      <c r="G34" s="11"/>
      <c r="H34" s="8">
        <v>0</v>
      </c>
      <c r="I34" s="11"/>
      <c r="J34" s="8">
        <f>-SUMIF('Balancete 09.2023'!C:C,247,'Balancete 09.2023'!K:K)</f>
        <v>246</v>
      </c>
      <c r="K34" s="11"/>
      <c r="L34" s="11">
        <v>0</v>
      </c>
      <c r="M34" s="11"/>
      <c r="N34" s="8">
        <f>SUM(D34:L34)</f>
        <v>246</v>
      </c>
      <c r="O34" s="11"/>
    </row>
    <row r="35" spans="2:15" x14ac:dyDescent="0.2">
      <c r="B35" s="15" t="s">
        <v>1266</v>
      </c>
      <c r="C35" s="108">
        <v>19</v>
      </c>
      <c r="D35" s="105">
        <v>0</v>
      </c>
      <c r="E35" s="11"/>
      <c r="F35" s="8">
        <f>-F25</f>
        <v>0</v>
      </c>
      <c r="G35" s="11"/>
      <c r="H35" s="8">
        <v>0</v>
      </c>
      <c r="I35" s="11"/>
      <c r="J35" s="8">
        <v>0</v>
      </c>
      <c r="K35" s="11"/>
      <c r="L35" s="11">
        <f>DRE!E54</f>
        <v>1434</v>
      </c>
      <c r="M35" s="11"/>
      <c r="N35" s="8">
        <f>SUM(D35:L35)</f>
        <v>1434</v>
      </c>
      <c r="O35" s="11"/>
    </row>
    <row r="36" spans="2:15" hidden="1" x14ac:dyDescent="0.2">
      <c r="B36" s="1" t="s">
        <v>301</v>
      </c>
      <c r="C36" s="108"/>
      <c r="D36" s="105">
        <v>0</v>
      </c>
      <c r="E36" s="11"/>
      <c r="F36" s="8"/>
      <c r="G36" s="11"/>
      <c r="H36" s="8">
        <v>0</v>
      </c>
      <c r="I36" s="11"/>
      <c r="J36" s="8">
        <v>0</v>
      </c>
      <c r="K36" s="11"/>
      <c r="L36" s="11">
        <v>0</v>
      </c>
      <c r="M36" s="11"/>
      <c r="N36" s="8">
        <f>SUM(D36:L36)</f>
        <v>0</v>
      </c>
      <c r="O36" s="11"/>
    </row>
    <row r="37" spans="2:15" x14ac:dyDescent="0.2">
      <c r="C37" s="10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8"/>
      <c r="O37" s="11"/>
    </row>
    <row r="38" spans="2:15" ht="13.5" thickBot="1" x14ac:dyDescent="0.25">
      <c r="B38" s="27" t="s">
        <v>1598</v>
      </c>
      <c r="C38" s="27"/>
      <c r="D38" s="5">
        <f>SUM(D30:D37)</f>
        <v>31019</v>
      </c>
      <c r="E38" s="6">
        <f t="shared" ref="E38:I38" si="5">SUM(E26:E37)</f>
        <v>0</v>
      </c>
      <c r="F38" s="5">
        <f t="shared" si="5"/>
        <v>0</v>
      </c>
      <c r="G38" s="7">
        <f t="shared" si="5"/>
        <v>0</v>
      </c>
      <c r="H38" s="5">
        <f t="shared" si="5"/>
        <v>0</v>
      </c>
      <c r="I38" s="6">
        <f t="shared" si="5"/>
        <v>0</v>
      </c>
      <c r="J38" s="5">
        <f>SUM(J30:J37)</f>
        <v>246</v>
      </c>
      <c r="K38" s="6"/>
      <c r="L38" s="5">
        <f>SUM(L30:L37)</f>
        <v>-4376</v>
      </c>
      <c r="M38" s="6"/>
      <c r="N38" s="5">
        <f>SUM(D38:L38)</f>
        <v>26889</v>
      </c>
      <c r="O38" s="6"/>
    </row>
    <row r="39" spans="2:15" ht="13.5" thickTop="1" x14ac:dyDescent="0.2">
      <c r="B39" s="27"/>
      <c r="C39" s="27"/>
      <c r="D39" s="7"/>
      <c r="E39" s="6"/>
      <c r="F39" s="7"/>
      <c r="G39" s="7"/>
      <c r="H39" s="7"/>
      <c r="I39" s="6"/>
      <c r="J39" s="7"/>
      <c r="K39" s="6"/>
      <c r="L39" s="7"/>
      <c r="M39" s="6"/>
      <c r="N39" s="7"/>
      <c r="O39" s="6"/>
    </row>
    <row r="40" spans="2:15" x14ac:dyDescent="0.2">
      <c r="B40" s="1" t="str">
        <f>BP!B53</f>
        <v>As notas explicativas são parte integrante das demonstrações financeiras intermediárias.</v>
      </c>
      <c r="L40" s="11"/>
      <c r="N40" s="9"/>
    </row>
    <row r="41" spans="2:15" x14ac:dyDescent="0.2">
      <c r="I41" s="12"/>
      <c r="J41" s="12"/>
      <c r="K41" s="12"/>
    </row>
    <row r="42" spans="2:15" x14ac:dyDescent="0.2">
      <c r="D42" s="11">
        <f>D38-BP!D44</f>
        <v>0</v>
      </c>
      <c r="J42" s="11">
        <f>J38-BP!D46</f>
        <v>0</v>
      </c>
      <c r="L42" s="11">
        <f>L38-BP!D47</f>
        <v>0</v>
      </c>
      <c r="N42" s="11">
        <f>N38-BP!D48</f>
        <v>0</v>
      </c>
    </row>
    <row r="44" spans="2:15" x14ac:dyDescent="0.2">
      <c r="I44" s="12"/>
      <c r="J44" s="12"/>
      <c r="K44" s="12"/>
      <c r="O44" s="11"/>
    </row>
    <row r="45" spans="2:15" x14ac:dyDescent="0.2">
      <c r="I45" s="12"/>
      <c r="J45" s="12"/>
      <c r="K45" s="12"/>
    </row>
    <row r="46" spans="2:15" x14ac:dyDescent="0.2">
      <c r="I46" s="12"/>
      <c r="J46" s="12"/>
      <c r="K46" s="12"/>
    </row>
    <row r="47" spans="2:15" x14ac:dyDescent="0.2">
      <c r="I47" s="12"/>
      <c r="J47" s="12"/>
      <c r="K47" s="12"/>
    </row>
    <row r="55" spans="6:8" x14ac:dyDescent="0.2">
      <c r="F55" s="10"/>
      <c r="G55" s="10"/>
      <c r="H55" s="10"/>
    </row>
  </sheetData>
  <mergeCells count="4">
    <mergeCell ref="B5:N5"/>
    <mergeCell ref="B6:N6"/>
    <mergeCell ref="B7:N7"/>
    <mergeCell ref="B8:N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portrait" r:id="rId1"/>
  <ignoredErrors>
    <ignoredError sqref="N15 N34 N21" formulaRange="1"/>
    <ignoredError sqref="E27:F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M55"/>
  <sheetViews>
    <sheetView showGridLines="0" zoomScaleNormal="100" workbookViewId="0">
      <selection activeCell="H24" sqref="H24"/>
    </sheetView>
  </sheetViews>
  <sheetFormatPr defaultColWidth="9.140625" defaultRowHeight="12.75" x14ac:dyDescent="0.2"/>
  <cols>
    <col min="1" max="1" width="4.7109375" style="14" customWidth="1"/>
    <col min="2" max="2" width="67.85546875" style="45" customWidth="1"/>
    <col min="3" max="3" width="12.28515625" style="45" customWidth="1"/>
    <col min="4" max="4" width="3.5703125" style="45" customWidth="1"/>
    <col min="5" max="5" width="14.5703125" style="45" customWidth="1"/>
    <col min="6" max="6" width="2.5703125" style="14" customWidth="1"/>
    <col min="7" max="7" width="9.140625" style="14"/>
    <col min="8" max="8" width="12.85546875" style="14" bestFit="1" customWidth="1"/>
    <col min="9" max="16384" width="9.140625" style="14"/>
  </cols>
  <sheetData>
    <row r="1" spans="2:13" x14ac:dyDescent="0.2">
      <c r="B1" s="650" t="str">
        <f>BP!B2</f>
        <v>Empresa de Pesquisa Energética - EPE</v>
      </c>
      <c r="C1" s="650"/>
      <c r="D1" s="650"/>
      <c r="E1" s="650"/>
      <c r="F1" s="650"/>
      <c r="G1" s="27"/>
      <c r="H1" s="27"/>
      <c r="I1" s="27"/>
      <c r="J1" s="27"/>
    </row>
    <row r="2" spans="2:13" x14ac:dyDescent="0.2">
      <c r="B2" s="651" t="str">
        <f>BP!B3</f>
        <v>CNPJ 06.977.747/0001-80</v>
      </c>
      <c r="C2" s="651"/>
      <c r="D2" s="651"/>
      <c r="E2" s="651"/>
      <c r="F2" s="651"/>
      <c r="G2" s="15"/>
      <c r="H2" s="15"/>
      <c r="I2" s="15"/>
      <c r="J2" s="15"/>
    </row>
    <row r="3" spans="2:13" x14ac:dyDescent="0.2">
      <c r="B3" s="650" t="s">
        <v>78</v>
      </c>
      <c r="C3" s="650"/>
      <c r="D3" s="650"/>
      <c r="E3" s="650"/>
      <c r="F3" s="650"/>
      <c r="G3" s="27"/>
      <c r="H3" s="27"/>
      <c r="I3" s="27"/>
      <c r="J3" s="27"/>
    </row>
    <row r="4" spans="2:13" x14ac:dyDescent="0.2">
      <c r="B4" s="651" t="str">
        <f>BP!B5</f>
        <v>(em milhares de reais)</v>
      </c>
      <c r="C4" s="651"/>
      <c r="D4" s="651"/>
      <c r="E4" s="651"/>
      <c r="F4" s="651"/>
      <c r="G4" s="15"/>
      <c r="H4" s="15"/>
      <c r="I4" s="15"/>
      <c r="J4" s="15"/>
    </row>
    <row r="5" spans="2:13" ht="13.5" thickBot="1" x14ac:dyDescent="0.25">
      <c r="B5" s="42"/>
      <c r="C5" s="219">
        <v>45199</v>
      </c>
      <c r="D5" s="42"/>
      <c r="E5" s="218">
        <v>44834</v>
      </c>
    </row>
    <row r="6" spans="2:13" x14ac:dyDescent="0.2">
      <c r="B6" s="43" t="s">
        <v>79</v>
      </c>
      <c r="C6" s="72"/>
      <c r="D6" s="73"/>
      <c r="E6" s="72"/>
    </row>
    <row r="7" spans="2:13" x14ac:dyDescent="0.2">
      <c r="B7" s="104" t="s">
        <v>26</v>
      </c>
      <c r="C7" s="50">
        <f>DRE!E54</f>
        <v>1434</v>
      </c>
      <c r="D7" s="74"/>
      <c r="E7" s="47">
        <f>DRE!I54</f>
        <v>35</v>
      </c>
    </row>
    <row r="8" spans="2:13" x14ac:dyDescent="0.2">
      <c r="B8" s="48" t="s">
        <v>87</v>
      </c>
      <c r="C8" s="50">
        <f>SUMIF('Balancete 09.2023'!C:C,31,'Balancete 09.2023'!K:K)</f>
        <v>-91361</v>
      </c>
      <c r="D8" s="74"/>
      <c r="E8" s="47">
        <v>-79339</v>
      </c>
    </row>
    <row r="9" spans="2:13" x14ac:dyDescent="0.2">
      <c r="B9" s="48" t="s">
        <v>810</v>
      </c>
      <c r="C9" s="50">
        <v>0</v>
      </c>
      <c r="D9" s="74"/>
      <c r="E9" s="47">
        <f>DMPL!N23</f>
        <v>375</v>
      </c>
      <c r="G9" s="50"/>
      <c r="J9" s="71"/>
      <c r="K9" s="71"/>
      <c r="M9" s="71"/>
    </row>
    <row r="10" spans="2:13" ht="15" customHeight="1" x14ac:dyDescent="0.2">
      <c r="B10" s="48" t="s">
        <v>88</v>
      </c>
      <c r="C10" s="50">
        <f>-'Mov imob'!F20-'Mov imob'!E34</f>
        <v>2420.6284999999998</v>
      </c>
      <c r="D10" s="50"/>
      <c r="E10" s="50">
        <v>2209</v>
      </c>
    </row>
    <row r="11" spans="2:13" hidden="1" x14ac:dyDescent="0.2">
      <c r="B11" s="48" t="s">
        <v>1606</v>
      </c>
      <c r="C11" s="50">
        <v>0</v>
      </c>
      <c r="D11" s="50"/>
      <c r="E11" s="50">
        <v>0</v>
      </c>
    </row>
    <row r="12" spans="2:13" x14ac:dyDescent="0.2">
      <c r="B12" s="48" t="s">
        <v>1607</v>
      </c>
      <c r="C12" s="206">
        <f>-'Provisão para contigencia'!J60-'Provisão para contigencia'!J61</f>
        <v>1667</v>
      </c>
      <c r="D12" s="50"/>
      <c r="E12" s="206">
        <v>724</v>
      </c>
    </row>
    <row r="13" spans="2:13" x14ac:dyDescent="0.2">
      <c r="B13" s="48" t="s">
        <v>521</v>
      </c>
      <c r="C13" s="47">
        <f>-'impostos a recupera'!J182-'Depósito judiciais'!J62</f>
        <v>-355</v>
      </c>
      <c r="D13" s="50"/>
      <c r="E13" s="201">
        <v>0</v>
      </c>
      <c r="H13" s="60"/>
      <c r="I13" s="60"/>
    </row>
    <row r="14" spans="2:13" x14ac:dyDescent="0.2">
      <c r="B14" s="48"/>
      <c r="C14" s="51"/>
      <c r="D14" s="50"/>
      <c r="E14" s="51"/>
    </row>
    <row r="15" spans="2:13" x14ac:dyDescent="0.2">
      <c r="B15" s="49" t="s">
        <v>89</v>
      </c>
      <c r="C15" s="44"/>
      <c r="D15" s="44"/>
      <c r="E15" s="44"/>
    </row>
    <row r="16" spans="2:13" hidden="1" x14ac:dyDescent="0.2">
      <c r="B16" s="48" t="s">
        <v>6</v>
      </c>
      <c r="C16" s="47">
        <v>0</v>
      </c>
      <c r="D16" s="44"/>
      <c r="E16" s="47">
        <v>0</v>
      </c>
    </row>
    <row r="17" spans="2:11" x14ac:dyDescent="0.2">
      <c r="B17" s="48" t="s">
        <v>292</v>
      </c>
      <c r="C17" s="47">
        <f>BP!F12-BP!D12</f>
        <v>-1701</v>
      </c>
      <c r="D17" s="44"/>
      <c r="E17" s="47">
        <v>-1851</v>
      </c>
    </row>
    <row r="18" spans="2:11" x14ac:dyDescent="0.2">
      <c r="B18" s="48" t="s">
        <v>293</v>
      </c>
      <c r="C18" s="47">
        <f>BP!F13-BP!D13+BP!F21-BP!D21</f>
        <v>133</v>
      </c>
      <c r="D18" s="44"/>
      <c r="E18" s="47">
        <v>-497</v>
      </c>
      <c r="H18" s="71"/>
      <c r="K18" s="60"/>
    </row>
    <row r="19" spans="2:11" x14ac:dyDescent="0.2">
      <c r="B19" s="48" t="s">
        <v>294</v>
      </c>
      <c r="C19" s="47">
        <f>BP!F20-BP!D20+'Depósito judiciais'!J62</f>
        <v>-105</v>
      </c>
      <c r="D19" s="44"/>
      <c r="E19" s="47">
        <v>0</v>
      </c>
      <c r="H19" s="71"/>
    </row>
    <row r="20" spans="2:11" ht="13.5" customHeight="1" x14ac:dyDescent="0.2">
      <c r="B20" s="48" t="s">
        <v>295</v>
      </c>
      <c r="C20" s="47">
        <f>BP!F11-BP!D11+BP!F19-BP!D19+'impostos a recupera'!J182</f>
        <v>-1101</v>
      </c>
      <c r="D20" s="44"/>
      <c r="E20" s="47">
        <v>-1043</v>
      </c>
      <c r="H20" s="71"/>
    </row>
    <row r="21" spans="2:11" hidden="1" x14ac:dyDescent="0.2">
      <c r="B21" s="48" t="s">
        <v>1518</v>
      </c>
      <c r="C21" s="47">
        <v>0</v>
      </c>
      <c r="D21" s="44"/>
      <c r="E21" s="47">
        <v>0</v>
      </c>
      <c r="H21" s="71"/>
    </row>
    <row r="22" spans="2:11" hidden="1" x14ac:dyDescent="0.2">
      <c r="B22" s="48" t="s">
        <v>296</v>
      </c>
      <c r="C22" s="47">
        <f>BP!F14-BP!D14</f>
        <v>0</v>
      </c>
      <c r="D22" s="44"/>
      <c r="E22" s="47">
        <v>0</v>
      </c>
      <c r="H22" s="71"/>
    </row>
    <row r="23" spans="2:11" x14ac:dyDescent="0.2">
      <c r="B23" s="48" t="s">
        <v>297</v>
      </c>
      <c r="C23" s="47">
        <f>BP!D31-BP!F31</f>
        <v>500</v>
      </c>
      <c r="D23" s="44"/>
      <c r="E23" s="47">
        <v>855</v>
      </c>
    </row>
    <row r="24" spans="2:11" x14ac:dyDescent="0.2">
      <c r="B24" s="48" t="s">
        <v>298</v>
      </c>
      <c r="C24" s="47">
        <f>BP!D32-BP!F32</f>
        <v>893</v>
      </c>
      <c r="D24" s="44"/>
      <c r="E24" s="47">
        <v>-715</v>
      </c>
      <c r="H24" s="55"/>
    </row>
    <row r="25" spans="2:11" x14ac:dyDescent="0.2">
      <c r="B25" s="48" t="s">
        <v>299</v>
      </c>
      <c r="C25" s="47">
        <f>BP!D33-BP!F33</f>
        <v>3715</v>
      </c>
      <c r="D25" s="44"/>
      <c r="E25" s="47">
        <v>5190</v>
      </c>
    </row>
    <row r="26" spans="2:11" hidden="1" x14ac:dyDescent="0.2">
      <c r="B26" s="48" t="s">
        <v>519</v>
      </c>
      <c r="C26" s="47">
        <v>0</v>
      </c>
      <c r="D26" s="44"/>
      <c r="E26" s="47">
        <v>0</v>
      </c>
    </row>
    <row r="27" spans="2:11" ht="13.5" thickBot="1" x14ac:dyDescent="0.25">
      <c r="B27" s="48" t="s">
        <v>300</v>
      </c>
      <c r="C27" s="52">
        <f>BP!D35-BP!F35+BP!D36-BP!F36</f>
        <v>12</v>
      </c>
      <c r="D27" s="44"/>
      <c r="E27" s="52">
        <v>50</v>
      </c>
    </row>
    <row r="28" spans="2:11" x14ac:dyDescent="0.2">
      <c r="B28" s="53" t="s">
        <v>1148</v>
      </c>
      <c r="C28" s="140">
        <f>SUM(C7:C27)</f>
        <v>-83848.371499999994</v>
      </c>
      <c r="D28" s="41"/>
      <c r="E28" s="54">
        <f>SUM(E7:E27)</f>
        <v>-74007</v>
      </c>
      <c r="F28" s="55"/>
    </row>
    <row r="29" spans="2:11" x14ac:dyDescent="0.2">
      <c r="B29" s="53"/>
      <c r="C29" s="47"/>
      <c r="D29" s="44"/>
      <c r="E29" s="47"/>
    </row>
    <row r="30" spans="2:11" x14ac:dyDescent="0.2">
      <c r="B30" s="53" t="s">
        <v>80</v>
      </c>
      <c r="C30" s="47"/>
      <c r="D30" s="44"/>
      <c r="E30" s="47"/>
    </row>
    <row r="31" spans="2:11" x14ac:dyDescent="0.2">
      <c r="B31" s="48" t="s">
        <v>290</v>
      </c>
      <c r="C31" s="206">
        <f>-'Mov imob'!C34-'Mov imob'!D33</f>
        <v>0</v>
      </c>
      <c r="D31" s="44"/>
      <c r="E31" s="51">
        <v>-45</v>
      </c>
    </row>
    <row r="32" spans="2:11" ht="13.5" thickBot="1" x14ac:dyDescent="0.25">
      <c r="B32" s="48" t="s">
        <v>291</v>
      </c>
      <c r="C32" s="207">
        <f>-'Mov imob'!C20-'Mov imob'!D20</f>
        <v>-262.94799999999998</v>
      </c>
      <c r="D32" s="44"/>
      <c r="E32" s="52">
        <v>-1812</v>
      </c>
      <c r="H32" s="264"/>
    </row>
    <row r="33" spans="2:8" x14ac:dyDescent="0.2">
      <c r="B33" s="53" t="s">
        <v>288</v>
      </c>
      <c r="C33" s="54">
        <f>SUM(C31:C32)</f>
        <v>-262.94799999999998</v>
      </c>
      <c r="D33" s="41"/>
      <c r="E33" s="54">
        <f>SUM(E31:E32)</f>
        <v>-1857</v>
      </c>
      <c r="F33" s="55"/>
    </row>
    <row r="34" spans="2:8" x14ac:dyDescent="0.2">
      <c r="B34" s="53"/>
      <c r="C34" s="47"/>
      <c r="D34" s="44"/>
      <c r="E34" s="47"/>
    </row>
    <row r="35" spans="2:8" x14ac:dyDescent="0.2">
      <c r="B35" s="53" t="s">
        <v>81</v>
      </c>
      <c r="C35" s="47"/>
      <c r="D35" s="44"/>
      <c r="E35" s="47"/>
    </row>
    <row r="36" spans="2:8" x14ac:dyDescent="0.2">
      <c r="B36" s="48" t="s">
        <v>82</v>
      </c>
      <c r="C36" s="47">
        <f>DRE!E36</f>
        <v>91361</v>
      </c>
      <c r="D36" s="44"/>
      <c r="E36" s="47">
        <v>79339</v>
      </c>
    </row>
    <row r="37" spans="2:8" ht="13.5" thickBot="1" x14ac:dyDescent="0.25">
      <c r="B37" s="48" t="s">
        <v>83</v>
      </c>
      <c r="C37" s="52">
        <f>DMPL!J34</f>
        <v>246</v>
      </c>
      <c r="D37" s="44"/>
      <c r="E37" s="52">
        <v>1886</v>
      </c>
      <c r="H37" s="241"/>
    </row>
    <row r="38" spans="2:8" x14ac:dyDescent="0.2">
      <c r="B38" s="53" t="s">
        <v>289</v>
      </c>
      <c r="C38" s="54">
        <f>SUM(C36:C37)</f>
        <v>91607</v>
      </c>
      <c r="D38" s="41"/>
      <c r="E38" s="54">
        <f>+E36+E37</f>
        <v>81225</v>
      </c>
      <c r="F38" s="55"/>
    </row>
    <row r="39" spans="2:8" ht="13.5" thickBot="1" x14ac:dyDescent="0.25">
      <c r="B39" s="53"/>
      <c r="C39" s="52"/>
      <c r="D39" s="44"/>
      <c r="E39" s="52"/>
    </row>
    <row r="40" spans="2:8" ht="13.5" thickBot="1" x14ac:dyDescent="0.25">
      <c r="B40" s="53" t="s">
        <v>90</v>
      </c>
      <c r="C40" s="558">
        <f>C38+C28+C33</f>
        <v>7495.6805000000058</v>
      </c>
      <c r="D40" s="41"/>
      <c r="E40" s="141">
        <f>+E28+E33+E38</f>
        <v>5361</v>
      </c>
      <c r="F40" s="55"/>
    </row>
    <row r="41" spans="2:8" ht="13.5" thickTop="1" x14ac:dyDescent="0.2">
      <c r="B41" s="53"/>
      <c r="C41" s="103"/>
      <c r="D41" s="41"/>
      <c r="E41" s="54"/>
      <c r="F41" s="55"/>
    </row>
    <row r="42" spans="2:8" x14ac:dyDescent="0.2">
      <c r="B42" s="56" t="s">
        <v>91</v>
      </c>
      <c r="C42" s="47">
        <f>BP!F10</f>
        <v>30622</v>
      </c>
      <c r="D42" s="44"/>
      <c r="E42" s="47">
        <v>31909</v>
      </c>
    </row>
    <row r="43" spans="2:8" x14ac:dyDescent="0.2">
      <c r="B43" s="56" t="s">
        <v>1146</v>
      </c>
      <c r="C43" s="47">
        <f>BP!D10</f>
        <v>38118</v>
      </c>
      <c r="D43" s="44"/>
      <c r="E43" s="47">
        <v>37270</v>
      </c>
      <c r="G43" s="60"/>
    </row>
    <row r="44" spans="2:8" ht="13.5" thickBot="1" x14ac:dyDescent="0.25">
      <c r="B44" s="56"/>
      <c r="C44" s="47"/>
      <c r="D44" s="44"/>
      <c r="E44" s="47"/>
      <c r="G44" s="60"/>
    </row>
    <row r="45" spans="2:8" ht="13.5" thickBot="1" x14ac:dyDescent="0.25">
      <c r="B45" s="53" t="s">
        <v>287</v>
      </c>
      <c r="C45" s="141">
        <f>(C42-C43)*-1</f>
        <v>7496</v>
      </c>
      <c r="D45" s="41"/>
      <c r="E45" s="141">
        <f>(+E42-E43)*-1</f>
        <v>5361</v>
      </c>
      <c r="F45" s="55"/>
    </row>
    <row r="46" spans="2:8" ht="13.5" thickTop="1" x14ac:dyDescent="0.2">
      <c r="C46" s="46"/>
    </row>
    <row r="47" spans="2:8" x14ac:dyDescent="0.2">
      <c r="B47" s="14" t="str">
        <f>BP!B53</f>
        <v>As notas explicativas são parte integrante das demonstrações financeiras intermediárias.</v>
      </c>
      <c r="C47" s="46"/>
    </row>
    <row r="48" spans="2:8" x14ac:dyDescent="0.2">
      <c r="C48" s="46"/>
    </row>
    <row r="49" spans="3:5" x14ac:dyDescent="0.2">
      <c r="C49" s="46">
        <f>C40-C45</f>
        <v>-0.31949999999415013</v>
      </c>
    </row>
    <row r="50" spans="3:5" x14ac:dyDescent="0.2">
      <c r="C50" s="46"/>
      <c r="D50" s="46"/>
      <c r="E50" s="46">
        <f>E40-E45</f>
        <v>0</v>
      </c>
    </row>
    <row r="51" spans="3:5" x14ac:dyDescent="0.2">
      <c r="C51" s="142"/>
    </row>
    <row r="52" spans="3:5" x14ac:dyDescent="0.2">
      <c r="C52" s="46"/>
    </row>
    <row r="53" spans="3:5" x14ac:dyDescent="0.2">
      <c r="C53" s="117"/>
      <c r="E53" s="46"/>
    </row>
    <row r="54" spans="3:5" x14ac:dyDescent="0.2">
      <c r="C54" s="46"/>
    </row>
    <row r="55" spans="3:5" x14ac:dyDescent="0.2">
      <c r="C55" s="46"/>
    </row>
  </sheetData>
  <mergeCells count="4">
    <mergeCell ref="B1:F1"/>
    <mergeCell ref="B2:F2"/>
    <mergeCell ref="B3:F3"/>
    <mergeCell ref="B4:F4"/>
  </mergeCells>
  <pageMargins left="0.511811024" right="0.511811024" top="0.78740157499999996" bottom="0.78740157499999996" header="0.31496062000000002" footer="0.31496062000000002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WUL91"/>
  <sheetViews>
    <sheetView showGridLines="0" zoomScaleNormal="100" workbookViewId="0">
      <selection activeCell="D1" sqref="B1:G59"/>
    </sheetView>
  </sheetViews>
  <sheetFormatPr defaultRowHeight="12.75" x14ac:dyDescent="0.2"/>
  <cols>
    <col min="1" max="1" width="3.7109375" style="1" customWidth="1"/>
    <col min="2" max="3" width="1.7109375" style="1" customWidth="1"/>
    <col min="4" max="4" width="48.85546875" style="1" bestFit="1" customWidth="1"/>
    <col min="5" max="5" width="18" style="15" customWidth="1"/>
    <col min="6" max="6" width="2.5703125" style="15" customWidth="1"/>
    <col min="7" max="7" width="17.85546875" style="15" customWidth="1"/>
    <col min="8" max="8" width="3" style="1" customWidth="1"/>
    <col min="9" max="11" width="9.140625" style="1"/>
    <col min="12" max="12" width="10.28515625" style="1" bestFit="1" customWidth="1"/>
    <col min="13" max="13" width="14" style="9" bestFit="1" customWidth="1"/>
    <col min="14" max="14" width="14" style="1" bestFit="1" customWidth="1"/>
    <col min="15" max="16" width="10.28515625" style="1" bestFit="1" customWidth="1"/>
    <col min="17" max="224" width="9.140625" style="1"/>
    <col min="225" max="225" width="3.7109375" style="1" customWidth="1"/>
    <col min="226" max="227" width="1.7109375" style="1" customWidth="1"/>
    <col min="228" max="228" width="45.140625" style="1" customWidth="1"/>
    <col min="229" max="229" width="24.42578125" style="1" customWidth="1"/>
    <col min="230" max="230" width="15.5703125" style="1" customWidth="1"/>
    <col min="231" max="231" width="9.140625" style="1"/>
    <col min="232" max="232" width="15.7109375" style="1" bestFit="1" customWidth="1"/>
    <col min="233" max="480" width="9.140625" style="1"/>
    <col min="481" max="481" width="3.7109375" style="1" customWidth="1"/>
    <col min="482" max="483" width="1.7109375" style="1" customWidth="1"/>
    <col min="484" max="484" width="45.140625" style="1" customWidth="1"/>
    <col min="485" max="485" width="24.42578125" style="1" customWidth="1"/>
    <col min="486" max="486" width="15.5703125" style="1" customWidth="1"/>
    <col min="487" max="487" width="9.140625" style="1"/>
    <col min="488" max="488" width="15.7109375" style="1" bestFit="1" customWidth="1"/>
    <col min="489" max="736" width="9.140625" style="1"/>
    <col min="737" max="737" width="3.7109375" style="1" customWidth="1"/>
    <col min="738" max="739" width="1.7109375" style="1" customWidth="1"/>
    <col min="740" max="740" width="45.140625" style="1" customWidth="1"/>
    <col min="741" max="741" width="24.42578125" style="1" customWidth="1"/>
    <col min="742" max="742" width="15.5703125" style="1" customWidth="1"/>
    <col min="743" max="743" width="9.140625" style="1"/>
    <col min="744" max="744" width="15.7109375" style="1" bestFit="1" customWidth="1"/>
    <col min="745" max="992" width="9.140625" style="1"/>
    <col min="993" max="993" width="3.7109375" style="1" customWidth="1"/>
    <col min="994" max="995" width="1.7109375" style="1" customWidth="1"/>
    <col min="996" max="996" width="45.140625" style="1" customWidth="1"/>
    <col min="997" max="997" width="24.42578125" style="1" customWidth="1"/>
    <col min="998" max="998" width="15.5703125" style="1" customWidth="1"/>
    <col min="999" max="999" width="9.140625" style="1"/>
    <col min="1000" max="1000" width="15.7109375" style="1" bestFit="1" customWidth="1"/>
    <col min="1001" max="1248" width="9.140625" style="1"/>
    <col min="1249" max="1249" width="3.7109375" style="1" customWidth="1"/>
    <col min="1250" max="1251" width="1.7109375" style="1" customWidth="1"/>
    <col min="1252" max="1252" width="45.140625" style="1" customWidth="1"/>
    <col min="1253" max="1253" width="24.42578125" style="1" customWidth="1"/>
    <col min="1254" max="1254" width="15.5703125" style="1" customWidth="1"/>
    <col min="1255" max="1255" width="9.140625" style="1"/>
    <col min="1256" max="1256" width="15.7109375" style="1" bestFit="1" customWidth="1"/>
    <col min="1257" max="1504" width="9.140625" style="1"/>
    <col min="1505" max="1505" width="3.7109375" style="1" customWidth="1"/>
    <col min="1506" max="1507" width="1.7109375" style="1" customWidth="1"/>
    <col min="1508" max="1508" width="45.140625" style="1" customWidth="1"/>
    <col min="1509" max="1509" width="24.42578125" style="1" customWidth="1"/>
    <col min="1510" max="1510" width="15.5703125" style="1" customWidth="1"/>
    <col min="1511" max="1511" width="9.140625" style="1"/>
    <col min="1512" max="1512" width="15.7109375" style="1" bestFit="1" customWidth="1"/>
    <col min="1513" max="1760" width="9.140625" style="1"/>
    <col min="1761" max="1761" width="3.7109375" style="1" customWidth="1"/>
    <col min="1762" max="1763" width="1.7109375" style="1" customWidth="1"/>
    <col min="1764" max="1764" width="45.140625" style="1" customWidth="1"/>
    <col min="1765" max="1765" width="24.42578125" style="1" customWidth="1"/>
    <col min="1766" max="1766" width="15.5703125" style="1" customWidth="1"/>
    <col min="1767" max="1767" width="9.140625" style="1"/>
    <col min="1768" max="1768" width="15.7109375" style="1" bestFit="1" customWidth="1"/>
    <col min="1769" max="2016" width="9.140625" style="1"/>
    <col min="2017" max="2017" width="3.7109375" style="1" customWidth="1"/>
    <col min="2018" max="2019" width="1.7109375" style="1" customWidth="1"/>
    <col min="2020" max="2020" width="45.140625" style="1" customWidth="1"/>
    <col min="2021" max="2021" width="24.42578125" style="1" customWidth="1"/>
    <col min="2022" max="2022" width="15.5703125" style="1" customWidth="1"/>
    <col min="2023" max="2023" width="9.140625" style="1"/>
    <col min="2024" max="2024" width="15.7109375" style="1" bestFit="1" customWidth="1"/>
    <col min="2025" max="2272" width="9.140625" style="1"/>
    <col min="2273" max="2273" width="3.7109375" style="1" customWidth="1"/>
    <col min="2274" max="2275" width="1.7109375" style="1" customWidth="1"/>
    <col min="2276" max="2276" width="45.140625" style="1" customWidth="1"/>
    <col min="2277" max="2277" width="24.42578125" style="1" customWidth="1"/>
    <col min="2278" max="2278" width="15.5703125" style="1" customWidth="1"/>
    <col min="2279" max="2279" width="9.140625" style="1"/>
    <col min="2280" max="2280" width="15.7109375" style="1" bestFit="1" customWidth="1"/>
    <col min="2281" max="2528" width="9.140625" style="1"/>
    <col min="2529" max="2529" width="3.7109375" style="1" customWidth="1"/>
    <col min="2530" max="2531" width="1.7109375" style="1" customWidth="1"/>
    <col min="2532" max="2532" width="45.140625" style="1" customWidth="1"/>
    <col min="2533" max="2533" width="24.42578125" style="1" customWidth="1"/>
    <col min="2534" max="2534" width="15.5703125" style="1" customWidth="1"/>
    <col min="2535" max="2535" width="9.140625" style="1"/>
    <col min="2536" max="2536" width="15.7109375" style="1" bestFit="1" customWidth="1"/>
    <col min="2537" max="2784" width="9.140625" style="1"/>
    <col min="2785" max="2785" width="3.7109375" style="1" customWidth="1"/>
    <col min="2786" max="2787" width="1.7109375" style="1" customWidth="1"/>
    <col min="2788" max="2788" width="45.140625" style="1" customWidth="1"/>
    <col min="2789" max="2789" width="24.42578125" style="1" customWidth="1"/>
    <col min="2790" max="2790" width="15.5703125" style="1" customWidth="1"/>
    <col min="2791" max="2791" width="9.140625" style="1"/>
    <col min="2792" max="2792" width="15.7109375" style="1" bestFit="1" customWidth="1"/>
    <col min="2793" max="3040" width="9.140625" style="1"/>
    <col min="3041" max="3041" width="3.7109375" style="1" customWidth="1"/>
    <col min="3042" max="3043" width="1.7109375" style="1" customWidth="1"/>
    <col min="3044" max="3044" width="45.140625" style="1" customWidth="1"/>
    <col min="3045" max="3045" width="24.42578125" style="1" customWidth="1"/>
    <col min="3046" max="3046" width="15.5703125" style="1" customWidth="1"/>
    <col min="3047" max="3047" width="9.140625" style="1"/>
    <col min="3048" max="3048" width="15.7109375" style="1" bestFit="1" customWidth="1"/>
    <col min="3049" max="3296" width="9.140625" style="1"/>
    <col min="3297" max="3297" width="3.7109375" style="1" customWidth="1"/>
    <col min="3298" max="3299" width="1.7109375" style="1" customWidth="1"/>
    <col min="3300" max="3300" width="45.140625" style="1" customWidth="1"/>
    <col min="3301" max="3301" width="24.42578125" style="1" customWidth="1"/>
    <col min="3302" max="3302" width="15.5703125" style="1" customWidth="1"/>
    <col min="3303" max="3303" width="9.140625" style="1"/>
    <col min="3304" max="3304" width="15.7109375" style="1" bestFit="1" customWidth="1"/>
    <col min="3305" max="3552" width="9.140625" style="1"/>
    <col min="3553" max="3553" width="3.7109375" style="1" customWidth="1"/>
    <col min="3554" max="3555" width="1.7109375" style="1" customWidth="1"/>
    <col min="3556" max="3556" width="45.140625" style="1" customWidth="1"/>
    <col min="3557" max="3557" width="24.42578125" style="1" customWidth="1"/>
    <col min="3558" max="3558" width="15.5703125" style="1" customWidth="1"/>
    <col min="3559" max="3559" width="9.140625" style="1"/>
    <col min="3560" max="3560" width="15.7109375" style="1" bestFit="1" customWidth="1"/>
    <col min="3561" max="3808" width="9.140625" style="1"/>
    <col min="3809" max="3809" width="3.7109375" style="1" customWidth="1"/>
    <col min="3810" max="3811" width="1.7109375" style="1" customWidth="1"/>
    <col min="3812" max="3812" width="45.140625" style="1" customWidth="1"/>
    <col min="3813" max="3813" width="24.42578125" style="1" customWidth="1"/>
    <col min="3814" max="3814" width="15.5703125" style="1" customWidth="1"/>
    <col min="3815" max="3815" width="9.140625" style="1"/>
    <col min="3816" max="3816" width="15.7109375" style="1" bestFit="1" customWidth="1"/>
    <col min="3817" max="4064" width="9.140625" style="1"/>
    <col min="4065" max="4065" width="3.7109375" style="1" customWidth="1"/>
    <col min="4066" max="4067" width="1.7109375" style="1" customWidth="1"/>
    <col min="4068" max="4068" width="45.140625" style="1" customWidth="1"/>
    <col min="4069" max="4069" width="24.42578125" style="1" customWidth="1"/>
    <col min="4070" max="4070" width="15.5703125" style="1" customWidth="1"/>
    <col min="4071" max="4071" width="9.140625" style="1"/>
    <col min="4072" max="4072" width="15.7109375" style="1" bestFit="1" customWidth="1"/>
    <col min="4073" max="4320" width="9.140625" style="1"/>
    <col min="4321" max="4321" width="3.7109375" style="1" customWidth="1"/>
    <col min="4322" max="4323" width="1.7109375" style="1" customWidth="1"/>
    <col min="4324" max="4324" width="45.140625" style="1" customWidth="1"/>
    <col min="4325" max="4325" width="24.42578125" style="1" customWidth="1"/>
    <col min="4326" max="4326" width="15.5703125" style="1" customWidth="1"/>
    <col min="4327" max="4327" width="9.140625" style="1"/>
    <col min="4328" max="4328" width="15.7109375" style="1" bestFit="1" customWidth="1"/>
    <col min="4329" max="4576" width="9.140625" style="1"/>
    <col min="4577" max="4577" width="3.7109375" style="1" customWidth="1"/>
    <col min="4578" max="4579" width="1.7109375" style="1" customWidth="1"/>
    <col min="4580" max="4580" width="45.140625" style="1" customWidth="1"/>
    <col min="4581" max="4581" width="24.42578125" style="1" customWidth="1"/>
    <col min="4582" max="4582" width="15.5703125" style="1" customWidth="1"/>
    <col min="4583" max="4583" width="9.140625" style="1"/>
    <col min="4584" max="4584" width="15.7109375" style="1" bestFit="1" customWidth="1"/>
    <col min="4585" max="4832" width="9.140625" style="1"/>
    <col min="4833" max="4833" width="3.7109375" style="1" customWidth="1"/>
    <col min="4834" max="4835" width="1.7109375" style="1" customWidth="1"/>
    <col min="4836" max="4836" width="45.140625" style="1" customWidth="1"/>
    <col min="4837" max="4837" width="24.42578125" style="1" customWidth="1"/>
    <col min="4838" max="4838" width="15.5703125" style="1" customWidth="1"/>
    <col min="4839" max="4839" width="9.140625" style="1"/>
    <col min="4840" max="4840" width="15.7109375" style="1" bestFit="1" customWidth="1"/>
    <col min="4841" max="5088" width="9.140625" style="1"/>
    <col min="5089" max="5089" width="3.7109375" style="1" customWidth="1"/>
    <col min="5090" max="5091" width="1.7109375" style="1" customWidth="1"/>
    <col min="5092" max="5092" width="45.140625" style="1" customWidth="1"/>
    <col min="5093" max="5093" width="24.42578125" style="1" customWidth="1"/>
    <col min="5094" max="5094" width="15.5703125" style="1" customWidth="1"/>
    <col min="5095" max="5095" width="9.140625" style="1"/>
    <col min="5096" max="5096" width="15.7109375" style="1" bestFit="1" customWidth="1"/>
    <col min="5097" max="5344" width="9.140625" style="1"/>
    <col min="5345" max="5345" width="3.7109375" style="1" customWidth="1"/>
    <col min="5346" max="5347" width="1.7109375" style="1" customWidth="1"/>
    <col min="5348" max="5348" width="45.140625" style="1" customWidth="1"/>
    <col min="5349" max="5349" width="24.42578125" style="1" customWidth="1"/>
    <col min="5350" max="5350" width="15.5703125" style="1" customWidth="1"/>
    <col min="5351" max="5351" width="9.140625" style="1"/>
    <col min="5352" max="5352" width="15.7109375" style="1" bestFit="1" customWidth="1"/>
    <col min="5353" max="5600" width="9.140625" style="1"/>
    <col min="5601" max="5601" width="3.7109375" style="1" customWidth="1"/>
    <col min="5602" max="5603" width="1.7109375" style="1" customWidth="1"/>
    <col min="5604" max="5604" width="45.140625" style="1" customWidth="1"/>
    <col min="5605" max="5605" width="24.42578125" style="1" customWidth="1"/>
    <col min="5606" max="5606" width="15.5703125" style="1" customWidth="1"/>
    <col min="5607" max="5607" width="9.140625" style="1"/>
    <col min="5608" max="5608" width="15.7109375" style="1" bestFit="1" customWidth="1"/>
    <col min="5609" max="5856" width="9.140625" style="1"/>
    <col min="5857" max="5857" width="3.7109375" style="1" customWidth="1"/>
    <col min="5858" max="5859" width="1.7109375" style="1" customWidth="1"/>
    <col min="5860" max="5860" width="45.140625" style="1" customWidth="1"/>
    <col min="5861" max="5861" width="24.42578125" style="1" customWidth="1"/>
    <col min="5862" max="5862" width="15.5703125" style="1" customWidth="1"/>
    <col min="5863" max="5863" width="9.140625" style="1"/>
    <col min="5864" max="5864" width="15.7109375" style="1" bestFit="1" customWidth="1"/>
    <col min="5865" max="6112" width="9.140625" style="1"/>
    <col min="6113" max="6113" width="3.7109375" style="1" customWidth="1"/>
    <col min="6114" max="6115" width="1.7109375" style="1" customWidth="1"/>
    <col min="6116" max="6116" width="45.140625" style="1" customWidth="1"/>
    <col min="6117" max="6117" width="24.42578125" style="1" customWidth="1"/>
    <col min="6118" max="6118" width="15.5703125" style="1" customWidth="1"/>
    <col min="6119" max="6119" width="9.140625" style="1"/>
    <col min="6120" max="6120" width="15.7109375" style="1" bestFit="1" customWidth="1"/>
    <col min="6121" max="6368" width="9.140625" style="1"/>
    <col min="6369" max="6369" width="3.7109375" style="1" customWidth="1"/>
    <col min="6370" max="6371" width="1.7109375" style="1" customWidth="1"/>
    <col min="6372" max="6372" width="45.140625" style="1" customWidth="1"/>
    <col min="6373" max="6373" width="24.42578125" style="1" customWidth="1"/>
    <col min="6374" max="6374" width="15.5703125" style="1" customWidth="1"/>
    <col min="6375" max="6375" width="9.140625" style="1"/>
    <col min="6376" max="6376" width="15.7109375" style="1" bestFit="1" customWidth="1"/>
    <col min="6377" max="6624" width="9.140625" style="1"/>
    <col min="6625" max="6625" width="3.7109375" style="1" customWidth="1"/>
    <col min="6626" max="6627" width="1.7109375" style="1" customWidth="1"/>
    <col min="6628" max="6628" width="45.140625" style="1" customWidth="1"/>
    <col min="6629" max="6629" width="24.42578125" style="1" customWidth="1"/>
    <col min="6630" max="6630" width="15.5703125" style="1" customWidth="1"/>
    <col min="6631" max="6631" width="9.140625" style="1"/>
    <col min="6632" max="6632" width="15.7109375" style="1" bestFit="1" customWidth="1"/>
    <col min="6633" max="6880" width="9.140625" style="1"/>
    <col min="6881" max="6881" width="3.7109375" style="1" customWidth="1"/>
    <col min="6882" max="6883" width="1.7109375" style="1" customWidth="1"/>
    <col min="6884" max="6884" width="45.140625" style="1" customWidth="1"/>
    <col min="6885" max="6885" width="24.42578125" style="1" customWidth="1"/>
    <col min="6886" max="6886" width="15.5703125" style="1" customWidth="1"/>
    <col min="6887" max="6887" width="9.140625" style="1"/>
    <col min="6888" max="6888" width="15.7109375" style="1" bestFit="1" customWidth="1"/>
    <col min="6889" max="7136" width="9.140625" style="1"/>
    <col min="7137" max="7137" width="3.7109375" style="1" customWidth="1"/>
    <col min="7138" max="7139" width="1.7109375" style="1" customWidth="1"/>
    <col min="7140" max="7140" width="45.140625" style="1" customWidth="1"/>
    <col min="7141" max="7141" width="24.42578125" style="1" customWidth="1"/>
    <col min="7142" max="7142" width="15.5703125" style="1" customWidth="1"/>
    <col min="7143" max="7143" width="9.140625" style="1"/>
    <col min="7144" max="7144" width="15.7109375" style="1" bestFit="1" customWidth="1"/>
    <col min="7145" max="7392" width="9.140625" style="1"/>
    <col min="7393" max="7393" width="3.7109375" style="1" customWidth="1"/>
    <col min="7394" max="7395" width="1.7109375" style="1" customWidth="1"/>
    <col min="7396" max="7396" width="45.140625" style="1" customWidth="1"/>
    <col min="7397" max="7397" width="24.42578125" style="1" customWidth="1"/>
    <col min="7398" max="7398" width="15.5703125" style="1" customWidth="1"/>
    <col min="7399" max="7399" width="9.140625" style="1"/>
    <col min="7400" max="7400" width="15.7109375" style="1" bestFit="1" customWidth="1"/>
    <col min="7401" max="7648" width="9.140625" style="1"/>
    <col min="7649" max="7649" width="3.7109375" style="1" customWidth="1"/>
    <col min="7650" max="7651" width="1.7109375" style="1" customWidth="1"/>
    <col min="7652" max="7652" width="45.140625" style="1" customWidth="1"/>
    <col min="7653" max="7653" width="24.42578125" style="1" customWidth="1"/>
    <col min="7654" max="7654" width="15.5703125" style="1" customWidth="1"/>
    <col min="7655" max="7655" width="9.140625" style="1"/>
    <col min="7656" max="7656" width="15.7109375" style="1" bestFit="1" customWidth="1"/>
    <col min="7657" max="7904" width="9.140625" style="1"/>
    <col min="7905" max="7905" width="3.7109375" style="1" customWidth="1"/>
    <col min="7906" max="7907" width="1.7109375" style="1" customWidth="1"/>
    <col min="7908" max="7908" width="45.140625" style="1" customWidth="1"/>
    <col min="7909" max="7909" width="24.42578125" style="1" customWidth="1"/>
    <col min="7910" max="7910" width="15.5703125" style="1" customWidth="1"/>
    <col min="7911" max="7911" width="9.140625" style="1"/>
    <col min="7912" max="7912" width="15.7109375" style="1" bestFit="1" customWidth="1"/>
    <col min="7913" max="8160" width="9.140625" style="1"/>
    <col min="8161" max="8161" width="3.7109375" style="1" customWidth="1"/>
    <col min="8162" max="8163" width="1.7109375" style="1" customWidth="1"/>
    <col min="8164" max="8164" width="45.140625" style="1" customWidth="1"/>
    <col min="8165" max="8165" width="24.42578125" style="1" customWidth="1"/>
    <col min="8166" max="8166" width="15.5703125" style="1" customWidth="1"/>
    <col min="8167" max="8167" width="9.140625" style="1"/>
    <col min="8168" max="8168" width="15.7109375" style="1" bestFit="1" customWidth="1"/>
    <col min="8169" max="8416" width="9.140625" style="1"/>
    <col min="8417" max="8417" width="3.7109375" style="1" customWidth="1"/>
    <col min="8418" max="8419" width="1.7109375" style="1" customWidth="1"/>
    <col min="8420" max="8420" width="45.140625" style="1" customWidth="1"/>
    <col min="8421" max="8421" width="24.42578125" style="1" customWidth="1"/>
    <col min="8422" max="8422" width="15.5703125" style="1" customWidth="1"/>
    <col min="8423" max="8423" width="9.140625" style="1"/>
    <col min="8424" max="8424" width="15.7109375" style="1" bestFit="1" customWidth="1"/>
    <col min="8425" max="8672" width="9.140625" style="1"/>
    <col min="8673" max="8673" width="3.7109375" style="1" customWidth="1"/>
    <col min="8674" max="8675" width="1.7109375" style="1" customWidth="1"/>
    <col min="8676" max="8676" width="45.140625" style="1" customWidth="1"/>
    <col min="8677" max="8677" width="24.42578125" style="1" customWidth="1"/>
    <col min="8678" max="8678" width="15.5703125" style="1" customWidth="1"/>
    <col min="8679" max="8679" width="9.140625" style="1"/>
    <col min="8680" max="8680" width="15.7109375" style="1" bestFit="1" customWidth="1"/>
    <col min="8681" max="8928" width="9.140625" style="1"/>
    <col min="8929" max="8929" width="3.7109375" style="1" customWidth="1"/>
    <col min="8930" max="8931" width="1.7109375" style="1" customWidth="1"/>
    <col min="8932" max="8932" width="45.140625" style="1" customWidth="1"/>
    <col min="8933" max="8933" width="24.42578125" style="1" customWidth="1"/>
    <col min="8934" max="8934" width="15.5703125" style="1" customWidth="1"/>
    <col min="8935" max="8935" width="9.140625" style="1"/>
    <col min="8936" max="8936" width="15.7109375" style="1" bestFit="1" customWidth="1"/>
    <col min="8937" max="9184" width="9.140625" style="1"/>
    <col min="9185" max="9185" width="3.7109375" style="1" customWidth="1"/>
    <col min="9186" max="9187" width="1.7109375" style="1" customWidth="1"/>
    <col min="9188" max="9188" width="45.140625" style="1" customWidth="1"/>
    <col min="9189" max="9189" width="24.42578125" style="1" customWidth="1"/>
    <col min="9190" max="9190" width="15.5703125" style="1" customWidth="1"/>
    <col min="9191" max="9191" width="9.140625" style="1"/>
    <col min="9192" max="9192" width="15.7109375" style="1" bestFit="1" customWidth="1"/>
    <col min="9193" max="9440" width="9.140625" style="1"/>
    <col min="9441" max="9441" width="3.7109375" style="1" customWidth="1"/>
    <col min="9442" max="9443" width="1.7109375" style="1" customWidth="1"/>
    <col min="9444" max="9444" width="45.140625" style="1" customWidth="1"/>
    <col min="9445" max="9445" width="24.42578125" style="1" customWidth="1"/>
    <col min="9446" max="9446" width="15.5703125" style="1" customWidth="1"/>
    <col min="9447" max="9447" width="9.140625" style="1"/>
    <col min="9448" max="9448" width="15.7109375" style="1" bestFit="1" customWidth="1"/>
    <col min="9449" max="9696" width="9.140625" style="1"/>
    <col min="9697" max="9697" width="3.7109375" style="1" customWidth="1"/>
    <col min="9698" max="9699" width="1.7109375" style="1" customWidth="1"/>
    <col min="9700" max="9700" width="45.140625" style="1" customWidth="1"/>
    <col min="9701" max="9701" width="24.42578125" style="1" customWidth="1"/>
    <col min="9702" max="9702" width="15.5703125" style="1" customWidth="1"/>
    <col min="9703" max="9703" width="9.140625" style="1"/>
    <col min="9704" max="9704" width="15.7109375" style="1" bestFit="1" customWidth="1"/>
    <col min="9705" max="9952" width="9.140625" style="1"/>
    <col min="9953" max="9953" width="3.7109375" style="1" customWidth="1"/>
    <col min="9954" max="9955" width="1.7109375" style="1" customWidth="1"/>
    <col min="9956" max="9956" width="45.140625" style="1" customWidth="1"/>
    <col min="9957" max="9957" width="24.42578125" style="1" customWidth="1"/>
    <col min="9958" max="9958" width="15.5703125" style="1" customWidth="1"/>
    <col min="9959" max="9959" width="9.140625" style="1"/>
    <col min="9960" max="9960" width="15.7109375" style="1" bestFit="1" customWidth="1"/>
    <col min="9961" max="10208" width="9.140625" style="1"/>
    <col min="10209" max="10209" width="3.7109375" style="1" customWidth="1"/>
    <col min="10210" max="10211" width="1.7109375" style="1" customWidth="1"/>
    <col min="10212" max="10212" width="45.140625" style="1" customWidth="1"/>
    <col min="10213" max="10213" width="24.42578125" style="1" customWidth="1"/>
    <col min="10214" max="10214" width="15.5703125" style="1" customWidth="1"/>
    <col min="10215" max="10215" width="9.140625" style="1"/>
    <col min="10216" max="10216" width="15.7109375" style="1" bestFit="1" customWidth="1"/>
    <col min="10217" max="10464" width="9.140625" style="1"/>
    <col min="10465" max="10465" width="3.7109375" style="1" customWidth="1"/>
    <col min="10466" max="10467" width="1.7109375" style="1" customWidth="1"/>
    <col min="10468" max="10468" width="45.140625" style="1" customWidth="1"/>
    <col min="10469" max="10469" width="24.42578125" style="1" customWidth="1"/>
    <col min="10470" max="10470" width="15.5703125" style="1" customWidth="1"/>
    <col min="10471" max="10471" width="9.140625" style="1"/>
    <col min="10472" max="10472" width="15.7109375" style="1" bestFit="1" customWidth="1"/>
    <col min="10473" max="10720" width="9.140625" style="1"/>
    <col min="10721" max="10721" width="3.7109375" style="1" customWidth="1"/>
    <col min="10722" max="10723" width="1.7109375" style="1" customWidth="1"/>
    <col min="10724" max="10724" width="45.140625" style="1" customWidth="1"/>
    <col min="10725" max="10725" width="24.42578125" style="1" customWidth="1"/>
    <col min="10726" max="10726" width="15.5703125" style="1" customWidth="1"/>
    <col min="10727" max="10727" width="9.140625" style="1"/>
    <col min="10728" max="10728" width="15.7109375" style="1" bestFit="1" customWidth="1"/>
    <col min="10729" max="10976" width="9.140625" style="1"/>
    <col min="10977" max="10977" width="3.7109375" style="1" customWidth="1"/>
    <col min="10978" max="10979" width="1.7109375" style="1" customWidth="1"/>
    <col min="10980" max="10980" width="45.140625" style="1" customWidth="1"/>
    <col min="10981" max="10981" width="24.42578125" style="1" customWidth="1"/>
    <col min="10982" max="10982" width="15.5703125" style="1" customWidth="1"/>
    <col min="10983" max="10983" width="9.140625" style="1"/>
    <col min="10984" max="10984" width="15.7109375" style="1" bestFit="1" customWidth="1"/>
    <col min="10985" max="11232" width="9.140625" style="1"/>
    <col min="11233" max="11233" width="3.7109375" style="1" customWidth="1"/>
    <col min="11234" max="11235" width="1.7109375" style="1" customWidth="1"/>
    <col min="11236" max="11236" width="45.140625" style="1" customWidth="1"/>
    <col min="11237" max="11237" width="24.42578125" style="1" customWidth="1"/>
    <col min="11238" max="11238" width="15.5703125" style="1" customWidth="1"/>
    <col min="11239" max="11239" width="9.140625" style="1"/>
    <col min="11240" max="11240" width="15.7109375" style="1" bestFit="1" customWidth="1"/>
    <col min="11241" max="11488" width="9.140625" style="1"/>
    <col min="11489" max="11489" width="3.7109375" style="1" customWidth="1"/>
    <col min="11490" max="11491" width="1.7109375" style="1" customWidth="1"/>
    <col min="11492" max="11492" width="45.140625" style="1" customWidth="1"/>
    <col min="11493" max="11493" width="24.42578125" style="1" customWidth="1"/>
    <col min="11494" max="11494" width="15.5703125" style="1" customWidth="1"/>
    <col min="11495" max="11495" width="9.140625" style="1"/>
    <col min="11496" max="11496" width="15.7109375" style="1" bestFit="1" customWidth="1"/>
    <col min="11497" max="11744" width="9.140625" style="1"/>
    <col min="11745" max="11745" width="3.7109375" style="1" customWidth="1"/>
    <col min="11746" max="11747" width="1.7109375" style="1" customWidth="1"/>
    <col min="11748" max="11748" width="45.140625" style="1" customWidth="1"/>
    <col min="11749" max="11749" width="24.42578125" style="1" customWidth="1"/>
    <col min="11750" max="11750" width="15.5703125" style="1" customWidth="1"/>
    <col min="11751" max="11751" width="9.140625" style="1"/>
    <col min="11752" max="11752" width="15.7109375" style="1" bestFit="1" customWidth="1"/>
    <col min="11753" max="12000" width="9.140625" style="1"/>
    <col min="12001" max="12001" width="3.7109375" style="1" customWidth="1"/>
    <col min="12002" max="12003" width="1.7109375" style="1" customWidth="1"/>
    <col min="12004" max="12004" width="45.140625" style="1" customWidth="1"/>
    <col min="12005" max="12005" width="24.42578125" style="1" customWidth="1"/>
    <col min="12006" max="12006" width="15.5703125" style="1" customWidth="1"/>
    <col min="12007" max="12007" width="9.140625" style="1"/>
    <col min="12008" max="12008" width="15.7109375" style="1" bestFit="1" customWidth="1"/>
    <col min="12009" max="12256" width="9.140625" style="1"/>
    <col min="12257" max="12257" width="3.7109375" style="1" customWidth="1"/>
    <col min="12258" max="12259" width="1.7109375" style="1" customWidth="1"/>
    <col min="12260" max="12260" width="45.140625" style="1" customWidth="1"/>
    <col min="12261" max="12261" width="24.42578125" style="1" customWidth="1"/>
    <col min="12262" max="12262" width="15.5703125" style="1" customWidth="1"/>
    <col min="12263" max="12263" width="9.140625" style="1"/>
    <col min="12264" max="12264" width="15.7109375" style="1" bestFit="1" customWidth="1"/>
    <col min="12265" max="12512" width="9.140625" style="1"/>
    <col min="12513" max="12513" width="3.7109375" style="1" customWidth="1"/>
    <col min="12514" max="12515" width="1.7109375" style="1" customWidth="1"/>
    <col min="12516" max="12516" width="45.140625" style="1" customWidth="1"/>
    <col min="12517" max="12517" width="24.42578125" style="1" customWidth="1"/>
    <col min="12518" max="12518" width="15.5703125" style="1" customWidth="1"/>
    <col min="12519" max="12519" width="9.140625" style="1"/>
    <col min="12520" max="12520" width="15.7109375" style="1" bestFit="1" customWidth="1"/>
    <col min="12521" max="12768" width="9.140625" style="1"/>
    <col min="12769" max="12769" width="3.7109375" style="1" customWidth="1"/>
    <col min="12770" max="12771" width="1.7109375" style="1" customWidth="1"/>
    <col min="12772" max="12772" width="45.140625" style="1" customWidth="1"/>
    <col min="12773" max="12773" width="24.42578125" style="1" customWidth="1"/>
    <col min="12774" max="12774" width="15.5703125" style="1" customWidth="1"/>
    <col min="12775" max="12775" width="9.140625" style="1"/>
    <col min="12776" max="12776" width="15.7109375" style="1" bestFit="1" customWidth="1"/>
    <col min="12777" max="13024" width="9.140625" style="1"/>
    <col min="13025" max="13025" width="3.7109375" style="1" customWidth="1"/>
    <col min="13026" max="13027" width="1.7109375" style="1" customWidth="1"/>
    <col min="13028" max="13028" width="45.140625" style="1" customWidth="1"/>
    <col min="13029" max="13029" width="24.42578125" style="1" customWidth="1"/>
    <col min="13030" max="13030" width="15.5703125" style="1" customWidth="1"/>
    <col min="13031" max="13031" width="9.140625" style="1"/>
    <col min="13032" max="13032" width="15.7109375" style="1" bestFit="1" customWidth="1"/>
    <col min="13033" max="13280" width="9.140625" style="1"/>
    <col min="13281" max="13281" width="3.7109375" style="1" customWidth="1"/>
    <col min="13282" max="13283" width="1.7109375" style="1" customWidth="1"/>
    <col min="13284" max="13284" width="45.140625" style="1" customWidth="1"/>
    <col min="13285" max="13285" width="24.42578125" style="1" customWidth="1"/>
    <col min="13286" max="13286" width="15.5703125" style="1" customWidth="1"/>
    <col min="13287" max="13287" width="9.140625" style="1"/>
    <col min="13288" max="13288" width="15.7109375" style="1" bestFit="1" customWidth="1"/>
    <col min="13289" max="13536" width="9.140625" style="1"/>
    <col min="13537" max="13537" width="3.7109375" style="1" customWidth="1"/>
    <col min="13538" max="13539" width="1.7109375" style="1" customWidth="1"/>
    <col min="13540" max="13540" width="45.140625" style="1" customWidth="1"/>
    <col min="13541" max="13541" width="24.42578125" style="1" customWidth="1"/>
    <col min="13542" max="13542" width="15.5703125" style="1" customWidth="1"/>
    <col min="13543" max="13543" width="9.140625" style="1"/>
    <col min="13544" max="13544" width="15.7109375" style="1" bestFit="1" customWidth="1"/>
    <col min="13545" max="13792" width="9.140625" style="1"/>
    <col min="13793" max="13793" width="3.7109375" style="1" customWidth="1"/>
    <col min="13794" max="13795" width="1.7109375" style="1" customWidth="1"/>
    <col min="13796" max="13796" width="45.140625" style="1" customWidth="1"/>
    <col min="13797" max="13797" width="24.42578125" style="1" customWidth="1"/>
    <col min="13798" max="13798" width="15.5703125" style="1" customWidth="1"/>
    <col min="13799" max="13799" width="9.140625" style="1"/>
    <col min="13800" max="13800" width="15.7109375" style="1" bestFit="1" customWidth="1"/>
    <col min="13801" max="14048" width="9.140625" style="1"/>
    <col min="14049" max="14049" width="3.7109375" style="1" customWidth="1"/>
    <col min="14050" max="14051" width="1.7109375" style="1" customWidth="1"/>
    <col min="14052" max="14052" width="45.140625" style="1" customWidth="1"/>
    <col min="14053" max="14053" width="24.42578125" style="1" customWidth="1"/>
    <col min="14054" max="14054" width="15.5703125" style="1" customWidth="1"/>
    <col min="14055" max="14055" width="9.140625" style="1"/>
    <col min="14056" max="14056" width="15.7109375" style="1" bestFit="1" customWidth="1"/>
    <col min="14057" max="14304" width="9.140625" style="1"/>
    <col min="14305" max="14305" width="3.7109375" style="1" customWidth="1"/>
    <col min="14306" max="14307" width="1.7109375" style="1" customWidth="1"/>
    <col min="14308" max="14308" width="45.140625" style="1" customWidth="1"/>
    <col min="14309" max="14309" width="24.42578125" style="1" customWidth="1"/>
    <col min="14310" max="14310" width="15.5703125" style="1" customWidth="1"/>
    <col min="14311" max="14311" width="9.140625" style="1"/>
    <col min="14312" max="14312" width="15.7109375" style="1" bestFit="1" customWidth="1"/>
    <col min="14313" max="14560" width="9.140625" style="1"/>
    <col min="14561" max="14561" width="3.7109375" style="1" customWidth="1"/>
    <col min="14562" max="14563" width="1.7109375" style="1" customWidth="1"/>
    <col min="14564" max="14564" width="45.140625" style="1" customWidth="1"/>
    <col min="14565" max="14565" width="24.42578125" style="1" customWidth="1"/>
    <col min="14566" max="14566" width="15.5703125" style="1" customWidth="1"/>
    <col min="14567" max="14567" width="9.140625" style="1"/>
    <col min="14568" max="14568" width="15.7109375" style="1" bestFit="1" customWidth="1"/>
    <col min="14569" max="14816" width="9.140625" style="1"/>
    <col min="14817" max="14817" width="3.7109375" style="1" customWidth="1"/>
    <col min="14818" max="14819" width="1.7109375" style="1" customWidth="1"/>
    <col min="14820" max="14820" width="45.140625" style="1" customWidth="1"/>
    <col min="14821" max="14821" width="24.42578125" style="1" customWidth="1"/>
    <col min="14822" max="14822" width="15.5703125" style="1" customWidth="1"/>
    <col min="14823" max="14823" width="9.140625" style="1"/>
    <col min="14824" max="14824" width="15.7109375" style="1" bestFit="1" customWidth="1"/>
    <col min="14825" max="15072" width="9.140625" style="1"/>
    <col min="15073" max="15073" width="3.7109375" style="1" customWidth="1"/>
    <col min="15074" max="15075" width="1.7109375" style="1" customWidth="1"/>
    <col min="15076" max="15076" width="45.140625" style="1" customWidth="1"/>
    <col min="15077" max="15077" width="24.42578125" style="1" customWidth="1"/>
    <col min="15078" max="15078" width="15.5703125" style="1" customWidth="1"/>
    <col min="15079" max="15079" width="9.140625" style="1"/>
    <col min="15080" max="15080" width="15.7109375" style="1" bestFit="1" customWidth="1"/>
    <col min="15081" max="15328" width="9.140625" style="1"/>
    <col min="15329" max="15329" width="3.7109375" style="1" customWidth="1"/>
    <col min="15330" max="15331" width="1.7109375" style="1" customWidth="1"/>
    <col min="15332" max="15332" width="45.140625" style="1" customWidth="1"/>
    <col min="15333" max="15333" width="24.42578125" style="1" customWidth="1"/>
    <col min="15334" max="15334" width="15.5703125" style="1" customWidth="1"/>
    <col min="15335" max="15335" width="9.140625" style="1"/>
    <col min="15336" max="15336" width="15.7109375" style="1" bestFit="1" customWidth="1"/>
    <col min="15337" max="15584" width="9.140625" style="1"/>
    <col min="15585" max="15585" width="3.7109375" style="1" customWidth="1"/>
    <col min="15586" max="15587" width="1.7109375" style="1" customWidth="1"/>
    <col min="15588" max="15588" width="45.140625" style="1" customWidth="1"/>
    <col min="15589" max="15589" width="24.42578125" style="1" customWidth="1"/>
    <col min="15590" max="15590" width="15.5703125" style="1" customWidth="1"/>
    <col min="15591" max="15591" width="9.140625" style="1"/>
    <col min="15592" max="15592" width="15.7109375" style="1" bestFit="1" customWidth="1"/>
    <col min="15593" max="15840" width="9.140625" style="1"/>
    <col min="15841" max="15841" width="3.7109375" style="1" customWidth="1"/>
    <col min="15842" max="15843" width="1.7109375" style="1" customWidth="1"/>
    <col min="15844" max="15844" width="45.140625" style="1" customWidth="1"/>
    <col min="15845" max="15845" width="24.42578125" style="1" customWidth="1"/>
    <col min="15846" max="15846" width="15.5703125" style="1" customWidth="1"/>
    <col min="15847" max="15847" width="9.140625" style="1"/>
    <col min="15848" max="15848" width="15.7109375" style="1" bestFit="1" customWidth="1"/>
    <col min="15849" max="16096" width="9.140625" style="1"/>
    <col min="16097" max="16097" width="3.7109375" style="1" customWidth="1"/>
    <col min="16098" max="16099" width="1.7109375" style="1" customWidth="1"/>
    <col min="16100" max="16100" width="45.140625" style="1" customWidth="1"/>
    <col min="16101" max="16101" width="24.42578125" style="1" customWidth="1"/>
    <col min="16102" max="16102" width="15.5703125" style="1" customWidth="1"/>
    <col min="16103" max="16103" width="9.140625" style="1"/>
    <col min="16104" max="16104" width="15.7109375" style="1" bestFit="1" customWidth="1"/>
    <col min="16105" max="16384" width="9.140625" style="1"/>
  </cols>
  <sheetData>
    <row r="2" spans="2:15" x14ac:dyDescent="0.2">
      <c r="B2" s="654" t="str">
        <f>BP!B2</f>
        <v>Empresa de Pesquisa Energética - EPE</v>
      </c>
      <c r="C2" s="654"/>
      <c r="D2" s="654"/>
      <c r="E2" s="654"/>
      <c r="F2" s="654"/>
      <c r="G2" s="654"/>
    </row>
    <row r="3" spans="2:15" x14ac:dyDescent="0.2">
      <c r="B3" s="655" t="str">
        <f>BP!B3</f>
        <v>CNPJ 06.977.747/0001-80</v>
      </c>
      <c r="C3" s="655"/>
      <c r="D3" s="655"/>
      <c r="E3" s="655"/>
      <c r="F3" s="655"/>
      <c r="G3" s="655"/>
    </row>
    <row r="4" spans="2:15" s="2" customFormat="1" x14ac:dyDescent="0.2">
      <c r="B4" s="654" t="s">
        <v>55</v>
      </c>
      <c r="C4" s="654"/>
      <c r="D4" s="654"/>
      <c r="E4" s="654"/>
      <c r="F4" s="654"/>
      <c r="G4" s="654"/>
      <c r="M4" s="9"/>
    </row>
    <row r="5" spans="2:15" x14ac:dyDescent="0.2">
      <c r="B5" s="655" t="str">
        <f>BP!B5</f>
        <v>(em milhares de reais)</v>
      </c>
      <c r="C5" s="655"/>
      <c r="D5" s="655"/>
      <c r="E5" s="655"/>
      <c r="F5" s="655"/>
      <c r="G5" s="655"/>
      <c r="H5" s="2"/>
    </row>
    <row r="6" spans="2:15" x14ac:dyDescent="0.2">
      <c r="B6" s="11"/>
      <c r="C6" s="11"/>
      <c r="D6" s="11"/>
      <c r="E6" s="13"/>
      <c r="F6" s="13"/>
      <c r="G6" s="13"/>
      <c r="H6" s="2"/>
    </row>
    <row r="7" spans="2:15" ht="13.5" thickBot="1" x14ac:dyDescent="0.25">
      <c r="B7" s="75"/>
      <c r="C7" s="75"/>
      <c r="D7" s="75"/>
      <c r="E7" s="98">
        <v>45199</v>
      </c>
      <c r="F7" s="76"/>
      <c r="G7" s="98">
        <v>44834</v>
      </c>
      <c r="H7" s="2"/>
    </row>
    <row r="8" spans="2:15" x14ac:dyDescent="0.2">
      <c r="B8" s="11"/>
      <c r="C8" s="11"/>
      <c r="D8" s="11"/>
      <c r="E8" s="13"/>
      <c r="F8" s="13"/>
      <c r="G8" s="13"/>
      <c r="H8" s="2"/>
    </row>
    <row r="9" spans="2:15" x14ac:dyDescent="0.2">
      <c r="B9" s="58" t="s">
        <v>56</v>
      </c>
      <c r="C9" s="58"/>
      <c r="D9" s="11"/>
      <c r="E9" s="77"/>
      <c r="F9" s="77"/>
      <c r="G9" s="77"/>
      <c r="N9" s="10"/>
      <c r="O9" s="10"/>
    </row>
    <row r="10" spans="2:15" x14ac:dyDescent="0.2">
      <c r="B10" s="11"/>
      <c r="C10" s="11" t="s">
        <v>57</v>
      </c>
      <c r="D10" s="11"/>
      <c r="E10" s="78">
        <f>DRE!E36</f>
        <v>91361</v>
      </c>
      <c r="F10" s="78"/>
      <c r="G10" s="78">
        <v>79339</v>
      </c>
      <c r="N10" s="10"/>
      <c r="O10" s="10"/>
    </row>
    <row r="11" spans="2:15" x14ac:dyDescent="0.2">
      <c r="B11" s="11"/>
      <c r="C11" s="11" t="s">
        <v>58</v>
      </c>
      <c r="D11" s="11"/>
      <c r="E11" s="94">
        <f>-SUM(SUMIF('Balancete 09.2023'!C:C,33212,'Balancete 09.2023'!K:K),SUMIF('Balancete 09.2023'!C:C,33213,'Balancete 09.2023'!K:K))</f>
        <v>4205</v>
      </c>
      <c r="F11" s="79"/>
      <c r="G11" s="94">
        <v>6688</v>
      </c>
      <c r="K11" s="11"/>
      <c r="L11" s="9"/>
      <c r="M11" s="236"/>
      <c r="N11" s="10"/>
      <c r="O11" s="10"/>
    </row>
    <row r="12" spans="2:15" s="2" customFormat="1" x14ac:dyDescent="0.2">
      <c r="B12" s="58"/>
      <c r="C12" s="58"/>
      <c r="D12" s="58"/>
      <c r="E12" s="83">
        <f>SUM(E10:E11)</f>
        <v>95566</v>
      </c>
      <c r="F12" s="83"/>
      <c r="G12" s="83">
        <f>SUM(G10:G11)</f>
        <v>86027</v>
      </c>
      <c r="K12" s="11"/>
      <c r="L12" s="9"/>
      <c r="M12" s="236"/>
      <c r="N12" s="10"/>
      <c r="O12" s="10"/>
    </row>
    <row r="13" spans="2:15" x14ac:dyDescent="0.2">
      <c r="B13" s="80"/>
      <c r="C13" s="80"/>
      <c r="D13" s="81"/>
      <c r="E13" s="82"/>
      <c r="F13" s="82"/>
      <c r="G13" s="82"/>
      <c r="K13" s="11"/>
      <c r="N13" s="10"/>
      <c r="O13" s="10"/>
    </row>
    <row r="14" spans="2:15" x14ac:dyDescent="0.2">
      <c r="B14" s="58" t="s">
        <v>59</v>
      </c>
      <c r="C14" s="58"/>
      <c r="D14" s="58"/>
      <c r="E14" s="77"/>
      <c r="F14" s="77"/>
      <c r="G14" s="77"/>
      <c r="N14" s="10"/>
      <c r="O14" s="10"/>
    </row>
    <row r="15" spans="2:15" ht="15" x14ac:dyDescent="0.35">
      <c r="B15" s="11"/>
      <c r="C15" s="11" t="s">
        <v>60</v>
      </c>
      <c r="D15" s="11"/>
      <c r="E15" s="95">
        <f>SUM(SUMIF('Balancete 09.2023'!C:C,41311,'Balancete 09.2023'!K:K),SUMIF('Balancete 09.2023'!C:C,41312,'Balancete 09.2023'!K:K),SUMIF('Balancete 09.2023'!C:C,41315,'Balancete 09.2023'!K:K),SUMIF('Balancete 09.2023'!C:C,413114,'Balancete 09.2023'!K:K),SUMIF('Balancete 09.2023'!C:C,4131997,'Balancete 09.2023'!K:K),SUMIF('Balancete 09.2023'!C:C,41614,'Balancete 09.2023'!K:K),SUMIF('Balancete 09.2023'!C:C,41616,'Balancete 09.2023'!K:K),SUMIF('Balancete 09.2023'!C:C,416110,'Balancete 09.2023'!K:K),SUMIF('Balancete 09.2023'!C:C,416114,'Balancete 09.2023'!K:K),SUMIF('Balancete 09.2023'!C:C,416115,'Balancete 09.2023'!K:K),SUMIF('Balancete 09.2023'!C:C,416116,'Balancete 09.2023'!K:K),SUMIF('Balancete 09.2023'!C:C,41624,'Balancete 09.2023'!K:K),SUMIF('Balancete 09.2023'!C:C,41626,'Balancete 09.2023'!K:K),SUMIF('Balancete 09.2023'!C:C,41627,'Balancete 09.2023'!K:K),SUMIF('Balancete 09.2023'!C:C,416210,'Balancete 09.2023'!K:K),SUMIF('Balancete 09.2023'!C:C,42312,'Balancete 09.2023'!K:K),SUMIF('Balancete 09.2023'!C:C,42315,'Balancete 09.2023'!K:K),SUMIF('Balancete 09.2023'!C:C,42316,'Balancete 09.2023'!K:K),SUMIF('Balancete 09.2023'!C:C,42317,'Balancete 09.2023'!K:K),SUMIF('Balancete 09.2023'!C:C,42318,'Balancete 09.2023'!K:K),SUMIF('Balancete 09.2023'!C:C,423113,'Balancete 09.2023'!K:K),SUMIF('Balancete 09.2023'!C:C,423114,'Balancete 09.2023'!K:K),SUMIF('Balancete 09.2023'!C:C,423115,'Balancete 09.2023'!K:K),SUMIF('Balancete 09.2023'!C:C,42613,'Balancete 09.2023'!K:K),SUMIF('Balancete 09.2023'!C:C,42614,'Balancete 09.2023'!K:K),SUMIF('Balancete 09.2023'!C:C,42616,'Balancete 09.2023'!K:K),SUMIF('Balancete 09.2023'!C:C,42617,'Balancete 09.2023'!K:K),SUMIF('Balancete 09.2023'!C:C,426110,'Balancete 09.2023'!K:K),SUMIF('Balancete 09.2023'!C:C,426114,'Balancete 09.2023'!K:K),SUMIF('Balancete 09.2023'!C:C,426116,'Balancete 09.2023'!K:K),SUMIF('Balancete 09.2023'!C:C,426117,'Balancete 09.2023'!K:K),SUMIF('Balancete 09.2023'!C:C,42624,'Balancete 09.2023'!K:K),SUMIF('Balancete 09.2023'!C:C,42626,'Balancete 09.2023'!K:K),SUMIF('Balancete 09.2023'!C:C,42627,'Balancete 09.2023'!K:K),SUMIF('Balancete 09.2023'!C:C,42629,'Balancete 09.2023'!K:K),SUMIF('Balancete 09.2023'!C:C,426215,'Balancete 09.2023'!K:K),SUMIF('Balancete 09.2023'!C:C,426210,'Balancete 09.2023'!K:K),SUMIF('Balancete 09.2023'!C:C,422,'Balancete 09.2023'!K:K),SUMIF('Balancete 09.2023'!C:C,42311,'Balancete 09.2023'!K:K),SUMIF('Balancete 09.2023'!C:C,42625,'Balancete 09.2023'!K:K))</f>
        <v>16941</v>
      </c>
      <c r="F15" s="78"/>
      <c r="G15" s="95">
        <v>14866</v>
      </c>
      <c r="L15" s="9"/>
      <c r="M15" s="236"/>
      <c r="N15" s="10"/>
      <c r="O15" s="10"/>
    </row>
    <row r="16" spans="2:15" s="2" customFormat="1" x14ac:dyDescent="0.2">
      <c r="B16" s="58"/>
      <c r="C16" s="58"/>
      <c r="D16" s="58"/>
      <c r="E16" s="77">
        <f>SUM(E15)</f>
        <v>16941</v>
      </c>
      <c r="F16" s="77"/>
      <c r="G16" s="77">
        <f>SUM(G15)</f>
        <v>14866</v>
      </c>
      <c r="M16" s="9"/>
      <c r="N16" s="10"/>
      <c r="O16" s="10"/>
    </row>
    <row r="17" spans="2:16" x14ac:dyDescent="0.2">
      <c r="B17" s="11"/>
      <c r="C17" s="11"/>
      <c r="D17" s="11"/>
      <c r="E17" s="78"/>
      <c r="F17" s="78"/>
      <c r="G17" s="78"/>
      <c r="N17" s="10"/>
      <c r="O17" s="10"/>
    </row>
    <row r="18" spans="2:16" x14ac:dyDescent="0.2">
      <c r="B18" s="58" t="s">
        <v>61</v>
      </c>
      <c r="C18" s="58"/>
      <c r="D18" s="58"/>
      <c r="E18" s="83">
        <f>+E12-E16</f>
        <v>78625</v>
      </c>
      <c r="F18" s="83"/>
      <c r="G18" s="83">
        <f>+G12-G16</f>
        <v>71161</v>
      </c>
      <c r="N18" s="10"/>
      <c r="O18" s="10"/>
    </row>
    <row r="19" spans="2:16" x14ac:dyDescent="0.2">
      <c r="B19" s="58"/>
      <c r="C19" s="58"/>
      <c r="D19" s="58"/>
      <c r="E19" s="83"/>
      <c r="F19" s="83"/>
      <c r="G19" s="83"/>
      <c r="N19" s="10"/>
      <c r="O19" s="10"/>
    </row>
    <row r="20" spans="2:16" x14ac:dyDescent="0.2">
      <c r="B20" s="11"/>
      <c r="C20" s="11" t="s">
        <v>62</v>
      </c>
      <c r="D20" s="11"/>
      <c r="E20" s="78">
        <f>'DFC '!C10</f>
        <v>2420.6284999999998</v>
      </c>
      <c r="F20" s="78"/>
      <c r="G20" s="78">
        <v>2209</v>
      </c>
      <c r="N20" s="10"/>
      <c r="O20" s="10"/>
    </row>
    <row r="21" spans="2:16" x14ac:dyDescent="0.2">
      <c r="B21" s="58"/>
      <c r="C21" s="58"/>
      <c r="D21" s="11"/>
      <c r="E21" s="79"/>
      <c r="F21" s="79"/>
      <c r="G21" s="79"/>
      <c r="N21" s="10"/>
      <c r="O21" s="10"/>
    </row>
    <row r="22" spans="2:16" x14ac:dyDescent="0.2">
      <c r="B22" s="58" t="s">
        <v>63</v>
      </c>
      <c r="C22" s="58"/>
      <c r="D22" s="11"/>
      <c r="E22" s="83">
        <f>+E18-E20</f>
        <v>76204.371499999994</v>
      </c>
      <c r="F22" s="83"/>
      <c r="G22" s="83">
        <f>+G18-G20</f>
        <v>68952</v>
      </c>
      <c r="N22" s="10"/>
      <c r="O22" s="10"/>
    </row>
    <row r="23" spans="2:16" x14ac:dyDescent="0.2">
      <c r="B23" s="58"/>
      <c r="C23" s="58"/>
      <c r="D23" s="11"/>
      <c r="E23" s="83"/>
      <c r="F23" s="83"/>
      <c r="G23" s="83"/>
      <c r="N23" s="10"/>
      <c r="O23" s="10"/>
    </row>
    <row r="24" spans="2:16" x14ac:dyDescent="0.2">
      <c r="B24" s="58" t="s">
        <v>64</v>
      </c>
      <c r="C24" s="58"/>
      <c r="D24" s="11"/>
      <c r="E24" s="83"/>
      <c r="F24" s="83"/>
      <c r="G24" s="83"/>
      <c r="N24" s="10"/>
      <c r="O24" s="10"/>
    </row>
    <row r="25" spans="2:16" x14ac:dyDescent="0.2">
      <c r="B25" s="11"/>
      <c r="C25" s="11" t="s">
        <v>44</v>
      </c>
      <c r="D25" s="11"/>
      <c r="E25" s="96">
        <f>-SUMIF('Balancete 09.2023'!C:C,331,'Balancete 09.2023'!K:K)</f>
        <v>487</v>
      </c>
      <c r="F25" s="78"/>
      <c r="G25" s="96">
        <v>940</v>
      </c>
      <c r="N25" s="10"/>
      <c r="O25" s="10"/>
    </row>
    <row r="26" spans="2:16" ht="12.75" hidden="1" customHeight="1" x14ac:dyDescent="0.2">
      <c r="B26" s="11"/>
      <c r="C26" s="11" t="s">
        <v>65</v>
      </c>
      <c r="D26" s="11"/>
      <c r="E26" s="96">
        <v>0</v>
      </c>
      <c r="F26" s="78"/>
      <c r="G26" s="96">
        <v>0</v>
      </c>
      <c r="K26" s="78"/>
      <c r="N26" s="198"/>
      <c r="O26" s="10"/>
      <c r="P26" s="10"/>
    </row>
    <row r="27" spans="2:16" s="2" customFormat="1" x14ac:dyDescent="0.2">
      <c r="B27" s="58"/>
      <c r="C27" s="58"/>
      <c r="D27" s="58"/>
      <c r="E27" s="77">
        <f>SUM(E25:E26)</f>
        <v>487</v>
      </c>
      <c r="F27" s="77"/>
      <c r="G27" s="77">
        <f>SUM(G25:G26)</f>
        <v>940</v>
      </c>
      <c r="M27" s="9"/>
      <c r="P27" s="198"/>
    </row>
    <row r="28" spans="2:16" x14ac:dyDescent="0.2">
      <c r="B28" s="11"/>
      <c r="C28" s="11"/>
      <c r="D28" s="11"/>
      <c r="E28" s="78"/>
      <c r="F28" s="78"/>
      <c r="G28" s="78"/>
    </row>
    <row r="29" spans="2:16" x14ac:dyDescent="0.2">
      <c r="B29" s="11"/>
      <c r="C29" s="11"/>
      <c r="D29" s="11"/>
      <c r="E29" s="79"/>
      <c r="F29" s="79"/>
      <c r="G29" s="79"/>
    </row>
    <row r="30" spans="2:16" s="57" customFormat="1" ht="13.5" thickBot="1" x14ac:dyDescent="0.3">
      <c r="B30" s="84" t="s">
        <v>66</v>
      </c>
      <c r="C30" s="84"/>
      <c r="D30" s="85"/>
      <c r="E30" s="86">
        <f>+E22+E27</f>
        <v>76691.371499999994</v>
      </c>
      <c r="F30" s="87"/>
      <c r="G30" s="86">
        <f>+G22+G27</f>
        <v>69892</v>
      </c>
      <c r="M30" s="197"/>
    </row>
    <row r="31" spans="2:16" ht="13.5" thickTop="1" x14ac:dyDescent="0.2">
      <c r="B31" s="58" t="s">
        <v>67</v>
      </c>
      <c r="C31" s="11"/>
      <c r="D31" s="58"/>
      <c r="E31" s="88"/>
      <c r="F31" s="79"/>
      <c r="G31" s="88"/>
    </row>
    <row r="32" spans="2:16" x14ac:dyDescent="0.2">
      <c r="B32" s="58"/>
      <c r="C32" s="58" t="s">
        <v>68</v>
      </c>
      <c r="D32" s="58"/>
      <c r="E32" s="83"/>
      <c r="F32" s="83"/>
      <c r="G32" s="83"/>
    </row>
    <row r="33" spans="2:13" x14ac:dyDescent="0.2">
      <c r="B33" s="11"/>
      <c r="C33" s="11"/>
      <c r="D33" s="11" t="s">
        <v>69</v>
      </c>
      <c r="E33" s="78">
        <f>SUM(SUMIF('Balancete 09.2023'!C:C,41111,'Balancete 09.2023'!K:K),SUMIF('Balancete 09.2023'!C:C,41116,'Balancete 09.2023'!K:K),SUMIF('Balancete 09.2023'!C:C,41117,'Balancete 09.2023'!K:K),SUMIF('Balancete 09.2023'!C:C,41118,'Balancete 09.2023'!K:K),SUMIF('Balancete 09.2023'!C:C,41119,'Balancete 09.2023'!K:K),SUMIF('Balancete 09.2023'!C:C,411111,'Balancete 09.2023'!K:K),SUMIF('Balancete 09.2023'!C:C,411113,'Balancete 09.2023'!K:K),SUMIF('Balancete 09.2023'!C:C,411101,'Balancete 09.2023'!K:K),SUMIF('Balancete 09.2023'!C:C,413117,'Balancete 09.2023'!K:K),SUMIF('Balancete 09.2023'!C:C,41621,'Balancete 09.2023'!K:K),SUMIF('Balancete 09.2023'!C:C,42111,'Balancete 09.2023'!K:K),SUMIF('Balancete 09.2023'!C:C,42117,'Balancete 09.2023'!K:K),SUMIF('Balancete 09.2023'!C:C,42118,'Balancete 09.2023'!K:K),SUMIF('Balancete 09.2023'!C:C,42119,'Balancete 09.2023'!K:K),SUMIF('Balancete 09.2023'!C:C,421110,'Balancete 09.2023'!K:K),SUMIF('Balancete 09.2023'!C:C,421112,'Balancete 09.2023'!K:K),SUMIF('Balancete 09.2023'!C:C,42313,'Balancete 09.2023'!K:K),SUMIF('Balancete 09.2023'!C:C,423117,'Balancete 09.2023'!K:K),SUMIF('Balancete 09.2023'!C:C,423119,'Balancete 09.2023'!K:K),SUMIF('Balancete 09.2023'!C:C,42621,'Balancete 09.2023'!K:K),SUMIF('Balancete 09.2023'!C:C,42622,'Balancete 09.2023'!K:K),SUMIF('Balancete 09.2023'!C:C,426214,'Balancete 09.2023'!K:K),SUMIF('Balancete 09.2023'!C:C,411114,'Balancete 09.2023'!K:K))</f>
        <v>48992</v>
      </c>
      <c r="F33" s="78"/>
      <c r="G33" s="78">
        <v>46084</v>
      </c>
    </row>
    <row r="34" spans="2:13" x14ac:dyDescent="0.2">
      <c r="B34" s="11"/>
      <c r="C34" s="11"/>
      <c r="D34" s="11" t="s">
        <v>33</v>
      </c>
      <c r="E34" s="78">
        <f>SUM(SUMIF('Balancete 09.2023'!C:C,4113,'Balancete 09.2023'!K:IK),SUMIF('Balancete 09.2023'!C:C,4213,'Balancete 09.2023'!K:K))</f>
        <v>6759</v>
      </c>
      <c r="F34" s="78"/>
      <c r="G34" s="78">
        <v>6623</v>
      </c>
    </row>
    <row r="35" spans="2:13" x14ac:dyDescent="0.2">
      <c r="B35" s="11"/>
      <c r="C35" s="11"/>
      <c r="D35" s="11" t="s">
        <v>70</v>
      </c>
      <c r="E35" s="78">
        <f>SUM(SUMIF('Balancete 09.2023'!C:C,41122,'Balancete 09.2023'!K:K),SUMIF('Balancete 09.2023'!C:C,41126,'Balancete 09.2023'!K:K),SUMIF('Balancete 09.2023'!C:C,41127,'Balancete 09.2023'!K:K),SUMIF('Balancete 09.2023'!C:C,42122,'Balancete 09.2023'!K:K),SUMIF('Balancete 09.2023'!C:C,42126,'Balancete 09.2023'!K:K),SUMIF('Balancete 09.2023'!C:C,42127,'Balancete 09.2023'!K:K))</f>
        <v>3790</v>
      </c>
      <c r="F35" s="78"/>
      <c r="G35" s="78">
        <v>3571</v>
      </c>
    </row>
    <row r="36" spans="2:13" x14ac:dyDescent="0.2">
      <c r="B36" s="11"/>
      <c r="C36" s="11"/>
      <c r="D36" s="11" t="s">
        <v>1267</v>
      </c>
      <c r="E36" s="96">
        <f>SUMIF('Balancete 09.2023'!C:C,42541,'Balancete 09.2023'!K:K)+SUMIF('Balancete 09.2023'!C:C,3361,'Balancete 09.2023'!K:K)</f>
        <v>4</v>
      </c>
      <c r="F36" s="78"/>
      <c r="G36" s="96">
        <v>0</v>
      </c>
    </row>
    <row r="37" spans="2:13" s="2" customFormat="1" x14ac:dyDescent="0.2">
      <c r="B37" s="58"/>
      <c r="C37" s="58"/>
      <c r="D37" s="58"/>
      <c r="E37" s="77">
        <f>SUM(E33:E36)</f>
        <v>59545</v>
      </c>
      <c r="F37" s="77"/>
      <c r="G37" s="77">
        <f>SUM(G33:G36)</f>
        <v>56278</v>
      </c>
      <c r="M37" s="9"/>
    </row>
    <row r="38" spans="2:13" x14ac:dyDescent="0.2">
      <c r="B38" s="11"/>
      <c r="C38" s="11"/>
      <c r="D38" s="11"/>
      <c r="E38" s="78"/>
      <c r="F38" s="78"/>
      <c r="G38" s="78"/>
    </row>
    <row r="39" spans="2:13" x14ac:dyDescent="0.2">
      <c r="B39" s="11"/>
      <c r="C39" s="58" t="s">
        <v>71</v>
      </c>
      <c r="D39" s="11"/>
      <c r="E39" s="89"/>
      <c r="F39" s="83"/>
      <c r="G39" s="89"/>
    </row>
    <row r="40" spans="2:13" x14ac:dyDescent="0.2">
      <c r="B40" s="11"/>
      <c r="C40" s="11"/>
      <c r="D40" s="11" t="s">
        <v>72</v>
      </c>
      <c r="E40" s="78">
        <f>SUM(SUMIF('Balancete 09.2023'!C:C,41121,'Balancete 09.2023'!K:K),SUMIF('Balancete 09.2023'!C:C,41123,'Balancete 09.2023'!K:K),SUMIF('Balancete 09.2023'!C:C,41124,'Balancete 09.2023'!K:K),SUMIF('Balancete 09.2023'!C:C,41125,'Balancete 09.2023'!K:K),SUMIF('Balancete 09.2023'!C:C,42121,'Balancete 09.2023'!K:K),SUMIF('Balancete 09.2023'!C:C,42124,'Balancete 09.2023'!K:K),SUMIF('Balancete 09.2023'!C:C,42125,'Balancete 09.2023'!K:K),SUMIF('Balancete 09.2023'!C:C,42123,'Balancete 09.2023'!K:K),SUMIF('Balancete 09.2023'!C:C,42415,'Balancete 09.2023'!K:K),SUMIF('Balancete 09.2023'!C:C,42416,'Balancete 09.2023'!K:K),SUMIF('Balancete 09.2023'!C:C,4251,'Balancete 09.2023'!K:K),SUMIF('Balancete 09.2023'!C:C,4252,'Balancete 09.2023'!K:K))</f>
        <v>11088</v>
      </c>
      <c r="F40" s="78"/>
      <c r="G40" s="78">
        <v>10228</v>
      </c>
    </row>
    <row r="41" spans="2:13" x14ac:dyDescent="0.2">
      <c r="B41" s="11"/>
      <c r="C41" s="11"/>
      <c r="D41" s="11" t="s">
        <v>73</v>
      </c>
      <c r="E41" s="78">
        <f>SUM(SUMIF('Balancete 09.2023'!C:C,41418,'Balancete 09.2023'!K:K),SUMIF('Balancete 09.2023'!C:C,41417,'Balancete 09.2023'!K:K),SUMIF('Balancete 09.2023'!C:C,42417,'Balancete 09.2023'!K:K),SUMIF('Balancete 09.2023'!C:C,424112,'Balancete 09.2023'!K:K))</f>
        <v>22</v>
      </c>
      <c r="F41" s="78"/>
      <c r="G41" s="78">
        <v>20</v>
      </c>
    </row>
    <row r="42" spans="2:13" x14ac:dyDescent="0.2">
      <c r="B42" s="11"/>
      <c r="C42" s="11"/>
      <c r="D42" s="11" t="s">
        <v>74</v>
      </c>
      <c r="E42" s="96">
        <f>SUM(SUMIF('Balancete 09.2023'!C:C,41411,'Balancete 09.2023'!K:K),SUMIF('Balancete 09.2023'!C:C,41412,'Balancete 09.2023'!K:K),SUMIF('Balancete 09.2023'!C:C,42413,'Balancete 09.2023'!K:K),SUMIF('Balancete 09.2023'!C:C,41414,'Balancete 09.2023'!K:K),SUMIF('Balancete 09.2023'!C:C,41415,'Balancete 09.2023'!K:K),SUMIF('Balancete 09.2023'!C:C,42411,'Balancete 09.2023'!K:K),SUMIF('Balancete 09.2023'!C:C,42412,'Balancete 09.2023'!K:K),SUMIF('Balancete 09.2023'!C:C,42413,'Balancete 09.2023'!K:K),SUMIF('Balancete 09.2023'!C:C,42414,'Balancete 09.2023'!K:K))</f>
        <v>335</v>
      </c>
      <c r="F42" s="78"/>
      <c r="G42" s="96">
        <v>298</v>
      </c>
    </row>
    <row r="43" spans="2:13" ht="12.75" hidden="1" customHeight="1" x14ac:dyDescent="0.2">
      <c r="B43" s="11"/>
      <c r="C43" s="11"/>
      <c r="D43" s="11" t="s">
        <v>1268</v>
      </c>
      <c r="E43" s="96">
        <v>0</v>
      </c>
      <c r="F43" s="78"/>
      <c r="G43" s="96">
        <v>0</v>
      </c>
    </row>
    <row r="44" spans="2:13" s="2" customFormat="1" x14ac:dyDescent="0.2">
      <c r="B44" s="58"/>
      <c r="C44" s="58"/>
      <c r="D44" s="58"/>
      <c r="E44" s="77">
        <f>SUM(E40:E43)</f>
        <v>11445</v>
      </c>
      <c r="F44" s="77"/>
      <c r="G44" s="77">
        <f>SUM(G40:G43)</f>
        <v>10546</v>
      </c>
      <c r="M44" s="9"/>
    </row>
    <row r="45" spans="2:13" x14ac:dyDescent="0.2">
      <c r="B45" s="11"/>
      <c r="C45" s="11"/>
      <c r="D45" s="11"/>
      <c r="E45" s="78"/>
      <c r="F45" s="78"/>
      <c r="G45" s="78"/>
    </row>
    <row r="46" spans="2:13" x14ac:dyDescent="0.2">
      <c r="B46" s="58"/>
      <c r="C46" s="58" t="s">
        <v>75</v>
      </c>
      <c r="D46" s="58"/>
      <c r="E46" s="89"/>
      <c r="F46" s="83"/>
      <c r="G46" s="89"/>
    </row>
    <row r="47" spans="2:13" x14ac:dyDescent="0.2">
      <c r="B47" s="11"/>
      <c r="C47" s="11"/>
      <c r="D47" s="11" t="s">
        <v>286</v>
      </c>
      <c r="E47" s="78">
        <f>SUM(SUMIF('Balancete 09.2023'!C:C,42711,'Balancete 09.2023'!K:K))</f>
        <v>1</v>
      </c>
      <c r="F47" s="78"/>
      <c r="G47" s="78">
        <v>803</v>
      </c>
    </row>
    <row r="48" spans="2:13" x14ac:dyDescent="0.2">
      <c r="B48" s="11"/>
      <c r="C48" s="11"/>
      <c r="D48" s="11" t="s">
        <v>76</v>
      </c>
      <c r="E48" s="78">
        <f>SUM(SUMIF('Balancete 09.2023'!C:C,41611,'Balancete 09.2023'!K:K),SUMIF('Balancete 09.2023'!C:C,42611,'Balancete 09.2023'!K:K),SUMIF('Balancete 09.2023'!C:C,416112,'Balancete 09.2023'!K:K),SUMIF('Balancete 09.2023'!C:C,426112,'Balancete 09.2023'!K:K))</f>
        <v>2603</v>
      </c>
      <c r="F48" s="78"/>
      <c r="G48" s="78">
        <v>2073</v>
      </c>
    </row>
    <row r="49" spans="2:13" x14ac:dyDescent="0.2">
      <c r="B49" s="11"/>
      <c r="C49" s="11"/>
      <c r="D49" s="11" t="s">
        <v>1608</v>
      </c>
      <c r="E49" s="78">
        <f>SUM(SUMIF('Balancete 09.2023'!C:C,42720,'Balancete 09.2023'!K:K))</f>
        <v>1663</v>
      </c>
      <c r="F49" s="78"/>
      <c r="G49" s="78">
        <v>0</v>
      </c>
    </row>
    <row r="50" spans="2:13" x14ac:dyDescent="0.2">
      <c r="B50" s="11"/>
      <c r="C50" s="11"/>
      <c r="D50" s="11" t="s">
        <v>1609</v>
      </c>
      <c r="E50" s="94">
        <v>0</v>
      </c>
      <c r="F50" s="79"/>
      <c r="G50" s="94">
        <v>157</v>
      </c>
    </row>
    <row r="51" spans="2:13" s="2" customFormat="1" x14ac:dyDescent="0.2">
      <c r="B51" s="58"/>
      <c r="C51" s="58"/>
      <c r="D51" s="58"/>
      <c r="E51" s="242">
        <f>SUM(E47:E50)</f>
        <v>4267</v>
      </c>
      <c r="F51" s="77"/>
      <c r="G51" s="242">
        <f>SUM(G47:G50)</f>
        <v>3033</v>
      </c>
      <c r="M51" s="9"/>
    </row>
    <row r="52" spans="2:13" x14ac:dyDescent="0.2">
      <c r="B52" s="11"/>
      <c r="C52" s="11"/>
      <c r="D52" s="11"/>
      <c r="E52" s="88"/>
      <c r="F52" s="79"/>
      <c r="G52" s="88"/>
    </row>
    <row r="53" spans="2:13" x14ac:dyDescent="0.2">
      <c r="B53" s="58"/>
      <c r="C53" s="58" t="s">
        <v>1154</v>
      </c>
      <c r="D53" s="58"/>
      <c r="E53" s="89"/>
      <c r="F53" s="83"/>
      <c r="G53" s="89"/>
    </row>
    <row r="54" spans="2:13" x14ac:dyDescent="0.2">
      <c r="B54" s="11"/>
      <c r="C54" s="11"/>
      <c r="D54" s="11" t="s">
        <v>1269</v>
      </c>
      <c r="E54" s="96">
        <f>DRE!E54</f>
        <v>1434</v>
      </c>
      <c r="F54" s="78"/>
      <c r="G54" s="96">
        <f>DRE!I54</f>
        <v>35</v>
      </c>
    </row>
    <row r="55" spans="2:13" s="2" customFormat="1" x14ac:dyDescent="0.2">
      <c r="B55" s="58"/>
      <c r="C55" s="58"/>
      <c r="D55" s="58"/>
      <c r="E55" s="77">
        <f>SUM(E54)</f>
        <v>1434</v>
      </c>
      <c r="F55" s="77"/>
      <c r="G55" s="77">
        <f>SUM(G54)</f>
        <v>35</v>
      </c>
      <c r="M55" s="9"/>
    </row>
    <row r="56" spans="2:13" x14ac:dyDescent="0.2">
      <c r="B56" s="11"/>
      <c r="C56" s="11"/>
      <c r="D56" s="11"/>
      <c r="E56" s="88"/>
      <c r="F56" s="79"/>
      <c r="G56" s="88"/>
    </row>
    <row r="57" spans="2:13" s="57" customFormat="1" ht="13.5" thickBot="1" x14ac:dyDescent="0.3">
      <c r="B57" s="84" t="s">
        <v>77</v>
      </c>
      <c r="C57" s="84"/>
      <c r="D57" s="85"/>
      <c r="E57" s="86">
        <f>+E37+E44+E51+E55</f>
        <v>76691</v>
      </c>
      <c r="F57" s="87"/>
      <c r="G57" s="86">
        <f>+G37+G44+G51+G55</f>
        <v>69892</v>
      </c>
      <c r="M57" s="197"/>
    </row>
    <row r="58" spans="2:13" ht="13.5" thickTop="1" x14ac:dyDescent="0.2">
      <c r="B58" s="11"/>
      <c r="C58" s="11"/>
      <c r="D58" s="11"/>
      <c r="E58" s="83"/>
      <c r="F58" s="83"/>
      <c r="G58" s="13"/>
    </row>
    <row r="59" spans="2:13" x14ac:dyDescent="0.2">
      <c r="B59" s="90" t="str">
        <f>BP!B53</f>
        <v>As notas explicativas são parte integrante das demonstrações financeiras intermediárias.</v>
      </c>
      <c r="C59" s="11"/>
      <c r="D59" s="11"/>
      <c r="E59" s="83"/>
      <c r="F59" s="83"/>
      <c r="G59" s="202"/>
    </row>
    <row r="60" spans="2:13" x14ac:dyDescent="0.2">
      <c r="E60" s="91"/>
      <c r="F60" s="91"/>
    </row>
    <row r="61" spans="2:13" x14ac:dyDescent="0.2">
      <c r="E61" s="91"/>
      <c r="F61" s="91"/>
    </row>
    <row r="62" spans="2:13" x14ac:dyDescent="0.2">
      <c r="E62" s="13">
        <f>+E30-E57</f>
        <v>0.37149999999382999</v>
      </c>
      <c r="F62" s="92"/>
      <c r="G62" s="13">
        <f>+G30-G57</f>
        <v>0</v>
      </c>
    </row>
    <row r="63" spans="2:13" x14ac:dyDescent="0.2">
      <c r="E63" s="92"/>
      <c r="F63" s="92"/>
    </row>
    <row r="64" spans="2:13" x14ac:dyDescent="0.2">
      <c r="E64" s="92"/>
      <c r="F64" s="92"/>
    </row>
    <row r="65" spans="1:16106" x14ac:dyDescent="0.2">
      <c r="B65" s="11">
        <f>+E62+B64</f>
        <v>0.37149999999382999</v>
      </c>
      <c r="E65" s="99"/>
      <c r="F65" s="1"/>
    </row>
    <row r="66" spans="1:16106" s="15" customFormat="1" x14ac:dyDescent="0.2">
      <c r="A66" s="1"/>
      <c r="B66" s="1"/>
      <c r="C66" s="1"/>
      <c r="D66" s="1"/>
      <c r="E66" s="92"/>
      <c r="F66" s="92"/>
      <c r="H66" s="1"/>
      <c r="I66" s="1"/>
      <c r="J66" s="1"/>
      <c r="K66" s="1"/>
      <c r="L66" s="1"/>
      <c r="M66" s="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</row>
    <row r="67" spans="1:16106" s="15" customFormat="1" x14ac:dyDescent="0.2">
      <c r="A67" s="1"/>
      <c r="B67" s="1"/>
      <c r="C67" s="1"/>
      <c r="D67" s="1"/>
      <c r="E67" s="92"/>
      <c r="F67" s="92"/>
      <c r="H67" s="1"/>
      <c r="I67" s="1"/>
      <c r="J67" s="1"/>
      <c r="K67" s="1"/>
      <c r="L67" s="1"/>
      <c r="M67" s="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</row>
    <row r="68" spans="1:16106" s="15" customFormat="1" x14ac:dyDescent="0.2">
      <c r="A68" s="1"/>
      <c r="B68" s="1"/>
      <c r="C68" s="1"/>
      <c r="D68" s="1"/>
      <c r="E68" s="93"/>
      <c r="F68" s="93"/>
      <c r="H68" s="1"/>
      <c r="I68" s="1"/>
      <c r="J68" s="1"/>
      <c r="K68" s="1"/>
      <c r="L68" s="1"/>
      <c r="M68" s="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</row>
    <row r="71" spans="1:16106" s="15" customFormat="1" x14ac:dyDescent="0.2">
      <c r="A71" s="1"/>
      <c r="B71" s="59"/>
      <c r="C71" s="1"/>
      <c r="D71" s="1"/>
      <c r="H71" s="1"/>
      <c r="I71" s="1"/>
      <c r="J71" s="1"/>
      <c r="K71" s="1"/>
      <c r="L71" s="1"/>
      <c r="M71" s="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</row>
    <row r="89" spans="2:7" x14ac:dyDescent="0.2">
      <c r="B89" s="652"/>
      <c r="C89" s="652"/>
      <c r="D89" s="652"/>
      <c r="E89" s="652"/>
      <c r="F89" s="652"/>
      <c r="G89" s="652"/>
    </row>
    <row r="90" spans="2:7" x14ac:dyDescent="0.2">
      <c r="B90" s="652"/>
      <c r="C90" s="652"/>
      <c r="D90" s="652"/>
      <c r="E90" s="652"/>
      <c r="F90" s="652"/>
      <c r="G90" s="652"/>
    </row>
    <row r="91" spans="2:7" x14ac:dyDescent="0.2">
      <c r="B91" s="652"/>
      <c r="C91" s="652"/>
      <c r="D91" s="652"/>
      <c r="E91" s="652"/>
      <c r="F91" s="652"/>
      <c r="G91" s="652"/>
    </row>
  </sheetData>
  <mergeCells count="7">
    <mergeCell ref="B91:G91"/>
    <mergeCell ref="B2:G2"/>
    <mergeCell ref="B3:G3"/>
    <mergeCell ref="B4:G4"/>
    <mergeCell ref="B5:G5"/>
    <mergeCell ref="B89:G89"/>
    <mergeCell ref="B90:G9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"/>
  <sheetViews>
    <sheetView workbookViewId="0">
      <selection activeCell="C4" sqref="C4"/>
    </sheetView>
  </sheetViews>
  <sheetFormatPr defaultColWidth="20" defaultRowHeight="15" x14ac:dyDescent="0.25"/>
  <cols>
    <col min="1" max="1" width="38.140625" bestFit="1" customWidth="1"/>
    <col min="2" max="2" width="26.28515625" bestFit="1" customWidth="1"/>
    <col min="3" max="3" width="74.5703125" bestFit="1" customWidth="1"/>
    <col min="4" max="8" width="14.28515625" style="116" bestFit="1" customWidth="1"/>
    <col min="10" max="10" width="20" style="128"/>
  </cols>
  <sheetData>
    <row r="1" spans="1:10" x14ac:dyDescent="0.25">
      <c r="A1" t="s">
        <v>834</v>
      </c>
      <c r="B1" t="s">
        <v>1519</v>
      </c>
      <c r="C1" t="s">
        <v>836</v>
      </c>
      <c r="D1" s="116" t="s">
        <v>837</v>
      </c>
      <c r="E1" s="116" t="s">
        <v>838</v>
      </c>
      <c r="F1" s="116" t="s">
        <v>839</v>
      </c>
      <c r="G1" s="116" t="s">
        <v>840</v>
      </c>
      <c r="H1" s="116" t="s">
        <v>841</v>
      </c>
    </row>
    <row r="2" spans="1:10" x14ac:dyDescent="0.25">
      <c r="A2" t="s">
        <v>843</v>
      </c>
    </row>
    <row r="4" spans="1:10" x14ac:dyDescent="0.25">
      <c r="A4" t="s">
        <v>1534</v>
      </c>
    </row>
    <row r="5" spans="1:10" x14ac:dyDescent="0.25">
      <c r="A5" t="s">
        <v>1535</v>
      </c>
    </row>
    <row r="7" spans="1:10" x14ac:dyDescent="0.25">
      <c r="A7" t="s">
        <v>1520</v>
      </c>
      <c r="B7" t="s">
        <v>1521</v>
      </c>
      <c r="C7" t="s">
        <v>266</v>
      </c>
      <c r="D7" s="116" t="s">
        <v>1522</v>
      </c>
      <c r="E7" s="116" t="s">
        <v>811</v>
      </c>
      <c r="F7" s="116" t="s">
        <v>812</v>
      </c>
      <c r="G7" s="116" t="s">
        <v>1523</v>
      </c>
      <c r="H7" s="116" t="s">
        <v>813</v>
      </c>
    </row>
    <row r="8" spans="1:10" x14ac:dyDescent="0.25">
      <c r="A8">
        <v>1</v>
      </c>
      <c r="B8">
        <v>1</v>
      </c>
      <c r="C8" t="s">
        <v>305</v>
      </c>
      <c r="D8" s="116">
        <v>59130992.100000001</v>
      </c>
      <c r="E8" s="116">
        <v>36249811.130000003</v>
      </c>
      <c r="F8" s="116">
        <v>-35540459.759999998</v>
      </c>
      <c r="G8" s="116">
        <v>709351.37</v>
      </c>
      <c r="H8" s="116">
        <v>59840343.469999999</v>
      </c>
      <c r="I8">
        <f>G8/1000</f>
        <v>709.35136999999997</v>
      </c>
      <c r="J8" s="128">
        <f>ROUND(I8,0)</f>
        <v>709</v>
      </c>
    </row>
    <row r="9" spans="1:10" x14ac:dyDescent="0.25">
      <c r="A9" t="s">
        <v>523</v>
      </c>
      <c r="B9">
        <v>11</v>
      </c>
      <c r="C9" t="s">
        <v>4</v>
      </c>
      <c r="D9" s="116">
        <v>44871636.509999998</v>
      </c>
      <c r="E9" s="116">
        <v>35788716.630000003</v>
      </c>
      <c r="F9" s="116">
        <v>-34524562.560000002</v>
      </c>
      <c r="G9" s="116">
        <v>1264154.07</v>
      </c>
      <c r="H9" s="116">
        <v>46135790.579999998</v>
      </c>
      <c r="I9">
        <f t="shared" ref="I9:I72" si="0">G9/1000</f>
        <v>1264.15407</v>
      </c>
      <c r="J9" s="128">
        <f t="shared" ref="J9:J72" si="1">ROUND(I9,0)</f>
        <v>1264</v>
      </c>
    </row>
    <row r="10" spans="1:10" x14ac:dyDescent="0.25">
      <c r="A10" t="s">
        <v>524</v>
      </c>
      <c r="B10">
        <v>111</v>
      </c>
      <c r="C10" t="s">
        <v>92</v>
      </c>
      <c r="D10" s="116">
        <v>36379417.390000001</v>
      </c>
      <c r="E10" s="116">
        <v>30494702.829999998</v>
      </c>
      <c r="F10" s="116">
        <v>-28756161.870000001</v>
      </c>
      <c r="G10" s="116">
        <v>1738540.96</v>
      </c>
      <c r="H10" s="116">
        <v>38117958.350000001</v>
      </c>
      <c r="I10">
        <f t="shared" si="0"/>
        <v>1738.54096</v>
      </c>
      <c r="J10" s="128">
        <f t="shared" si="1"/>
        <v>1739</v>
      </c>
    </row>
    <row r="11" spans="1:10" x14ac:dyDescent="0.25">
      <c r="A11" t="s">
        <v>525</v>
      </c>
      <c r="B11">
        <v>1112</v>
      </c>
      <c r="C11" t="s">
        <v>93</v>
      </c>
      <c r="D11" s="116">
        <v>36379417.390000001</v>
      </c>
      <c r="E11" s="116">
        <v>30494702.829999998</v>
      </c>
      <c r="F11" s="116">
        <v>-28756161.870000001</v>
      </c>
      <c r="G11" s="116">
        <v>1738540.96</v>
      </c>
      <c r="H11" s="116">
        <v>38117958.350000001</v>
      </c>
      <c r="I11">
        <f t="shared" si="0"/>
        <v>1738.54096</v>
      </c>
      <c r="J11" s="128">
        <f t="shared" si="1"/>
        <v>1739</v>
      </c>
    </row>
    <row r="12" spans="1:10" x14ac:dyDescent="0.25">
      <c r="A12" t="s">
        <v>307</v>
      </c>
      <c r="B12" t="s">
        <v>95</v>
      </c>
      <c r="C12" t="s">
        <v>96</v>
      </c>
      <c r="D12" s="116">
        <v>0</v>
      </c>
      <c r="E12" s="116">
        <v>7778515.7300000004</v>
      </c>
      <c r="F12" s="116">
        <v>-7778515.7300000004</v>
      </c>
      <c r="G12" s="116">
        <v>0</v>
      </c>
      <c r="H12" s="116">
        <v>0</v>
      </c>
      <c r="I12">
        <f t="shared" si="0"/>
        <v>0</v>
      </c>
      <c r="J12" s="128">
        <f t="shared" si="1"/>
        <v>0</v>
      </c>
    </row>
    <row r="13" spans="1:10" x14ac:dyDescent="0.25">
      <c r="A13" t="s">
        <v>1161</v>
      </c>
      <c r="B13" t="s">
        <v>1162</v>
      </c>
      <c r="C13" t="s">
        <v>1163</v>
      </c>
      <c r="D13" s="116">
        <v>8904278.8800000008</v>
      </c>
      <c r="E13" s="116">
        <v>20393856.370000001</v>
      </c>
      <c r="F13" s="116">
        <v>-20554536.760000002</v>
      </c>
      <c r="G13" s="116">
        <v>-160680.39000000001</v>
      </c>
      <c r="H13" s="116">
        <v>8743598.4900000002</v>
      </c>
      <c r="I13">
        <f t="shared" si="0"/>
        <v>-160.68039000000002</v>
      </c>
      <c r="J13" s="128">
        <f t="shared" si="1"/>
        <v>-161</v>
      </c>
    </row>
    <row r="14" spans="1:10" x14ac:dyDescent="0.25">
      <c r="A14" t="s">
        <v>1164</v>
      </c>
      <c r="B14" t="s">
        <v>1165</v>
      </c>
      <c r="C14" t="s">
        <v>1166</v>
      </c>
      <c r="D14" s="116">
        <v>27475138.510000002</v>
      </c>
      <c r="E14" s="116">
        <v>2322330.73</v>
      </c>
      <c r="F14" s="116">
        <v>-423109.38</v>
      </c>
      <c r="G14" s="116">
        <v>1899221.35</v>
      </c>
      <c r="H14" s="116">
        <v>29374359.859999999</v>
      </c>
      <c r="I14">
        <f t="shared" si="0"/>
        <v>1899.22135</v>
      </c>
      <c r="J14" s="128">
        <f t="shared" si="1"/>
        <v>1899</v>
      </c>
    </row>
    <row r="15" spans="1:10" x14ac:dyDescent="0.25">
      <c r="A15" t="s">
        <v>527</v>
      </c>
      <c r="B15">
        <v>112</v>
      </c>
      <c r="C15" t="s">
        <v>97</v>
      </c>
      <c r="D15" s="116">
        <v>5093586.37</v>
      </c>
      <c r="E15" s="116">
        <v>4350572.8600000003</v>
      </c>
      <c r="F15" s="116">
        <v>-4153483.32</v>
      </c>
      <c r="G15" s="116">
        <v>197089.54</v>
      </c>
      <c r="H15" s="116">
        <v>5290675.91</v>
      </c>
      <c r="I15">
        <f t="shared" si="0"/>
        <v>197.08954</v>
      </c>
      <c r="J15" s="128">
        <f t="shared" si="1"/>
        <v>197</v>
      </c>
    </row>
    <row r="16" spans="1:10" x14ac:dyDescent="0.25">
      <c r="A16" t="s">
        <v>528</v>
      </c>
      <c r="B16">
        <v>1123</v>
      </c>
      <c r="C16" t="s">
        <v>308</v>
      </c>
      <c r="D16" s="116">
        <v>2609406.65</v>
      </c>
      <c r="E16" s="116">
        <v>324828.61</v>
      </c>
      <c r="F16" s="116">
        <v>-136941.23000000001</v>
      </c>
      <c r="G16" s="116">
        <v>187887.38</v>
      </c>
      <c r="H16" s="116">
        <v>2797294.03</v>
      </c>
      <c r="I16">
        <f t="shared" si="0"/>
        <v>187.88738000000001</v>
      </c>
      <c r="J16" s="128">
        <f t="shared" si="1"/>
        <v>188</v>
      </c>
    </row>
    <row r="17" spans="1:10" x14ac:dyDescent="0.25">
      <c r="A17" t="s">
        <v>529</v>
      </c>
      <c r="B17">
        <v>11239</v>
      </c>
      <c r="C17" t="s">
        <v>98</v>
      </c>
      <c r="D17" s="116">
        <v>1551</v>
      </c>
      <c r="E17" s="116">
        <v>40.28</v>
      </c>
      <c r="F17" s="116">
        <v>0</v>
      </c>
      <c r="G17" s="116">
        <v>40.28</v>
      </c>
      <c r="H17" s="116">
        <v>1591.28</v>
      </c>
      <c r="I17">
        <f t="shared" si="0"/>
        <v>4.0280000000000003E-2</v>
      </c>
      <c r="J17" s="128">
        <f t="shared" si="1"/>
        <v>0</v>
      </c>
    </row>
    <row r="18" spans="1:10" x14ac:dyDescent="0.25">
      <c r="A18" t="s">
        <v>309</v>
      </c>
      <c r="B18">
        <v>112316</v>
      </c>
      <c r="C18" t="s">
        <v>310</v>
      </c>
      <c r="D18" s="116">
        <v>228574.23</v>
      </c>
      <c r="E18" s="116">
        <v>199646.04</v>
      </c>
      <c r="F18" s="116">
        <v>-87073.93</v>
      </c>
      <c r="G18" s="116">
        <v>112572.11</v>
      </c>
      <c r="H18" s="116">
        <v>341146.34</v>
      </c>
      <c r="I18">
        <f t="shared" si="0"/>
        <v>112.57211</v>
      </c>
      <c r="J18" s="128">
        <f t="shared" si="1"/>
        <v>113</v>
      </c>
    </row>
    <row r="19" spans="1:10" x14ac:dyDescent="0.25">
      <c r="A19" t="s">
        <v>311</v>
      </c>
      <c r="B19">
        <v>112317</v>
      </c>
      <c r="C19" t="s">
        <v>312</v>
      </c>
      <c r="D19" s="116">
        <v>74370.38</v>
      </c>
      <c r="E19" s="116">
        <v>56544.44</v>
      </c>
      <c r="F19" s="116">
        <v>-49867.3</v>
      </c>
      <c r="G19" s="116">
        <v>6677.14</v>
      </c>
      <c r="H19" s="116">
        <v>81047.520000000004</v>
      </c>
      <c r="I19">
        <f t="shared" si="0"/>
        <v>6.6771400000000005</v>
      </c>
      <c r="J19" s="128">
        <f t="shared" si="1"/>
        <v>7</v>
      </c>
    </row>
    <row r="20" spans="1:10" x14ac:dyDescent="0.25">
      <c r="A20" t="s">
        <v>530</v>
      </c>
      <c r="B20">
        <v>112323</v>
      </c>
      <c r="C20" t="s">
        <v>100</v>
      </c>
      <c r="D20" s="116">
        <v>860888.91</v>
      </c>
      <c r="E20" s="116">
        <v>26727.88</v>
      </c>
      <c r="F20" s="116">
        <v>0</v>
      </c>
      <c r="G20" s="116">
        <v>26727.88</v>
      </c>
      <c r="H20" s="116">
        <v>887616.79</v>
      </c>
      <c r="I20">
        <f t="shared" si="0"/>
        <v>26.727880000000003</v>
      </c>
      <c r="J20" s="128">
        <f t="shared" si="1"/>
        <v>27</v>
      </c>
    </row>
    <row r="21" spans="1:10" x14ac:dyDescent="0.25">
      <c r="A21" t="s">
        <v>314</v>
      </c>
      <c r="B21">
        <v>112325</v>
      </c>
      <c r="C21" t="s">
        <v>315</v>
      </c>
      <c r="D21" s="116">
        <v>3119.4</v>
      </c>
      <c r="E21" s="116">
        <v>93.41</v>
      </c>
      <c r="F21" s="116">
        <v>0</v>
      </c>
      <c r="G21" s="116">
        <v>93.41</v>
      </c>
      <c r="H21" s="116">
        <v>3212.81</v>
      </c>
      <c r="I21">
        <f t="shared" si="0"/>
        <v>9.3409999999999993E-2</v>
      </c>
      <c r="J21" s="128">
        <f t="shared" si="1"/>
        <v>0</v>
      </c>
    </row>
    <row r="22" spans="1:10" x14ac:dyDescent="0.25">
      <c r="A22" t="s">
        <v>316</v>
      </c>
      <c r="B22">
        <v>112327</v>
      </c>
      <c r="C22" t="s">
        <v>101</v>
      </c>
      <c r="D22" s="116">
        <v>252.04</v>
      </c>
      <c r="E22" s="116">
        <v>6.55</v>
      </c>
      <c r="F22" s="116">
        <v>0</v>
      </c>
      <c r="G22" s="116">
        <v>6.55</v>
      </c>
      <c r="H22" s="116">
        <v>258.58999999999997</v>
      </c>
      <c r="I22">
        <f t="shared" si="0"/>
        <v>6.5499999999999994E-3</v>
      </c>
      <c r="J22" s="128">
        <f t="shared" si="1"/>
        <v>0</v>
      </c>
    </row>
    <row r="23" spans="1:10" x14ac:dyDescent="0.25">
      <c r="A23" t="s">
        <v>797</v>
      </c>
      <c r="B23">
        <v>112332</v>
      </c>
      <c r="C23" t="s">
        <v>1167</v>
      </c>
      <c r="D23" s="116">
        <v>320622.48</v>
      </c>
      <c r="E23" s="116">
        <v>8636.84</v>
      </c>
      <c r="F23" s="116">
        <v>0</v>
      </c>
      <c r="G23" s="116">
        <v>8636.84</v>
      </c>
      <c r="H23" s="116">
        <v>329259.32</v>
      </c>
      <c r="I23">
        <f t="shared" si="0"/>
        <v>8.6368399999999994</v>
      </c>
      <c r="J23" s="128">
        <f t="shared" si="1"/>
        <v>9</v>
      </c>
    </row>
    <row r="24" spans="1:10" x14ac:dyDescent="0.25">
      <c r="A24" t="s">
        <v>799</v>
      </c>
      <c r="B24">
        <v>112333</v>
      </c>
      <c r="C24" t="s">
        <v>1168</v>
      </c>
      <c r="D24" s="116">
        <v>122899.56</v>
      </c>
      <c r="E24" s="116">
        <v>3310.64</v>
      </c>
      <c r="F24" s="116">
        <v>0</v>
      </c>
      <c r="G24" s="116">
        <v>3310.64</v>
      </c>
      <c r="H24" s="116">
        <v>126210.2</v>
      </c>
      <c r="I24">
        <f t="shared" si="0"/>
        <v>3.3106399999999998</v>
      </c>
      <c r="J24" s="128">
        <f t="shared" si="1"/>
        <v>3</v>
      </c>
    </row>
    <row r="25" spans="1:10" x14ac:dyDescent="0.25">
      <c r="A25" t="s">
        <v>801</v>
      </c>
      <c r="B25">
        <v>112334</v>
      </c>
      <c r="C25" t="s">
        <v>802</v>
      </c>
      <c r="D25" s="116">
        <v>2011.97</v>
      </c>
      <c r="E25" s="116">
        <v>58.88</v>
      </c>
      <c r="F25" s="116">
        <v>0</v>
      </c>
      <c r="G25" s="116">
        <v>58.88</v>
      </c>
      <c r="H25" s="116">
        <v>2070.85</v>
      </c>
      <c r="I25">
        <f t="shared" si="0"/>
        <v>5.8880000000000002E-2</v>
      </c>
      <c r="J25" s="128">
        <f t="shared" si="1"/>
        <v>0</v>
      </c>
    </row>
    <row r="26" spans="1:10" x14ac:dyDescent="0.25">
      <c r="A26" t="s">
        <v>1169</v>
      </c>
      <c r="B26">
        <v>112336</v>
      </c>
      <c r="C26" t="s">
        <v>1170</v>
      </c>
      <c r="D26" s="116">
        <v>710690.18</v>
      </c>
      <c r="E26" s="116">
        <v>21256.54</v>
      </c>
      <c r="F26" s="116">
        <v>0</v>
      </c>
      <c r="G26" s="116">
        <v>21256.54</v>
      </c>
      <c r="H26" s="116">
        <v>731946.72</v>
      </c>
      <c r="I26">
        <f t="shared" si="0"/>
        <v>21.256540000000001</v>
      </c>
      <c r="J26" s="128">
        <f t="shared" si="1"/>
        <v>21</v>
      </c>
    </row>
    <row r="27" spans="1:10" x14ac:dyDescent="0.25">
      <c r="A27" t="s">
        <v>1171</v>
      </c>
      <c r="B27">
        <v>112337</v>
      </c>
      <c r="C27" t="s">
        <v>1172</v>
      </c>
      <c r="D27" s="116">
        <v>284426.5</v>
      </c>
      <c r="E27" s="116">
        <v>8507.11</v>
      </c>
      <c r="F27" s="116">
        <v>0</v>
      </c>
      <c r="G27" s="116">
        <v>8507.11</v>
      </c>
      <c r="H27" s="116">
        <v>292933.61</v>
      </c>
      <c r="I27">
        <f t="shared" si="0"/>
        <v>8.5071100000000008</v>
      </c>
      <c r="J27" s="128">
        <f t="shared" si="1"/>
        <v>9</v>
      </c>
    </row>
    <row r="28" spans="1:10" x14ac:dyDescent="0.25">
      <c r="A28" t="s">
        <v>531</v>
      </c>
      <c r="B28">
        <v>1124</v>
      </c>
      <c r="C28" t="s">
        <v>102</v>
      </c>
      <c r="D28" s="116">
        <v>2484047.7400000002</v>
      </c>
      <c r="E28" s="116">
        <v>1489937.12</v>
      </c>
      <c r="F28" s="116">
        <v>-1507964.04</v>
      </c>
      <c r="G28" s="116">
        <v>-18026.919999999998</v>
      </c>
      <c r="H28" s="116">
        <v>2466020.8199999998</v>
      </c>
      <c r="I28">
        <f t="shared" si="0"/>
        <v>-18.026919999999997</v>
      </c>
      <c r="J28" s="128">
        <f t="shared" si="1"/>
        <v>-18</v>
      </c>
    </row>
    <row r="29" spans="1:10" x14ac:dyDescent="0.25">
      <c r="A29" t="s">
        <v>532</v>
      </c>
      <c r="B29">
        <v>11241</v>
      </c>
      <c r="C29" t="s">
        <v>103</v>
      </c>
      <c r="D29" s="116">
        <v>165979.79</v>
      </c>
      <c r="E29" s="116">
        <v>1279468.8</v>
      </c>
      <c r="F29" s="116">
        <v>-1295110.79</v>
      </c>
      <c r="G29" s="116">
        <v>-15641.99</v>
      </c>
      <c r="H29" s="116">
        <v>150337.79999999999</v>
      </c>
      <c r="I29">
        <f t="shared" si="0"/>
        <v>-15.64199</v>
      </c>
      <c r="J29" s="128">
        <f t="shared" si="1"/>
        <v>-16</v>
      </c>
    </row>
    <row r="30" spans="1:10" x14ac:dyDescent="0.25">
      <c r="A30" t="s">
        <v>533</v>
      </c>
      <c r="B30">
        <v>11242</v>
      </c>
      <c r="C30" t="s">
        <v>104</v>
      </c>
      <c r="D30" s="116">
        <v>2318067.9500000002</v>
      </c>
      <c r="E30" s="116">
        <v>0</v>
      </c>
      <c r="F30" s="116">
        <v>-2384.9299999999998</v>
      </c>
      <c r="G30" s="116">
        <v>-2384.9299999999998</v>
      </c>
      <c r="H30" s="116">
        <v>2315683.02</v>
      </c>
      <c r="I30">
        <f t="shared" si="0"/>
        <v>-2.3849299999999998</v>
      </c>
      <c r="J30" s="128">
        <f t="shared" si="1"/>
        <v>-2</v>
      </c>
    </row>
    <row r="31" spans="1:10" x14ac:dyDescent="0.25">
      <c r="A31" t="s">
        <v>320</v>
      </c>
      <c r="B31">
        <v>112424</v>
      </c>
      <c r="C31" t="s">
        <v>105</v>
      </c>
      <c r="D31" s="116">
        <v>0</v>
      </c>
      <c r="E31" s="116">
        <v>194985.45</v>
      </c>
      <c r="F31" s="116">
        <v>-194985.45</v>
      </c>
      <c r="G31" s="116">
        <v>0</v>
      </c>
      <c r="H31" s="116">
        <v>0</v>
      </c>
      <c r="I31">
        <f t="shared" si="0"/>
        <v>0</v>
      </c>
      <c r="J31" s="128">
        <f t="shared" si="1"/>
        <v>0</v>
      </c>
    </row>
    <row r="32" spans="1:10" x14ac:dyDescent="0.25">
      <c r="A32" t="s">
        <v>321</v>
      </c>
      <c r="B32">
        <v>112425</v>
      </c>
      <c r="C32" t="s">
        <v>106</v>
      </c>
      <c r="D32" s="116">
        <v>0</v>
      </c>
      <c r="E32" s="116">
        <v>15482.87</v>
      </c>
      <c r="F32" s="116">
        <v>-15482.87</v>
      </c>
      <c r="G32" s="116">
        <v>0</v>
      </c>
      <c r="H32" s="116">
        <v>0</v>
      </c>
      <c r="I32">
        <f t="shared" si="0"/>
        <v>0</v>
      </c>
      <c r="J32" s="128">
        <f t="shared" si="1"/>
        <v>0</v>
      </c>
    </row>
    <row r="33" spans="1:10" x14ac:dyDescent="0.25">
      <c r="A33" t="s">
        <v>322</v>
      </c>
      <c r="B33">
        <v>1125</v>
      </c>
      <c r="C33" t="s">
        <v>1173</v>
      </c>
      <c r="D33" s="116">
        <v>0</v>
      </c>
      <c r="E33" s="116">
        <v>26900</v>
      </c>
      <c r="F33" s="116">
        <v>0</v>
      </c>
      <c r="G33" s="116">
        <v>26900</v>
      </c>
      <c r="H33" s="116">
        <v>26900</v>
      </c>
      <c r="I33">
        <f t="shared" si="0"/>
        <v>26.9</v>
      </c>
      <c r="J33" s="128">
        <f t="shared" si="1"/>
        <v>27</v>
      </c>
    </row>
    <row r="34" spans="1:10" x14ac:dyDescent="0.25">
      <c r="A34" t="s">
        <v>323</v>
      </c>
      <c r="B34">
        <v>11254</v>
      </c>
      <c r="C34" t="s">
        <v>1174</v>
      </c>
      <c r="D34" s="116">
        <v>0</v>
      </c>
      <c r="E34" s="116">
        <v>26900</v>
      </c>
      <c r="F34" s="116">
        <v>0</v>
      </c>
      <c r="G34" s="116">
        <v>26900</v>
      </c>
      <c r="H34" s="116">
        <v>26900</v>
      </c>
      <c r="I34">
        <f t="shared" si="0"/>
        <v>26.9</v>
      </c>
      <c r="J34" s="128">
        <f t="shared" si="1"/>
        <v>27</v>
      </c>
    </row>
    <row r="35" spans="1:10" x14ac:dyDescent="0.25">
      <c r="A35" t="s">
        <v>326</v>
      </c>
      <c r="B35">
        <v>1129</v>
      </c>
      <c r="C35" t="s">
        <v>6</v>
      </c>
      <c r="D35" s="116">
        <v>0</v>
      </c>
      <c r="E35" s="116">
        <v>2321961.1800000002</v>
      </c>
      <c r="F35" s="116">
        <v>-2321961.1800000002</v>
      </c>
      <c r="G35" s="116">
        <v>0</v>
      </c>
      <c r="H35" s="116">
        <v>0</v>
      </c>
      <c r="I35">
        <f t="shared" si="0"/>
        <v>0</v>
      </c>
      <c r="J35" s="128">
        <f t="shared" si="1"/>
        <v>0</v>
      </c>
    </row>
    <row r="36" spans="1:10" x14ac:dyDescent="0.25">
      <c r="A36" t="s">
        <v>327</v>
      </c>
      <c r="B36">
        <v>11291</v>
      </c>
      <c r="C36" t="s">
        <v>1090</v>
      </c>
      <c r="D36" s="116">
        <v>0</v>
      </c>
      <c r="E36" s="116">
        <v>2321961.1800000002</v>
      </c>
      <c r="F36" s="116">
        <v>-2321961.1800000002</v>
      </c>
      <c r="G36" s="116">
        <v>0</v>
      </c>
      <c r="H36" s="116">
        <v>0</v>
      </c>
      <c r="I36">
        <f t="shared" si="0"/>
        <v>0</v>
      </c>
      <c r="J36" s="128">
        <f t="shared" si="1"/>
        <v>0</v>
      </c>
    </row>
    <row r="37" spans="1:10" x14ac:dyDescent="0.25">
      <c r="A37" t="s">
        <v>328</v>
      </c>
      <c r="B37">
        <v>11299</v>
      </c>
      <c r="C37" t="s">
        <v>107</v>
      </c>
      <c r="D37" s="116">
        <v>131.97999999999999</v>
      </c>
      <c r="E37" s="116">
        <v>186945.95</v>
      </c>
      <c r="F37" s="116">
        <v>-186616.87</v>
      </c>
      <c r="G37" s="116">
        <v>329.08</v>
      </c>
      <c r="H37" s="116">
        <v>461.06</v>
      </c>
      <c r="I37">
        <f t="shared" si="0"/>
        <v>0.32907999999999998</v>
      </c>
      <c r="J37" s="128">
        <f t="shared" si="1"/>
        <v>0</v>
      </c>
    </row>
    <row r="38" spans="1:10" x14ac:dyDescent="0.25">
      <c r="A38" t="s">
        <v>329</v>
      </c>
      <c r="B38">
        <v>112995</v>
      </c>
      <c r="C38" t="s">
        <v>330</v>
      </c>
      <c r="D38" s="116">
        <v>0</v>
      </c>
      <c r="E38" s="116">
        <v>186616.87</v>
      </c>
      <c r="F38" s="116">
        <v>-186616.87</v>
      </c>
      <c r="G38" s="116">
        <v>0</v>
      </c>
      <c r="H38" s="116">
        <v>0</v>
      </c>
      <c r="I38">
        <f t="shared" si="0"/>
        <v>0</v>
      </c>
      <c r="J38" s="128">
        <f t="shared" si="1"/>
        <v>0</v>
      </c>
    </row>
    <row r="39" spans="1:10" x14ac:dyDescent="0.25">
      <c r="A39" t="s">
        <v>331</v>
      </c>
      <c r="B39">
        <v>11299999</v>
      </c>
      <c r="C39" t="s">
        <v>108</v>
      </c>
      <c r="D39" s="116">
        <v>131.97999999999999</v>
      </c>
      <c r="E39" s="116">
        <v>329.08</v>
      </c>
      <c r="F39" s="116">
        <v>0</v>
      </c>
      <c r="G39" s="116">
        <v>329.08</v>
      </c>
      <c r="H39" s="116">
        <v>461.06</v>
      </c>
      <c r="I39">
        <f t="shared" si="0"/>
        <v>0.32907999999999998</v>
      </c>
      <c r="J39" s="128">
        <f t="shared" si="1"/>
        <v>0</v>
      </c>
    </row>
    <row r="40" spans="1:10" x14ac:dyDescent="0.25">
      <c r="A40" t="s">
        <v>534</v>
      </c>
      <c r="B40">
        <v>113</v>
      </c>
      <c r="C40" t="s">
        <v>86</v>
      </c>
      <c r="D40" s="116">
        <v>3398632.75</v>
      </c>
      <c r="E40" s="116">
        <v>943440.94</v>
      </c>
      <c r="F40" s="116">
        <v>-1614917.37</v>
      </c>
      <c r="G40" s="116">
        <v>-671476.43</v>
      </c>
      <c r="H40" s="116">
        <v>2727156.32</v>
      </c>
      <c r="I40">
        <f t="shared" si="0"/>
        <v>-671.47643000000005</v>
      </c>
      <c r="J40" s="128">
        <f t="shared" si="1"/>
        <v>-671</v>
      </c>
    </row>
    <row r="41" spans="1:10" x14ac:dyDescent="0.25">
      <c r="A41" t="s">
        <v>535</v>
      </c>
      <c r="B41">
        <v>1131</v>
      </c>
      <c r="C41" t="s">
        <v>86</v>
      </c>
      <c r="D41" s="116">
        <v>3398632.75</v>
      </c>
      <c r="E41" s="116">
        <v>943440.94</v>
      </c>
      <c r="F41" s="116">
        <v>-1614917.37</v>
      </c>
      <c r="G41" s="116">
        <v>-671476.43</v>
      </c>
      <c r="H41" s="116">
        <v>2727156.32</v>
      </c>
      <c r="I41">
        <f t="shared" si="0"/>
        <v>-671.47643000000005</v>
      </c>
      <c r="J41" s="128">
        <f t="shared" si="1"/>
        <v>-671</v>
      </c>
    </row>
    <row r="42" spans="1:10" x14ac:dyDescent="0.25">
      <c r="A42" t="s">
        <v>536</v>
      </c>
      <c r="B42">
        <v>11311</v>
      </c>
      <c r="C42" t="s">
        <v>332</v>
      </c>
      <c r="D42" s="116">
        <v>85860.19</v>
      </c>
      <c r="E42" s="116">
        <v>0</v>
      </c>
      <c r="F42" s="116">
        <v>-49062.97</v>
      </c>
      <c r="G42" s="116">
        <v>-49062.97</v>
      </c>
      <c r="H42" s="116">
        <v>36797.22</v>
      </c>
      <c r="I42">
        <f t="shared" si="0"/>
        <v>-49.06297</v>
      </c>
      <c r="J42" s="128">
        <f t="shared" si="1"/>
        <v>-49</v>
      </c>
    </row>
    <row r="43" spans="1:10" x14ac:dyDescent="0.25">
      <c r="A43" t="s">
        <v>537</v>
      </c>
      <c r="B43">
        <v>11312</v>
      </c>
      <c r="C43" t="s">
        <v>109</v>
      </c>
      <c r="D43" s="116">
        <v>1382550.63</v>
      </c>
      <c r="E43" s="116">
        <v>205000</v>
      </c>
      <c r="F43" s="116">
        <v>-595411.28</v>
      </c>
      <c r="G43" s="116">
        <v>-390411.28</v>
      </c>
      <c r="H43" s="116">
        <v>992139.35</v>
      </c>
      <c r="I43">
        <f t="shared" si="0"/>
        <v>-390.41128000000003</v>
      </c>
      <c r="J43" s="128">
        <f t="shared" si="1"/>
        <v>-390</v>
      </c>
    </row>
    <row r="44" spans="1:10" x14ac:dyDescent="0.25">
      <c r="A44" t="s">
        <v>538</v>
      </c>
      <c r="B44">
        <v>11313</v>
      </c>
      <c r="C44" t="s">
        <v>110</v>
      </c>
      <c r="D44" s="116">
        <v>90364.36</v>
      </c>
      <c r="E44" s="116">
        <v>216435.4</v>
      </c>
      <c r="F44" s="116">
        <v>-98993.03</v>
      </c>
      <c r="G44" s="116">
        <v>117442.37</v>
      </c>
      <c r="H44" s="116">
        <v>207806.73</v>
      </c>
      <c r="I44">
        <f t="shared" si="0"/>
        <v>117.44237</v>
      </c>
      <c r="J44" s="128">
        <f t="shared" si="1"/>
        <v>117</v>
      </c>
    </row>
    <row r="45" spans="1:10" x14ac:dyDescent="0.25">
      <c r="A45" t="s">
        <v>539</v>
      </c>
      <c r="B45">
        <v>11315</v>
      </c>
      <c r="C45" t="s">
        <v>333</v>
      </c>
      <c r="D45" s="116">
        <v>225371.13</v>
      </c>
      <c r="E45" s="116">
        <v>0</v>
      </c>
      <c r="F45" s="116">
        <v>-112685.56</v>
      </c>
      <c r="G45" s="116">
        <v>-112685.56</v>
      </c>
      <c r="H45" s="116">
        <v>112685.57</v>
      </c>
      <c r="I45">
        <f t="shared" si="0"/>
        <v>-112.68556</v>
      </c>
      <c r="J45" s="128">
        <f t="shared" si="1"/>
        <v>-113</v>
      </c>
    </row>
    <row r="46" spans="1:10" x14ac:dyDescent="0.25">
      <c r="A46" t="s">
        <v>540</v>
      </c>
      <c r="B46">
        <v>11316</v>
      </c>
      <c r="C46" t="s">
        <v>111</v>
      </c>
      <c r="D46" s="116">
        <v>1614486.44</v>
      </c>
      <c r="E46" s="116">
        <v>522005.54</v>
      </c>
      <c r="F46" s="116">
        <v>-758764.53</v>
      </c>
      <c r="G46" s="116">
        <v>-236758.99</v>
      </c>
      <c r="H46" s="116">
        <v>1377727.45</v>
      </c>
      <c r="I46">
        <f t="shared" si="0"/>
        <v>-236.75898999999998</v>
      </c>
      <c r="J46" s="128">
        <f t="shared" si="1"/>
        <v>-237</v>
      </c>
    </row>
    <row r="47" spans="1:10" x14ac:dyDescent="0.25">
      <c r="A47" t="s">
        <v>541</v>
      </c>
      <c r="B47">
        <v>12</v>
      </c>
      <c r="C47" t="s">
        <v>112</v>
      </c>
      <c r="D47" s="116">
        <v>14259355.59</v>
      </c>
      <c r="E47" s="116">
        <v>461094.5</v>
      </c>
      <c r="F47" s="116">
        <v>-1015897.2</v>
      </c>
      <c r="G47" s="116">
        <v>-554802.69999999995</v>
      </c>
      <c r="H47" s="116">
        <v>13704552.890000001</v>
      </c>
      <c r="I47">
        <f t="shared" si="0"/>
        <v>-554.80269999999996</v>
      </c>
      <c r="J47" s="128">
        <f t="shared" si="1"/>
        <v>-555</v>
      </c>
    </row>
    <row r="48" spans="1:10" x14ac:dyDescent="0.25">
      <c r="A48" t="s">
        <v>542</v>
      </c>
      <c r="B48">
        <v>121</v>
      </c>
      <c r="C48" t="s">
        <v>113</v>
      </c>
      <c r="D48" s="116">
        <v>4802023.43</v>
      </c>
      <c r="E48" s="116">
        <v>59594.5</v>
      </c>
      <c r="F48" s="116">
        <v>-9151.64</v>
      </c>
      <c r="G48" s="116">
        <v>50442.86</v>
      </c>
      <c r="H48" s="116">
        <v>4852466.29</v>
      </c>
      <c r="I48">
        <f t="shared" si="0"/>
        <v>50.442860000000003</v>
      </c>
      <c r="J48" s="128">
        <f t="shared" si="1"/>
        <v>50</v>
      </c>
    </row>
    <row r="49" spans="1:10" x14ac:dyDescent="0.25">
      <c r="A49" t="s">
        <v>543</v>
      </c>
      <c r="B49">
        <v>1213</v>
      </c>
      <c r="C49" t="s">
        <v>308</v>
      </c>
      <c r="D49" s="116">
        <v>172274.93</v>
      </c>
      <c r="E49" s="116">
        <v>4296.42</v>
      </c>
      <c r="F49" s="116">
        <v>0</v>
      </c>
      <c r="G49" s="116">
        <v>4296.42</v>
      </c>
      <c r="H49" s="116">
        <v>176571.35</v>
      </c>
      <c r="I49">
        <f t="shared" si="0"/>
        <v>4.2964200000000003</v>
      </c>
      <c r="J49" s="128">
        <f t="shared" si="1"/>
        <v>4</v>
      </c>
    </row>
    <row r="50" spans="1:10" x14ac:dyDescent="0.25">
      <c r="A50" t="s">
        <v>544</v>
      </c>
      <c r="B50">
        <v>12131</v>
      </c>
      <c r="C50" t="s">
        <v>114</v>
      </c>
      <c r="D50" s="116">
        <v>22413.88</v>
      </c>
      <c r="E50" s="116">
        <v>550.30999999999995</v>
      </c>
      <c r="F50" s="116">
        <v>0</v>
      </c>
      <c r="G50" s="116">
        <v>550.30999999999995</v>
      </c>
      <c r="H50" s="116">
        <v>22964.19</v>
      </c>
      <c r="I50">
        <f t="shared" si="0"/>
        <v>0.55030999999999997</v>
      </c>
      <c r="J50" s="128">
        <f t="shared" si="1"/>
        <v>1</v>
      </c>
    </row>
    <row r="51" spans="1:10" x14ac:dyDescent="0.25">
      <c r="A51" t="s">
        <v>545</v>
      </c>
      <c r="B51">
        <v>12134</v>
      </c>
      <c r="C51" t="s">
        <v>115</v>
      </c>
      <c r="D51" s="116">
        <v>4640.58</v>
      </c>
      <c r="E51" s="116">
        <v>0</v>
      </c>
      <c r="F51" s="116">
        <v>0</v>
      </c>
      <c r="G51" s="116">
        <v>0</v>
      </c>
      <c r="H51" s="116">
        <v>4640.58</v>
      </c>
      <c r="I51">
        <f t="shared" si="0"/>
        <v>0</v>
      </c>
      <c r="J51" s="128">
        <f t="shared" si="1"/>
        <v>0</v>
      </c>
    </row>
    <row r="52" spans="1:10" x14ac:dyDescent="0.25">
      <c r="A52" t="s">
        <v>546</v>
      </c>
      <c r="B52">
        <v>12135</v>
      </c>
      <c r="C52" t="s">
        <v>116</v>
      </c>
      <c r="D52" s="116">
        <v>145220.47</v>
      </c>
      <c r="E52" s="116">
        <v>3746.11</v>
      </c>
      <c r="F52" s="116">
        <v>0</v>
      </c>
      <c r="G52" s="116">
        <v>3746.11</v>
      </c>
      <c r="H52" s="116">
        <v>148966.57999999999</v>
      </c>
      <c r="I52">
        <f t="shared" si="0"/>
        <v>3.7461100000000003</v>
      </c>
      <c r="J52" s="128">
        <f t="shared" si="1"/>
        <v>4</v>
      </c>
    </row>
    <row r="53" spans="1:10" x14ac:dyDescent="0.25">
      <c r="A53" t="s">
        <v>335</v>
      </c>
      <c r="B53">
        <v>1217</v>
      </c>
      <c r="C53" t="s">
        <v>117</v>
      </c>
      <c r="D53" s="116">
        <v>172.2</v>
      </c>
      <c r="E53" s="116">
        <v>2.68</v>
      </c>
      <c r="F53" s="116">
        <v>0</v>
      </c>
      <c r="G53" s="116">
        <v>2.68</v>
      </c>
      <c r="H53" s="116">
        <v>174.88</v>
      </c>
      <c r="I53">
        <f t="shared" si="0"/>
        <v>2.6800000000000001E-3</v>
      </c>
      <c r="J53" s="128">
        <f t="shared" si="1"/>
        <v>0</v>
      </c>
    </row>
    <row r="54" spans="1:10" x14ac:dyDescent="0.25">
      <c r="A54" t="s">
        <v>336</v>
      </c>
      <c r="B54">
        <v>12171</v>
      </c>
      <c r="C54" t="s">
        <v>118</v>
      </c>
      <c r="D54" s="116">
        <v>172.2</v>
      </c>
      <c r="E54" s="116">
        <v>2.68</v>
      </c>
      <c r="F54" s="116">
        <v>0</v>
      </c>
      <c r="G54" s="116">
        <v>2.68</v>
      </c>
      <c r="H54" s="116">
        <v>174.88</v>
      </c>
      <c r="I54">
        <f t="shared" si="0"/>
        <v>2.6800000000000001E-3</v>
      </c>
      <c r="J54" s="128">
        <f t="shared" si="1"/>
        <v>0</v>
      </c>
    </row>
    <row r="55" spans="1:10" x14ac:dyDescent="0.25">
      <c r="A55" t="s">
        <v>547</v>
      </c>
      <c r="B55">
        <v>1218</v>
      </c>
      <c r="C55" t="s">
        <v>282</v>
      </c>
      <c r="D55" s="116">
        <v>4629576.3</v>
      </c>
      <c r="E55" s="116">
        <v>55295.4</v>
      </c>
      <c r="F55" s="116">
        <v>-9151.64</v>
      </c>
      <c r="G55" s="116">
        <v>46143.76</v>
      </c>
      <c r="H55" s="116">
        <v>4675720.0599999996</v>
      </c>
      <c r="I55">
        <f t="shared" si="0"/>
        <v>46.14376</v>
      </c>
      <c r="J55" s="128">
        <f t="shared" si="1"/>
        <v>46</v>
      </c>
    </row>
    <row r="56" spans="1:10" x14ac:dyDescent="0.25">
      <c r="A56" t="s">
        <v>548</v>
      </c>
      <c r="B56">
        <v>12181</v>
      </c>
      <c r="C56" t="s">
        <v>324</v>
      </c>
      <c r="D56" s="116">
        <v>4052463.02</v>
      </c>
      <c r="E56" s="116">
        <v>30011.54</v>
      </c>
      <c r="F56" s="116">
        <v>-7295.91</v>
      </c>
      <c r="G56" s="116">
        <v>22715.63</v>
      </c>
      <c r="H56" s="116">
        <v>4075178.65</v>
      </c>
      <c r="I56">
        <f t="shared" si="0"/>
        <v>22.715630000000001</v>
      </c>
      <c r="J56" s="128">
        <f t="shared" si="1"/>
        <v>23</v>
      </c>
    </row>
    <row r="57" spans="1:10" x14ac:dyDescent="0.25">
      <c r="A57" t="s">
        <v>549</v>
      </c>
      <c r="B57">
        <v>12182</v>
      </c>
      <c r="C57" t="s">
        <v>325</v>
      </c>
      <c r="D57" s="116">
        <v>409449.02</v>
      </c>
      <c r="E57" s="116">
        <v>24321.24</v>
      </c>
      <c r="F57" s="116">
        <v>0</v>
      </c>
      <c r="G57" s="116">
        <v>24321.24</v>
      </c>
      <c r="H57" s="116">
        <v>433770.26</v>
      </c>
      <c r="I57">
        <f t="shared" si="0"/>
        <v>24.321240000000003</v>
      </c>
      <c r="J57" s="128">
        <f t="shared" si="1"/>
        <v>24</v>
      </c>
    </row>
    <row r="58" spans="1:10" x14ac:dyDescent="0.25">
      <c r="A58" t="s">
        <v>550</v>
      </c>
      <c r="B58">
        <v>12183</v>
      </c>
      <c r="C58" t="s">
        <v>119</v>
      </c>
      <c r="D58" s="116">
        <v>167664.26</v>
      </c>
      <c r="E58" s="116">
        <v>962.62</v>
      </c>
      <c r="F58" s="116">
        <v>-1855.73</v>
      </c>
      <c r="G58" s="116">
        <v>-893.11</v>
      </c>
      <c r="H58" s="116">
        <v>166771.15</v>
      </c>
      <c r="I58">
        <f t="shared" si="0"/>
        <v>-0.89310999999999996</v>
      </c>
      <c r="J58" s="128">
        <f t="shared" si="1"/>
        <v>-1</v>
      </c>
    </row>
    <row r="59" spans="1:10" x14ac:dyDescent="0.25">
      <c r="A59" t="s">
        <v>551</v>
      </c>
      <c r="B59">
        <v>123</v>
      </c>
      <c r="C59" t="s">
        <v>120</v>
      </c>
      <c r="D59" s="116">
        <v>6035223.0499999998</v>
      </c>
      <c r="E59" s="116">
        <v>401500</v>
      </c>
      <c r="F59" s="116">
        <v>-629145.55000000005</v>
      </c>
      <c r="G59" s="116">
        <v>-227645.55</v>
      </c>
      <c r="H59" s="116">
        <v>5807577.5</v>
      </c>
      <c r="I59">
        <f t="shared" si="0"/>
        <v>-227.64554999999999</v>
      </c>
      <c r="J59" s="128">
        <f t="shared" si="1"/>
        <v>-228</v>
      </c>
    </row>
    <row r="60" spans="1:10" x14ac:dyDescent="0.25">
      <c r="A60" t="s">
        <v>552</v>
      </c>
      <c r="B60">
        <v>1231</v>
      </c>
      <c r="C60" t="s">
        <v>121</v>
      </c>
      <c r="D60" s="116">
        <v>16898669.48</v>
      </c>
      <c r="E60" s="116">
        <v>401500</v>
      </c>
      <c r="F60" s="116">
        <v>-197500</v>
      </c>
      <c r="G60" s="116">
        <v>204000</v>
      </c>
      <c r="H60" s="116">
        <v>17102669.48</v>
      </c>
      <c r="I60">
        <f t="shared" si="0"/>
        <v>204</v>
      </c>
      <c r="J60" s="128">
        <f t="shared" si="1"/>
        <v>204</v>
      </c>
    </row>
    <row r="61" spans="1:10" x14ac:dyDescent="0.25">
      <c r="A61" t="s">
        <v>553</v>
      </c>
      <c r="B61">
        <v>12313</v>
      </c>
      <c r="C61" t="s">
        <v>122</v>
      </c>
      <c r="D61" s="116">
        <v>2400056.5099999998</v>
      </c>
      <c r="E61" s="116">
        <v>0</v>
      </c>
      <c r="F61" s="116">
        <v>0</v>
      </c>
      <c r="G61" s="116">
        <v>0</v>
      </c>
      <c r="H61" s="116">
        <v>2400056.5099999998</v>
      </c>
      <c r="I61">
        <f t="shared" si="0"/>
        <v>0</v>
      </c>
      <c r="J61" s="128">
        <f t="shared" si="1"/>
        <v>0</v>
      </c>
    </row>
    <row r="62" spans="1:10" x14ac:dyDescent="0.25">
      <c r="A62" t="s">
        <v>554</v>
      </c>
      <c r="B62">
        <v>12314</v>
      </c>
      <c r="C62" t="s">
        <v>123</v>
      </c>
      <c r="D62" s="116">
        <v>791662.23</v>
      </c>
      <c r="E62" s="116">
        <v>0</v>
      </c>
      <c r="F62" s="116">
        <v>0</v>
      </c>
      <c r="G62" s="116">
        <v>0</v>
      </c>
      <c r="H62" s="116">
        <v>791662.23</v>
      </c>
      <c r="I62">
        <f t="shared" si="0"/>
        <v>0</v>
      </c>
      <c r="J62" s="128">
        <f t="shared" si="1"/>
        <v>0</v>
      </c>
    </row>
    <row r="63" spans="1:10" x14ac:dyDescent="0.25">
      <c r="A63" t="s">
        <v>555</v>
      </c>
      <c r="B63">
        <v>12315</v>
      </c>
      <c r="C63" t="s">
        <v>124</v>
      </c>
      <c r="D63" s="116">
        <v>11504752.43</v>
      </c>
      <c r="E63" s="116">
        <v>401500</v>
      </c>
      <c r="F63" s="116">
        <v>-197500</v>
      </c>
      <c r="G63" s="116">
        <v>204000</v>
      </c>
      <c r="H63" s="116">
        <v>11708752.43</v>
      </c>
      <c r="I63">
        <f t="shared" si="0"/>
        <v>204</v>
      </c>
      <c r="J63" s="128">
        <f t="shared" si="1"/>
        <v>204</v>
      </c>
    </row>
    <row r="64" spans="1:10" x14ac:dyDescent="0.25">
      <c r="A64" t="s">
        <v>556</v>
      </c>
      <c r="B64">
        <v>12317</v>
      </c>
      <c r="C64" t="s">
        <v>125</v>
      </c>
      <c r="D64" s="116">
        <v>2202198.31</v>
      </c>
      <c r="E64" s="116">
        <v>0</v>
      </c>
      <c r="F64" s="116">
        <v>0</v>
      </c>
      <c r="G64" s="116">
        <v>0</v>
      </c>
      <c r="H64" s="116">
        <v>2202198.31</v>
      </c>
      <c r="I64">
        <f t="shared" si="0"/>
        <v>0</v>
      </c>
      <c r="J64" s="128">
        <f t="shared" si="1"/>
        <v>0</v>
      </c>
    </row>
    <row r="65" spans="1:10" x14ac:dyDescent="0.25">
      <c r="A65" t="s">
        <v>557</v>
      </c>
      <c r="B65">
        <v>12398</v>
      </c>
      <c r="C65" t="s">
        <v>337</v>
      </c>
      <c r="D65" s="116">
        <v>-10863446.43</v>
      </c>
      <c r="E65" s="116">
        <v>0</v>
      </c>
      <c r="F65" s="116">
        <v>-431645.55</v>
      </c>
      <c r="G65" s="116">
        <v>-431645.55</v>
      </c>
      <c r="H65" s="116">
        <v>-11295091.98</v>
      </c>
      <c r="I65">
        <f t="shared" si="0"/>
        <v>-431.64555000000001</v>
      </c>
      <c r="J65" s="128">
        <f t="shared" si="1"/>
        <v>-432</v>
      </c>
    </row>
    <row r="66" spans="1:10" x14ac:dyDescent="0.25">
      <c r="A66" t="s">
        <v>558</v>
      </c>
      <c r="B66">
        <v>123982</v>
      </c>
      <c r="C66" t="s">
        <v>126</v>
      </c>
      <c r="D66" s="116">
        <v>-599213.49</v>
      </c>
      <c r="E66" s="116">
        <v>0</v>
      </c>
      <c r="F66" s="116">
        <v>-60001.38</v>
      </c>
      <c r="G66" s="116">
        <v>-60001.38</v>
      </c>
      <c r="H66" s="116">
        <v>-659214.87</v>
      </c>
      <c r="I66">
        <f t="shared" si="0"/>
        <v>-60.001379999999997</v>
      </c>
      <c r="J66" s="128">
        <f t="shared" si="1"/>
        <v>-60</v>
      </c>
    </row>
    <row r="67" spans="1:10" x14ac:dyDescent="0.25">
      <c r="A67" t="s">
        <v>559</v>
      </c>
      <c r="B67">
        <v>123983</v>
      </c>
      <c r="C67" t="s">
        <v>127</v>
      </c>
      <c r="D67" s="116">
        <v>-725824.28</v>
      </c>
      <c r="E67" s="116">
        <v>0</v>
      </c>
      <c r="F67" s="116">
        <v>-5237.58</v>
      </c>
      <c r="G67" s="116">
        <v>-5237.58</v>
      </c>
      <c r="H67" s="116">
        <v>-731061.86</v>
      </c>
      <c r="I67">
        <f t="shared" si="0"/>
        <v>-5.2375800000000003</v>
      </c>
      <c r="J67" s="128">
        <f t="shared" si="1"/>
        <v>-5</v>
      </c>
    </row>
    <row r="68" spans="1:10" x14ac:dyDescent="0.25">
      <c r="A68" t="s">
        <v>560</v>
      </c>
      <c r="B68">
        <v>123984</v>
      </c>
      <c r="C68" t="s">
        <v>128</v>
      </c>
      <c r="D68" s="116">
        <v>-7521834.2199999997</v>
      </c>
      <c r="E68" s="116">
        <v>0</v>
      </c>
      <c r="F68" s="116">
        <v>-356088.48</v>
      </c>
      <c r="G68" s="116">
        <v>-356088.48</v>
      </c>
      <c r="H68" s="116">
        <v>-7877922.7000000002</v>
      </c>
      <c r="I68">
        <f t="shared" si="0"/>
        <v>-356.08848</v>
      </c>
      <c r="J68" s="128">
        <f t="shared" si="1"/>
        <v>-356</v>
      </c>
    </row>
    <row r="69" spans="1:10" x14ac:dyDescent="0.25">
      <c r="A69" t="s">
        <v>561</v>
      </c>
      <c r="B69">
        <v>123986</v>
      </c>
      <c r="C69" t="s">
        <v>129</v>
      </c>
      <c r="D69" s="116">
        <v>-2016574.44</v>
      </c>
      <c r="E69" s="116">
        <v>0</v>
      </c>
      <c r="F69" s="116">
        <v>-10318.11</v>
      </c>
      <c r="G69" s="116">
        <v>-10318.11</v>
      </c>
      <c r="H69" s="116">
        <v>-2026892.55</v>
      </c>
      <c r="I69">
        <f t="shared" si="0"/>
        <v>-10.318110000000001</v>
      </c>
      <c r="J69" s="128">
        <f t="shared" si="1"/>
        <v>-10</v>
      </c>
    </row>
    <row r="70" spans="1:10" x14ac:dyDescent="0.25">
      <c r="A70" t="s">
        <v>562</v>
      </c>
      <c r="B70">
        <v>124</v>
      </c>
      <c r="C70" t="s">
        <v>130</v>
      </c>
      <c r="D70" s="116">
        <v>3422109.11</v>
      </c>
      <c r="E70" s="116">
        <v>0</v>
      </c>
      <c r="F70" s="116">
        <v>-377600.01</v>
      </c>
      <c r="G70" s="116">
        <v>-377600.01</v>
      </c>
      <c r="H70" s="116">
        <v>3044509.1</v>
      </c>
      <c r="I70">
        <f t="shared" si="0"/>
        <v>-377.60001</v>
      </c>
      <c r="J70" s="128">
        <f t="shared" si="1"/>
        <v>-378</v>
      </c>
    </row>
    <row r="71" spans="1:10" x14ac:dyDescent="0.25">
      <c r="A71" t="s">
        <v>563</v>
      </c>
      <c r="B71">
        <v>1241</v>
      </c>
      <c r="C71" t="s">
        <v>131</v>
      </c>
      <c r="D71" s="116">
        <v>12791215.48</v>
      </c>
      <c r="E71" s="116">
        <v>0</v>
      </c>
      <c r="F71" s="116">
        <v>0</v>
      </c>
      <c r="G71" s="116">
        <v>0</v>
      </c>
      <c r="H71" s="116">
        <v>12791215.48</v>
      </c>
      <c r="I71">
        <f t="shared" si="0"/>
        <v>0</v>
      </c>
      <c r="J71" s="128">
        <f t="shared" si="1"/>
        <v>0</v>
      </c>
    </row>
    <row r="72" spans="1:10" x14ac:dyDescent="0.25">
      <c r="A72" t="s">
        <v>564</v>
      </c>
      <c r="B72">
        <v>124101</v>
      </c>
      <c r="C72" t="s">
        <v>131</v>
      </c>
      <c r="D72" s="116">
        <v>12791215.48</v>
      </c>
      <c r="E72" s="116">
        <v>0</v>
      </c>
      <c r="F72" s="116">
        <v>0</v>
      </c>
      <c r="G72" s="116">
        <v>0</v>
      </c>
      <c r="H72" s="116">
        <v>12791215.48</v>
      </c>
      <c r="I72">
        <f t="shared" si="0"/>
        <v>0</v>
      </c>
      <c r="J72" s="128">
        <f t="shared" si="1"/>
        <v>0</v>
      </c>
    </row>
    <row r="73" spans="1:10" x14ac:dyDescent="0.25">
      <c r="A73" t="s">
        <v>565</v>
      </c>
      <c r="B73">
        <v>12498</v>
      </c>
      <c r="C73" t="s">
        <v>132</v>
      </c>
      <c r="D73" s="116">
        <v>-9369106.3699999992</v>
      </c>
      <c r="E73" s="116">
        <v>0</v>
      </c>
      <c r="F73" s="116">
        <v>-377600.01</v>
      </c>
      <c r="G73" s="116">
        <v>-377600.01</v>
      </c>
      <c r="H73" s="116">
        <v>-9746706.3800000008</v>
      </c>
      <c r="I73">
        <f t="shared" ref="I73:I136" si="2">G73/1000</f>
        <v>-377.60001</v>
      </c>
      <c r="J73" s="128">
        <f t="shared" ref="J73:J136" si="3">ROUND(I73,0)</f>
        <v>-378</v>
      </c>
    </row>
    <row r="74" spans="1:10" x14ac:dyDescent="0.25">
      <c r="A74" t="s">
        <v>566</v>
      </c>
      <c r="B74">
        <v>1242</v>
      </c>
      <c r="C74" t="s">
        <v>133</v>
      </c>
      <c r="D74" s="116">
        <v>-9369106.3699999992</v>
      </c>
      <c r="E74" s="116">
        <v>0</v>
      </c>
      <c r="F74" s="116">
        <v>-377600.01</v>
      </c>
      <c r="G74" s="116">
        <v>-377600.01</v>
      </c>
      <c r="H74" s="116">
        <v>-9746706.3800000008</v>
      </c>
      <c r="I74">
        <f t="shared" si="2"/>
        <v>-377.60001</v>
      </c>
      <c r="J74" s="128">
        <f t="shared" si="3"/>
        <v>-378</v>
      </c>
    </row>
    <row r="75" spans="1:10" x14ac:dyDescent="0.25">
      <c r="A75">
        <v>2</v>
      </c>
      <c r="B75">
        <v>2</v>
      </c>
      <c r="C75" t="s">
        <v>134</v>
      </c>
      <c r="D75" s="116">
        <v>-59130992.100000001</v>
      </c>
      <c r="E75" s="116">
        <v>36567314.530000001</v>
      </c>
      <c r="F75" s="116">
        <v>-37276665.899999999</v>
      </c>
      <c r="G75" s="116">
        <v>-709351.37</v>
      </c>
      <c r="H75" s="116">
        <v>-59840343.469999999</v>
      </c>
      <c r="I75">
        <f t="shared" si="2"/>
        <v>-709.35136999999997</v>
      </c>
      <c r="J75" s="128">
        <f t="shared" si="3"/>
        <v>-709</v>
      </c>
    </row>
    <row r="76" spans="1:10" x14ac:dyDescent="0.25">
      <c r="A76" t="s">
        <v>567</v>
      </c>
      <c r="B76">
        <v>21</v>
      </c>
      <c r="C76" t="s">
        <v>4</v>
      </c>
      <c r="D76" s="116">
        <v>-20849401.129999999</v>
      </c>
      <c r="E76" s="116">
        <v>35742121.340000004</v>
      </c>
      <c r="F76" s="116">
        <v>-36311647.710000001</v>
      </c>
      <c r="G76" s="116">
        <v>-569526.37</v>
      </c>
      <c r="H76" s="116">
        <v>-21418927.5</v>
      </c>
      <c r="I76">
        <f t="shared" si="2"/>
        <v>-569.52637000000004</v>
      </c>
      <c r="J76" s="128">
        <f t="shared" si="3"/>
        <v>-570</v>
      </c>
    </row>
    <row r="77" spans="1:10" x14ac:dyDescent="0.25">
      <c r="A77" t="s">
        <v>568</v>
      </c>
      <c r="B77">
        <v>211</v>
      </c>
      <c r="C77" t="s">
        <v>135</v>
      </c>
      <c r="D77" s="116">
        <v>-20849401.129999999</v>
      </c>
      <c r="E77" s="116">
        <v>35742121.340000004</v>
      </c>
      <c r="F77" s="116">
        <v>-36311647.710000001</v>
      </c>
      <c r="G77" s="116">
        <v>-569526.37</v>
      </c>
      <c r="H77" s="116">
        <v>-21418927.5</v>
      </c>
      <c r="I77">
        <f t="shared" si="2"/>
        <v>-569.52637000000004</v>
      </c>
      <c r="J77" s="128">
        <f t="shared" si="3"/>
        <v>-570</v>
      </c>
    </row>
    <row r="78" spans="1:10" x14ac:dyDescent="0.25">
      <c r="A78" t="s">
        <v>569</v>
      </c>
      <c r="B78">
        <v>2114</v>
      </c>
      <c r="C78" t="s">
        <v>136</v>
      </c>
      <c r="D78" s="116">
        <v>-590169.13</v>
      </c>
      <c r="E78" s="116">
        <v>6297071.5300000003</v>
      </c>
      <c r="F78" s="116">
        <v>-6512211.9800000004</v>
      </c>
      <c r="G78" s="116">
        <v>-215140.45</v>
      </c>
      <c r="H78" s="116">
        <v>-805309.58</v>
      </c>
      <c r="I78">
        <f t="shared" si="2"/>
        <v>-215.14045000000002</v>
      </c>
      <c r="J78" s="128">
        <f t="shared" si="3"/>
        <v>-215</v>
      </c>
    </row>
    <row r="79" spans="1:10" x14ac:dyDescent="0.25">
      <c r="A79" t="s">
        <v>570</v>
      </c>
      <c r="B79" s="199">
        <v>60444400000000</v>
      </c>
      <c r="C79" t="s">
        <v>338</v>
      </c>
      <c r="D79" s="116">
        <v>-30000</v>
      </c>
      <c r="E79" s="116">
        <v>117742.21</v>
      </c>
      <c r="F79" s="116">
        <v>-117742.21</v>
      </c>
      <c r="G79" s="116">
        <v>0</v>
      </c>
      <c r="H79" s="116">
        <v>-30000</v>
      </c>
      <c r="I79">
        <f t="shared" si="2"/>
        <v>0</v>
      </c>
      <c r="J79" s="128">
        <f t="shared" si="3"/>
        <v>0</v>
      </c>
    </row>
    <row r="80" spans="1:10" x14ac:dyDescent="0.25">
      <c r="A80" t="s">
        <v>339</v>
      </c>
      <c r="B80" s="199">
        <v>57143000000000</v>
      </c>
      <c r="C80" t="s">
        <v>1091</v>
      </c>
      <c r="D80" s="116">
        <v>0</v>
      </c>
      <c r="E80" s="116">
        <v>0</v>
      </c>
      <c r="F80" s="116">
        <v>-18026.55</v>
      </c>
      <c r="G80" s="116">
        <v>-18026.55</v>
      </c>
      <c r="H80" s="116">
        <v>-18026.55</v>
      </c>
      <c r="I80">
        <f t="shared" si="2"/>
        <v>-18.02655</v>
      </c>
      <c r="J80" s="128">
        <f t="shared" si="3"/>
        <v>-18</v>
      </c>
    </row>
    <row r="81" spans="1:10" x14ac:dyDescent="0.25">
      <c r="A81" t="s">
        <v>340</v>
      </c>
      <c r="B81" s="199">
        <v>34028300000000</v>
      </c>
      <c r="C81" t="s">
        <v>341</v>
      </c>
      <c r="D81" s="116">
        <v>0</v>
      </c>
      <c r="E81" s="116">
        <v>221.66</v>
      </c>
      <c r="F81" s="116">
        <v>-221.66</v>
      </c>
      <c r="G81" s="116">
        <v>0</v>
      </c>
      <c r="H81" s="116">
        <v>0</v>
      </c>
      <c r="I81">
        <f t="shared" si="2"/>
        <v>0</v>
      </c>
      <c r="J81" s="128">
        <f t="shared" si="3"/>
        <v>0</v>
      </c>
    </row>
    <row r="82" spans="1:10" x14ac:dyDescent="0.25">
      <c r="A82" t="s">
        <v>571</v>
      </c>
      <c r="B82" t="s">
        <v>344</v>
      </c>
      <c r="C82" t="s">
        <v>137</v>
      </c>
      <c r="D82" s="116">
        <v>-16548.849999999999</v>
      </c>
      <c r="E82" s="116">
        <v>291152.23</v>
      </c>
      <c r="F82" s="116">
        <v>-281651.95</v>
      </c>
      <c r="G82" s="116">
        <v>9500.2800000000007</v>
      </c>
      <c r="H82" s="116">
        <v>-7048.57</v>
      </c>
      <c r="I82">
        <f t="shared" si="2"/>
        <v>9.5002800000000001</v>
      </c>
      <c r="J82" s="128">
        <f t="shared" si="3"/>
        <v>10</v>
      </c>
    </row>
    <row r="83" spans="1:10" x14ac:dyDescent="0.25">
      <c r="A83" t="s">
        <v>345</v>
      </c>
      <c r="B83" t="s">
        <v>346</v>
      </c>
      <c r="C83" t="s">
        <v>347</v>
      </c>
      <c r="D83" s="116">
        <v>0</v>
      </c>
      <c r="E83" s="116">
        <v>22226.46</v>
      </c>
      <c r="F83" s="116">
        <v>-22226.46</v>
      </c>
      <c r="G83" s="116">
        <v>0</v>
      </c>
      <c r="H83" s="116">
        <v>0</v>
      </c>
      <c r="I83">
        <f t="shared" si="2"/>
        <v>0</v>
      </c>
      <c r="J83" s="128">
        <f t="shared" si="3"/>
        <v>0</v>
      </c>
    </row>
    <row r="84" spans="1:10" x14ac:dyDescent="0.25">
      <c r="A84" t="s">
        <v>348</v>
      </c>
      <c r="B84" t="s">
        <v>349</v>
      </c>
      <c r="C84" t="s">
        <v>350</v>
      </c>
      <c r="D84" s="116">
        <v>0</v>
      </c>
      <c r="E84" s="116">
        <v>662325.4</v>
      </c>
      <c r="F84" s="116">
        <v>-662325.4</v>
      </c>
      <c r="G84" s="116">
        <v>0</v>
      </c>
      <c r="H84" s="116">
        <v>0</v>
      </c>
      <c r="I84">
        <f t="shared" si="2"/>
        <v>0</v>
      </c>
      <c r="J84" s="128">
        <f t="shared" si="3"/>
        <v>0</v>
      </c>
    </row>
    <row r="85" spans="1:10" x14ac:dyDescent="0.25">
      <c r="A85" t="s">
        <v>572</v>
      </c>
      <c r="B85" t="s">
        <v>353</v>
      </c>
      <c r="C85" t="s">
        <v>354</v>
      </c>
      <c r="D85" s="116">
        <v>-8454.1200000000008</v>
      </c>
      <c r="E85" s="116">
        <v>25362.36</v>
      </c>
      <c r="F85" s="116">
        <v>-25362.36</v>
      </c>
      <c r="G85" s="116">
        <v>0</v>
      </c>
      <c r="H85" s="116">
        <v>-8454.1200000000008</v>
      </c>
      <c r="I85">
        <f t="shared" si="2"/>
        <v>0</v>
      </c>
      <c r="J85" s="128">
        <f t="shared" si="3"/>
        <v>0</v>
      </c>
    </row>
    <row r="86" spans="1:10" x14ac:dyDescent="0.25">
      <c r="A86" t="s">
        <v>573</v>
      </c>
      <c r="B86" t="s">
        <v>355</v>
      </c>
      <c r="C86" t="s">
        <v>356</v>
      </c>
      <c r="D86" s="116">
        <v>-2581</v>
      </c>
      <c r="E86" s="116">
        <v>11281</v>
      </c>
      <c r="F86" s="116">
        <v>-8700</v>
      </c>
      <c r="G86" s="116">
        <v>2581</v>
      </c>
      <c r="H86" s="116">
        <v>0</v>
      </c>
      <c r="I86">
        <f t="shared" si="2"/>
        <v>2.581</v>
      </c>
      <c r="J86" s="128">
        <f t="shared" si="3"/>
        <v>3</v>
      </c>
    </row>
    <row r="87" spans="1:10" x14ac:dyDescent="0.25">
      <c r="A87" t="s">
        <v>574</v>
      </c>
      <c r="B87" t="s">
        <v>357</v>
      </c>
      <c r="C87" t="s">
        <v>139</v>
      </c>
      <c r="D87" s="116">
        <v>-546.17999999999995</v>
      </c>
      <c r="E87" s="116">
        <v>2313.7199999999998</v>
      </c>
      <c r="F87" s="116">
        <v>-1955.21</v>
      </c>
      <c r="G87" s="116">
        <v>358.51</v>
      </c>
      <c r="H87" s="116">
        <v>-187.67</v>
      </c>
      <c r="I87">
        <f t="shared" si="2"/>
        <v>0.35851</v>
      </c>
      <c r="J87" s="128">
        <f t="shared" si="3"/>
        <v>0</v>
      </c>
    </row>
    <row r="88" spans="1:10" x14ac:dyDescent="0.25">
      <c r="A88" t="s">
        <v>361</v>
      </c>
      <c r="B88" t="s">
        <v>1181</v>
      </c>
      <c r="C88" t="s">
        <v>1182</v>
      </c>
      <c r="D88" s="116">
        <v>0</v>
      </c>
      <c r="E88" s="116">
        <v>11560</v>
      </c>
      <c r="F88" s="116">
        <v>-11560</v>
      </c>
      <c r="G88" s="116">
        <v>0</v>
      </c>
      <c r="H88" s="116">
        <v>0</v>
      </c>
      <c r="I88">
        <f t="shared" si="2"/>
        <v>0</v>
      </c>
      <c r="J88" s="128">
        <f t="shared" si="3"/>
        <v>0</v>
      </c>
    </row>
    <row r="89" spans="1:10" x14ac:dyDescent="0.25">
      <c r="A89" t="s">
        <v>362</v>
      </c>
      <c r="B89" s="199">
        <v>33634300000000</v>
      </c>
      <c r="C89" t="s">
        <v>363</v>
      </c>
      <c r="D89" s="116">
        <v>-19008</v>
      </c>
      <c r="E89" s="116">
        <v>54935.27</v>
      </c>
      <c r="F89" s="116">
        <v>-35927.269999999997</v>
      </c>
      <c r="G89" s="116">
        <v>19008</v>
      </c>
      <c r="H89" s="116">
        <v>0</v>
      </c>
      <c r="I89">
        <f t="shared" si="2"/>
        <v>19.007999999999999</v>
      </c>
      <c r="J89" s="128">
        <f t="shared" si="3"/>
        <v>19</v>
      </c>
    </row>
    <row r="90" spans="1:10" x14ac:dyDescent="0.25">
      <c r="A90" t="s">
        <v>364</v>
      </c>
      <c r="B90" t="s">
        <v>365</v>
      </c>
      <c r="C90" t="s">
        <v>366</v>
      </c>
      <c r="D90" s="116">
        <v>-1458.33</v>
      </c>
      <c r="E90" s="116">
        <v>4374.99</v>
      </c>
      <c r="F90" s="116">
        <v>-4374.99</v>
      </c>
      <c r="G90" s="116">
        <v>0</v>
      </c>
      <c r="H90" s="116">
        <v>-1458.33</v>
      </c>
      <c r="I90">
        <f t="shared" si="2"/>
        <v>0</v>
      </c>
      <c r="J90" s="128">
        <f t="shared" si="3"/>
        <v>0</v>
      </c>
    </row>
    <row r="91" spans="1:10" x14ac:dyDescent="0.25">
      <c r="A91" t="s">
        <v>1183</v>
      </c>
      <c r="B91" t="s">
        <v>1184</v>
      </c>
      <c r="C91" t="s">
        <v>1185</v>
      </c>
      <c r="D91" s="116">
        <v>-3000</v>
      </c>
      <c r="E91" s="116">
        <v>9000</v>
      </c>
      <c r="F91" s="116">
        <v>-9000</v>
      </c>
      <c r="G91" s="116">
        <v>0</v>
      </c>
      <c r="H91" s="116">
        <v>-3000</v>
      </c>
      <c r="I91">
        <f t="shared" si="2"/>
        <v>0</v>
      </c>
      <c r="J91" s="128">
        <f t="shared" si="3"/>
        <v>0</v>
      </c>
    </row>
    <row r="92" spans="1:10" x14ac:dyDescent="0.25">
      <c r="A92" t="s">
        <v>372</v>
      </c>
      <c r="B92" t="s">
        <v>373</v>
      </c>
      <c r="C92" t="s">
        <v>141</v>
      </c>
      <c r="D92" s="116">
        <v>0</v>
      </c>
      <c r="E92" s="116">
        <v>33703.26</v>
      </c>
      <c r="F92" s="116">
        <v>-33703.26</v>
      </c>
      <c r="G92" s="116">
        <v>0</v>
      </c>
      <c r="H92" s="116">
        <v>0</v>
      </c>
      <c r="I92">
        <f t="shared" si="2"/>
        <v>0</v>
      </c>
      <c r="J92" s="128">
        <f t="shared" si="3"/>
        <v>0</v>
      </c>
    </row>
    <row r="93" spans="1:10" x14ac:dyDescent="0.25">
      <c r="A93" t="s">
        <v>374</v>
      </c>
      <c r="B93" t="s">
        <v>375</v>
      </c>
      <c r="C93" t="s">
        <v>376</v>
      </c>
      <c r="D93" s="116">
        <v>0</v>
      </c>
      <c r="E93" s="116">
        <v>50000</v>
      </c>
      <c r="F93" s="116">
        <v>-50000</v>
      </c>
      <c r="G93" s="116">
        <v>0</v>
      </c>
      <c r="H93" s="116">
        <v>0</v>
      </c>
      <c r="I93">
        <f t="shared" si="2"/>
        <v>0</v>
      </c>
      <c r="J93" s="128">
        <f t="shared" si="3"/>
        <v>0</v>
      </c>
    </row>
    <row r="94" spans="1:10" x14ac:dyDescent="0.25">
      <c r="A94" t="s">
        <v>377</v>
      </c>
      <c r="B94" t="s">
        <v>378</v>
      </c>
      <c r="C94" t="s">
        <v>379</v>
      </c>
      <c r="D94" s="116">
        <v>0</v>
      </c>
      <c r="E94" s="116">
        <v>4233.3</v>
      </c>
      <c r="F94" s="116">
        <v>-4233.3</v>
      </c>
      <c r="G94" s="116">
        <v>0</v>
      </c>
      <c r="H94" s="116">
        <v>0</v>
      </c>
      <c r="I94">
        <f t="shared" si="2"/>
        <v>0</v>
      </c>
      <c r="J94" s="128">
        <f t="shared" si="3"/>
        <v>0</v>
      </c>
    </row>
    <row r="95" spans="1:10" x14ac:dyDescent="0.25">
      <c r="A95" t="s">
        <v>1186</v>
      </c>
      <c r="B95" t="s">
        <v>1187</v>
      </c>
      <c r="C95" t="s">
        <v>1188</v>
      </c>
      <c r="D95" s="116">
        <v>-2718</v>
      </c>
      <c r="E95" s="116">
        <v>2718</v>
      </c>
      <c r="F95" s="116">
        <v>0</v>
      </c>
      <c r="G95" s="116">
        <v>2718</v>
      </c>
      <c r="H95" s="116">
        <v>0</v>
      </c>
      <c r="I95">
        <f t="shared" si="2"/>
        <v>2.718</v>
      </c>
      <c r="J95" s="128">
        <f t="shared" si="3"/>
        <v>3</v>
      </c>
    </row>
    <row r="96" spans="1:10" x14ac:dyDescent="0.25">
      <c r="A96" t="s">
        <v>380</v>
      </c>
      <c r="B96" t="s">
        <v>381</v>
      </c>
      <c r="C96" t="s">
        <v>382</v>
      </c>
      <c r="D96" s="116">
        <v>0</v>
      </c>
      <c r="E96" s="116">
        <v>36225</v>
      </c>
      <c r="F96" s="116">
        <v>-36225</v>
      </c>
      <c r="G96" s="116">
        <v>0</v>
      </c>
      <c r="H96" s="116">
        <v>0</v>
      </c>
      <c r="I96">
        <f t="shared" si="2"/>
        <v>0</v>
      </c>
      <c r="J96" s="128">
        <f t="shared" si="3"/>
        <v>0</v>
      </c>
    </row>
    <row r="97" spans="1:10" x14ac:dyDescent="0.25">
      <c r="A97" t="s">
        <v>576</v>
      </c>
      <c r="B97" t="s">
        <v>383</v>
      </c>
      <c r="C97" t="s">
        <v>142</v>
      </c>
      <c r="D97" s="116">
        <v>-1350</v>
      </c>
      <c r="E97" s="116">
        <v>4050</v>
      </c>
      <c r="F97" s="116">
        <v>-4050</v>
      </c>
      <c r="G97" s="116">
        <v>0</v>
      </c>
      <c r="H97" s="116">
        <v>-1350</v>
      </c>
      <c r="I97">
        <f t="shared" si="2"/>
        <v>0</v>
      </c>
      <c r="J97" s="128">
        <f t="shared" si="3"/>
        <v>0</v>
      </c>
    </row>
    <row r="98" spans="1:10" x14ac:dyDescent="0.25">
      <c r="A98" t="s">
        <v>1094</v>
      </c>
      <c r="B98" t="s">
        <v>1095</v>
      </c>
      <c r="C98" t="s">
        <v>1096</v>
      </c>
      <c r="D98" s="116">
        <v>-970.1</v>
      </c>
      <c r="E98" s="116">
        <v>970.1</v>
      </c>
      <c r="F98" s="116">
        <v>0</v>
      </c>
      <c r="G98" s="116">
        <v>970.1</v>
      </c>
      <c r="H98" s="116">
        <v>0</v>
      </c>
      <c r="I98">
        <f t="shared" si="2"/>
        <v>0.97010000000000007</v>
      </c>
      <c r="J98" s="128">
        <f t="shared" si="3"/>
        <v>1</v>
      </c>
    </row>
    <row r="99" spans="1:10" x14ac:dyDescent="0.25">
      <c r="A99" t="s">
        <v>384</v>
      </c>
      <c r="B99" t="s">
        <v>385</v>
      </c>
      <c r="C99" t="s">
        <v>386</v>
      </c>
      <c r="D99" s="116">
        <v>-16453.61</v>
      </c>
      <c r="E99" s="116">
        <v>69882.89</v>
      </c>
      <c r="F99" s="116">
        <v>-53429.279999999999</v>
      </c>
      <c r="G99" s="116">
        <v>16453.61</v>
      </c>
      <c r="H99" s="116">
        <v>0</v>
      </c>
      <c r="I99">
        <f t="shared" si="2"/>
        <v>16.453610000000001</v>
      </c>
      <c r="J99" s="128">
        <f t="shared" si="3"/>
        <v>16</v>
      </c>
    </row>
    <row r="100" spans="1:10" x14ac:dyDescent="0.25">
      <c r="A100" t="s">
        <v>390</v>
      </c>
      <c r="B100" t="s">
        <v>391</v>
      </c>
      <c r="C100" t="s">
        <v>392</v>
      </c>
      <c r="D100" s="116">
        <v>-84229.6</v>
      </c>
      <c r="E100" s="116">
        <v>0</v>
      </c>
      <c r="F100" s="116">
        <v>0</v>
      </c>
      <c r="G100" s="116">
        <v>0</v>
      </c>
      <c r="H100" s="116">
        <v>-84229.6</v>
      </c>
      <c r="I100">
        <f t="shared" si="2"/>
        <v>0</v>
      </c>
      <c r="J100" s="128">
        <f t="shared" si="3"/>
        <v>0</v>
      </c>
    </row>
    <row r="101" spans="1:10" x14ac:dyDescent="0.25">
      <c r="A101" t="s">
        <v>577</v>
      </c>
      <c r="B101" s="199">
        <v>33754500000000</v>
      </c>
      <c r="C101" t="s">
        <v>393</v>
      </c>
      <c r="D101" s="116">
        <v>0</v>
      </c>
      <c r="E101" s="116">
        <v>853908.84</v>
      </c>
      <c r="F101" s="116">
        <v>-853908.84</v>
      </c>
      <c r="G101" s="116">
        <v>0</v>
      </c>
      <c r="H101" s="116">
        <v>0</v>
      </c>
      <c r="I101">
        <f t="shared" si="2"/>
        <v>0</v>
      </c>
      <c r="J101" s="128">
        <f t="shared" si="3"/>
        <v>0</v>
      </c>
    </row>
    <row r="102" spans="1:10" x14ac:dyDescent="0.25">
      <c r="A102" t="s">
        <v>578</v>
      </c>
      <c r="B102" s="199">
        <v>3017430000000</v>
      </c>
      <c r="C102" t="s">
        <v>143</v>
      </c>
      <c r="D102" s="116">
        <v>0</v>
      </c>
      <c r="E102" s="116">
        <v>49472</v>
      </c>
      <c r="F102" s="116">
        <v>-49872</v>
      </c>
      <c r="G102" s="116">
        <v>-400</v>
      </c>
      <c r="H102" s="116">
        <v>-400</v>
      </c>
      <c r="I102">
        <f t="shared" si="2"/>
        <v>-0.4</v>
      </c>
      <c r="J102" s="128">
        <f t="shared" si="3"/>
        <v>0</v>
      </c>
    </row>
    <row r="103" spans="1:10" x14ac:dyDescent="0.25">
      <c r="A103" t="s">
        <v>1099</v>
      </c>
      <c r="B103" s="199">
        <v>33555900000000</v>
      </c>
      <c r="C103" t="s">
        <v>1100</v>
      </c>
      <c r="D103" s="116">
        <v>0</v>
      </c>
      <c r="E103" s="116">
        <v>16876</v>
      </c>
      <c r="F103" s="116">
        <v>-16876</v>
      </c>
      <c r="G103" s="116">
        <v>0</v>
      </c>
      <c r="H103" s="116">
        <v>0</v>
      </c>
      <c r="I103">
        <f t="shared" si="2"/>
        <v>0</v>
      </c>
      <c r="J103" s="128">
        <f t="shared" si="3"/>
        <v>0</v>
      </c>
    </row>
    <row r="104" spans="1:10" x14ac:dyDescent="0.25">
      <c r="A104" t="s">
        <v>1101</v>
      </c>
      <c r="B104" s="199">
        <v>482998000000</v>
      </c>
      <c r="C104" t="s">
        <v>1102</v>
      </c>
      <c r="D104" s="116">
        <v>0</v>
      </c>
      <c r="E104" s="116">
        <v>144.58000000000001</v>
      </c>
      <c r="F104" s="116">
        <v>-144.58000000000001</v>
      </c>
      <c r="G104" s="116">
        <v>0</v>
      </c>
      <c r="H104" s="116">
        <v>0</v>
      </c>
      <c r="I104">
        <f t="shared" si="2"/>
        <v>0</v>
      </c>
      <c r="J104" s="128">
        <f t="shared" si="3"/>
        <v>0</v>
      </c>
    </row>
    <row r="105" spans="1:10" x14ac:dyDescent="0.25">
      <c r="A105" t="s">
        <v>1191</v>
      </c>
      <c r="B105" s="199">
        <v>24521900000000</v>
      </c>
      <c r="C105" t="s">
        <v>1192</v>
      </c>
      <c r="D105" s="116">
        <v>0</v>
      </c>
      <c r="E105" s="116">
        <v>9000</v>
      </c>
      <c r="F105" s="116">
        <v>-9000</v>
      </c>
      <c r="G105" s="116">
        <v>0</v>
      </c>
      <c r="H105" s="116">
        <v>0</v>
      </c>
      <c r="I105">
        <f t="shared" si="2"/>
        <v>0</v>
      </c>
      <c r="J105" s="128">
        <f t="shared" si="3"/>
        <v>0</v>
      </c>
    </row>
    <row r="106" spans="1:10" x14ac:dyDescent="0.25">
      <c r="A106" t="s">
        <v>394</v>
      </c>
      <c r="B106" s="199">
        <v>16727400000000</v>
      </c>
      <c r="C106" t="s">
        <v>395</v>
      </c>
      <c r="D106" s="116">
        <v>-3798</v>
      </c>
      <c r="E106" s="116">
        <v>12808.2</v>
      </c>
      <c r="F106" s="116">
        <v>-12683.85</v>
      </c>
      <c r="G106" s="116">
        <v>124.35</v>
      </c>
      <c r="H106" s="116">
        <v>-3673.65</v>
      </c>
      <c r="I106">
        <f t="shared" si="2"/>
        <v>0.12434999999999999</v>
      </c>
      <c r="J106" s="128">
        <f t="shared" si="3"/>
        <v>0</v>
      </c>
    </row>
    <row r="107" spans="1:10" x14ac:dyDescent="0.25">
      <c r="A107" t="s">
        <v>396</v>
      </c>
      <c r="B107" s="199">
        <v>3535900000000</v>
      </c>
      <c r="C107" t="s">
        <v>397</v>
      </c>
      <c r="D107" s="116">
        <v>0</v>
      </c>
      <c r="E107" s="116">
        <v>207333.33</v>
      </c>
      <c r="F107" s="116">
        <v>-207333.33</v>
      </c>
      <c r="G107" s="116">
        <v>0</v>
      </c>
      <c r="H107" s="116">
        <v>0</v>
      </c>
      <c r="I107">
        <f t="shared" si="2"/>
        <v>0</v>
      </c>
      <c r="J107" s="128">
        <f t="shared" si="3"/>
        <v>0</v>
      </c>
    </row>
    <row r="108" spans="1:10" x14ac:dyDescent="0.25">
      <c r="A108" t="s">
        <v>1193</v>
      </c>
      <c r="B108">
        <v>18324158</v>
      </c>
      <c r="C108" t="s">
        <v>1194</v>
      </c>
      <c r="D108" s="116">
        <v>0</v>
      </c>
      <c r="E108" s="116">
        <v>840</v>
      </c>
      <c r="F108" s="116">
        <v>-840</v>
      </c>
      <c r="G108" s="116">
        <v>0</v>
      </c>
      <c r="H108" s="116">
        <v>0</v>
      </c>
      <c r="I108">
        <f t="shared" si="2"/>
        <v>0</v>
      </c>
      <c r="J108" s="128">
        <f t="shared" si="3"/>
        <v>0</v>
      </c>
    </row>
    <row r="109" spans="1:10" x14ac:dyDescent="0.25">
      <c r="A109" t="s">
        <v>398</v>
      </c>
      <c r="B109" s="199">
        <v>5555380000000</v>
      </c>
      <c r="C109" t="s">
        <v>144</v>
      </c>
      <c r="D109" s="116">
        <v>0</v>
      </c>
      <c r="E109" s="116">
        <v>330</v>
      </c>
      <c r="F109" s="116">
        <v>-330</v>
      </c>
      <c r="G109" s="116">
        <v>0</v>
      </c>
      <c r="H109" s="116">
        <v>0</v>
      </c>
      <c r="I109">
        <f t="shared" si="2"/>
        <v>0</v>
      </c>
      <c r="J109" s="128">
        <f t="shared" si="3"/>
        <v>0</v>
      </c>
    </row>
    <row r="110" spans="1:10" x14ac:dyDescent="0.25">
      <c r="A110" t="s">
        <v>399</v>
      </c>
      <c r="B110">
        <v>3200400001</v>
      </c>
      <c r="C110" t="s">
        <v>400</v>
      </c>
      <c r="D110" s="116">
        <v>-2176.25</v>
      </c>
      <c r="E110" s="116">
        <v>2176.25</v>
      </c>
      <c r="F110" s="116">
        <v>0</v>
      </c>
      <c r="G110" s="116">
        <v>2176.25</v>
      </c>
      <c r="H110" s="116">
        <v>0</v>
      </c>
      <c r="I110">
        <f t="shared" si="2"/>
        <v>2.17625</v>
      </c>
      <c r="J110" s="128">
        <f t="shared" si="3"/>
        <v>2</v>
      </c>
    </row>
    <row r="111" spans="1:10" x14ac:dyDescent="0.25">
      <c r="A111" t="s">
        <v>1197</v>
      </c>
      <c r="B111" s="199">
        <v>307049000000</v>
      </c>
      <c r="C111" t="s">
        <v>1198</v>
      </c>
      <c r="D111" s="116">
        <v>0</v>
      </c>
      <c r="E111" s="116">
        <v>0</v>
      </c>
      <c r="F111" s="116">
        <v>-1219</v>
      </c>
      <c r="G111" s="116">
        <v>-1219</v>
      </c>
      <c r="H111" s="116">
        <v>-1219</v>
      </c>
      <c r="I111">
        <f t="shared" si="2"/>
        <v>-1.2190000000000001</v>
      </c>
      <c r="J111" s="128">
        <f t="shared" si="3"/>
        <v>-1</v>
      </c>
    </row>
    <row r="112" spans="1:10" x14ac:dyDescent="0.25">
      <c r="A112" t="s">
        <v>405</v>
      </c>
      <c r="B112" s="199">
        <v>10348300000000</v>
      </c>
      <c r="C112" t="s">
        <v>406</v>
      </c>
      <c r="D112" s="116">
        <v>-7965.56</v>
      </c>
      <c r="E112" s="116">
        <v>7965.56</v>
      </c>
      <c r="F112" s="116">
        <v>-11628.27</v>
      </c>
      <c r="G112" s="116">
        <v>-3662.71</v>
      </c>
      <c r="H112" s="116">
        <v>-11628.27</v>
      </c>
      <c r="I112">
        <f t="shared" si="2"/>
        <v>-3.6627100000000001</v>
      </c>
      <c r="J112" s="128">
        <f t="shared" si="3"/>
        <v>-4</v>
      </c>
    </row>
    <row r="113" spans="1:10" x14ac:dyDescent="0.25">
      <c r="A113" t="s">
        <v>1199</v>
      </c>
      <c r="B113" s="199">
        <v>16457800000000</v>
      </c>
      <c r="C113" t="s">
        <v>1200</v>
      </c>
      <c r="D113" s="116">
        <v>0</v>
      </c>
      <c r="E113" s="116">
        <v>4496.5</v>
      </c>
      <c r="F113" s="116">
        <v>-4496.5</v>
      </c>
      <c r="G113" s="116">
        <v>0</v>
      </c>
      <c r="H113" s="116">
        <v>0</v>
      </c>
      <c r="I113">
        <f t="shared" si="2"/>
        <v>0</v>
      </c>
      <c r="J113" s="128">
        <f t="shared" si="3"/>
        <v>0</v>
      </c>
    </row>
    <row r="114" spans="1:10" x14ac:dyDescent="0.25">
      <c r="A114" t="s">
        <v>579</v>
      </c>
      <c r="B114" s="199">
        <v>8896750000000</v>
      </c>
      <c r="C114" t="s">
        <v>407</v>
      </c>
      <c r="D114" s="116">
        <v>0</v>
      </c>
      <c r="E114" s="116">
        <v>330444.78000000003</v>
      </c>
      <c r="F114" s="116">
        <v>-490088.99</v>
      </c>
      <c r="G114" s="116">
        <v>-159644.21</v>
      </c>
      <c r="H114" s="116">
        <v>-159644.21</v>
      </c>
      <c r="I114">
        <f t="shared" si="2"/>
        <v>-159.64420999999999</v>
      </c>
      <c r="J114" s="128">
        <f t="shared" si="3"/>
        <v>-160</v>
      </c>
    </row>
    <row r="115" spans="1:10" x14ac:dyDescent="0.25">
      <c r="A115" t="s">
        <v>580</v>
      </c>
      <c r="B115" s="199">
        <v>23458500000000</v>
      </c>
      <c r="C115" t="s">
        <v>408</v>
      </c>
      <c r="D115" s="116">
        <v>0</v>
      </c>
      <c r="E115" s="116">
        <v>35000.01</v>
      </c>
      <c r="F115" s="116">
        <v>-35000.01</v>
      </c>
      <c r="G115" s="116">
        <v>0</v>
      </c>
      <c r="H115" s="116">
        <v>0</v>
      </c>
      <c r="I115">
        <f t="shared" si="2"/>
        <v>0</v>
      </c>
      <c r="J115" s="128">
        <f t="shared" si="3"/>
        <v>0</v>
      </c>
    </row>
    <row r="116" spans="1:10" x14ac:dyDescent="0.25">
      <c r="A116" t="s">
        <v>409</v>
      </c>
      <c r="B116" s="199">
        <v>52618100000000</v>
      </c>
      <c r="C116" t="s">
        <v>145</v>
      </c>
      <c r="D116" s="116">
        <v>-395.15</v>
      </c>
      <c r="E116" s="116">
        <v>1580.6</v>
      </c>
      <c r="F116" s="116">
        <v>-1185.45</v>
      </c>
      <c r="G116" s="116">
        <v>395.15</v>
      </c>
      <c r="H116" s="116">
        <v>0</v>
      </c>
      <c r="I116">
        <f t="shared" si="2"/>
        <v>0.39515</v>
      </c>
      <c r="J116" s="128">
        <f t="shared" si="3"/>
        <v>0</v>
      </c>
    </row>
    <row r="117" spans="1:10" x14ac:dyDescent="0.25">
      <c r="A117" t="s">
        <v>410</v>
      </c>
      <c r="B117" s="199">
        <v>2593170000000</v>
      </c>
      <c r="C117" t="s">
        <v>411</v>
      </c>
      <c r="D117" s="116">
        <v>-55000</v>
      </c>
      <c r="E117" s="116">
        <v>165000</v>
      </c>
      <c r="F117" s="116">
        <v>-165000</v>
      </c>
      <c r="G117" s="116">
        <v>0</v>
      </c>
      <c r="H117" s="116">
        <v>-55000</v>
      </c>
      <c r="I117">
        <f t="shared" si="2"/>
        <v>0</v>
      </c>
      <c r="J117" s="128">
        <f t="shared" si="3"/>
        <v>0</v>
      </c>
    </row>
    <row r="118" spans="1:10" x14ac:dyDescent="0.25">
      <c r="A118" t="s">
        <v>1201</v>
      </c>
      <c r="B118" s="199">
        <v>3598920000000</v>
      </c>
      <c r="C118" t="s">
        <v>1202</v>
      </c>
      <c r="D118" s="116">
        <v>0</v>
      </c>
      <c r="E118" s="116">
        <v>4960</v>
      </c>
      <c r="F118" s="116">
        <v>-6200</v>
      </c>
      <c r="G118" s="116">
        <v>-1240</v>
      </c>
      <c r="H118" s="116">
        <v>-1240</v>
      </c>
      <c r="I118">
        <f t="shared" si="2"/>
        <v>-1.24</v>
      </c>
      <c r="J118" s="128">
        <f t="shared" si="3"/>
        <v>-1</v>
      </c>
    </row>
    <row r="119" spans="1:10" x14ac:dyDescent="0.25">
      <c r="A119" t="s">
        <v>1203</v>
      </c>
      <c r="B119" s="199">
        <v>5533020000000</v>
      </c>
      <c r="C119" t="s">
        <v>1204</v>
      </c>
      <c r="D119" s="116">
        <v>0</v>
      </c>
      <c r="E119" s="116">
        <v>0</v>
      </c>
      <c r="F119" s="116">
        <v>-1005</v>
      </c>
      <c r="G119" s="116">
        <v>-1005</v>
      </c>
      <c r="H119" s="116">
        <v>-1005</v>
      </c>
      <c r="I119">
        <f t="shared" si="2"/>
        <v>-1.0049999999999999</v>
      </c>
      <c r="J119" s="128">
        <f t="shared" si="3"/>
        <v>-1</v>
      </c>
    </row>
    <row r="120" spans="1:10" x14ac:dyDescent="0.25">
      <c r="A120" t="s">
        <v>581</v>
      </c>
      <c r="B120" s="199">
        <v>2676310000000</v>
      </c>
      <c r="C120" t="s">
        <v>146</v>
      </c>
      <c r="D120" s="116">
        <v>0</v>
      </c>
      <c r="E120" s="116">
        <v>433748.65</v>
      </c>
      <c r="F120" s="116">
        <v>-433748.65</v>
      </c>
      <c r="G120" s="116">
        <v>0</v>
      </c>
      <c r="H120" s="116">
        <v>0</v>
      </c>
      <c r="I120">
        <f t="shared" si="2"/>
        <v>0</v>
      </c>
      <c r="J120" s="128">
        <f t="shared" si="3"/>
        <v>0</v>
      </c>
    </row>
    <row r="121" spans="1:10" x14ac:dyDescent="0.25">
      <c r="A121" t="s">
        <v>1205</v>
      </c>
      <c r="B121" s="199">
        <v>21348200000000</v>
      </c>
      <c r="C121" t="s">
        <v>1206</v>
      </c>
      <c r="D121" s="116">
        <v>0</v>
      </c>
      <c r="E121" s="116">
        <v>0</v>
      </c>
      <c r="F121" s="116">
        <v>-142.4</v>
      </c>
      <c r="G121" s="116">
        <v>-142.4</v>
      </c>
      <c r="H121" s="116">
        <v>-142.4</v>
      </c>
      <c r="I121">
        <f t="shared" si="2"/>
        <v>-0.1424</v>
      </c>
      <c r="J121" s="128">
        <f t="shared" si="3"/>
        <v>0</v>
      </c>
    </row>
    <row r="122" spans="1:10" x14ac:dyDescent="0.25">
      <c r="A122" t="s">
        <v>412</v>
      </c>
      <c r="B122" s="199">
        <v>14031100000000</v>
      </c>
      <c r="C122" t="s">
        <v>147</v>
      </c>
      <c r="D122" s="116">
        <v>0</v>
      </c>
      <c r="E122" s="116">
        <v>385260.34</v>
      </c>
      <c r="F122" s="116">
        <v>-385260.34</v>
      </c>
      <c r="G122" s="116">
        <v>0</v>
      </c>
      <c r="H122" s="116">
        <v>0</v>
      </c>
      <c r="I122">
        <f t="shared" si="2"/>
        <v>0</v>
      </c>
      <c r="J122" s="128">
        <f t="shared" si="3"/>
        <v>0</v>
      </c>
    </row>
    <row r="123" spans="1:10" x14ac:dyDescent="0.25">
      <c r="A123" t="s">
        <v>1207</v>
      </c>
      <c r="B123" s="199">
        <v>62070100000000</v>
      </c>
      <c r="C123" t="s">
        <v>1208</v>
      </c>
      <c r="D123" s="116">
        <v>0</v>
      </c>
      <c r="E123" s="116">
        <v>0</v>
      </c>
      <c r="F123" s="116">
        <v>-7500</v>
      </c>
      <c r="G123" s="116">
        <v>-7500</v>
      </c>
      <c r="H123" s="116">
        <v>-7500</v>
      </c>
      <c r="I123">
        <f t="shared" si="2"/>
        <v>-7.5</v>
      </c>
      <c r="J123" s="128">
        <f t="shared" si="3"/>
        <v>-8</v>
      </c>
    </row>
    <row r="124" spans="1:10" x14ac:dyDescent="0.25">
      <c r="A124" t="s">
        <v>413</v>
      </c>
      <c r="B124" s="199">
        <v>1082330000000</v>
      </c>
      <c r="C124" t="s">
        <v>414</v>
      </c>
      <c r="D124" s="116">
        <v>0</v>
      </c>
      <c r="E124" s="116">
        <v>2956</v>
      </c>
      <c r="F124" s="116">
        <v>-2956</v>
      </c>
      <c r="G124" s="116">
        <v>0</v>
      </c>
      <c r="H124" s="116">
        <v>0</v>
      </c>
      <c r="I124">
        <f t="shared" si="2"/>
        <v>0</v>
      </c>
      <c r="J124" s="128">
        <f t="shared" si="3"/>
        <v>0</v>
      </c>
    </row>
    <row r="125" spans="1:10" x14ac:dyDescent="0.25">
      <c r="A125" t="s">
        <v>415</v>
      </c>
      <c r="B125" s="199">
        <v>21449300000000</v>
      </c>
      <c r="C125" t="s">
        <v>416</v>
      </c>
      <c r="D125" s="116">
        <v>0</v>
      </c>
      <c r="E125" s="116">
        <v>9893.99</v>
      </c>
      <c r="F125" s="116">
        <v>-9893.99</v>
      </c>
      <c r="G125" s="116">
        <v>0</v>
      </c>
      <c r="H125" s="116">
        <v>0</v>
      </c>
      <c r="I125">
        <f t="shared" si="2"/>
        <v>0</v>
      </c>
      <c r="J125" s="128">
        <f t="shared" si="3"/>
        <v>0</v>
      </c>
    </row>
    <row r="126" spans="1:10" x14ac:dyDescent="0.25">
      <c r="A126" t="s">
        <v>1105</v>
      </c>
      <c r="B126" s="199">
        <v>11825800000000</v>
      </c>
      <c r="C126" t="s">
        <v>148</v>
      </c>
      <c r="D126" s="116">
        <v>-683.2</v>
      </c>
      <c r="E126" s="116">
        <v>2219.1999999999998</v>
      </c>
      <c r="F126" s="116">
        <v>-1536</v>
      </c>
      <c r="G126" s="116">
        <v>683.2</v>
      </c>
      <c r="H126" s="116">
        <v>0</v>
      </c>
      <c r="I126">
        <f t="shared" si="2"/>
        <v>0.68320000000000003</v>
      </c>
      <c r="J126" s="128">
        <f t="shared" si="3"/>
        <v>1</v>
      </c>
    </row>
    <row r="127" spans="1:10" x14ac:dyDescent="0.25">
      <c r="A127" t="s">
        <v>417</v>
      </c>
      <c r="B127" s="199">
        <v>14087600000000</v>
      </c>
      <c r="C127" t="s">
        <v>418</v>
      </c>
      <c r="D127" s="116">
        <v>0</v>
      </c>
      <c r="E127" s="116">
        <v>2900</v>
      </c>
      <c r="F127" s="116">
        <v>-4890</v>
      </c>
      <c r="G127" s="116">
        <v>-1990</v>
      </c>
      <c r="H127" s="116">
        <v>-1990</v>
      </c>
      <c r="I127">
        <f t="shared" si="2"/>
        <v>-1.99</v>
      </c>
      <c r="J127" s="128">
        <f t="shared" si="3"/>
        <v>-2</v>
      </c>
    </row>
    <row r="128" spans="1:10" x14ac:dyDescent="0.25">
      <c r="A128" t="s">
        <v>1209</v>
      </c>
      <c r="B128" s="199">
        <v>13529500000000</v>
      </c>
      <c r="C128" t="s">
        <v>1210</v>
      </c>
      <c r="D128" s="116">
        <v>0</v>
      </c>
      <c r="E128" s="116">
        <v>1459.55</v>
      </c>
      <c r="F128" s="116">
        <v>-1459.55</v>
      </c>
      <c r="G128" s="116">
        <v>0</v>
      </c>
      <c r="H128" s="116">
        <v>0</v>
      </c>
      <c r="I128">
        <f t="shared" si="2"/>
        <v>0</v>
      </c>
      <c r="J128" s="128">
        <f t="shared" si="3"/>
        <v>0</v>
      </c>
    </row>
    <row r="129" spans="1:10" x14ac:dyDescent="0.25">
      <c r="A129" t="s">
        <v>1211</v>
      </c>
      <c r="B129" s="199">
        <v>15610500000000</v>
      </c>
      <c r="C129" t="s">
        <v>1212</v>
      </c>
      <c r="D129" s="116">
        <v>0</v>
      </c>
      <c r="E129" s="116">
        <v>1320</v>
      </c>
      <c r="F129" s="116">
        <v>-1320</v>
      </c>
      <c r="G129" s="116">
        <v>0</v>
      </c>
      <c r="H129" s="116">
        <v>0</v>
      </c>
      <c r="I129">
        <f t="shared" si="2"/>
        <v>0</v>
      </c>
      <c r="J129" s="128">
        <f t="shared" si="3"/>
        <v>0</v>
      </c>
    </row>
    <row r="130" spans="1:10" x14ac:dyDescent="0.25">
      <c r="A130" t="s">
        <v>582</v>
      </c>
      <c r="B130" s="199">
        <v>3364280000000</v>
      </c>
      <c r="C130" t="s">
        <v>422</v>
      </c>
      <c r="D130" s="116">
        <v>0</v>
      </c>
      <c r="E130" s="116">
        <v>618.75</v>
      </c>
      <c r="F130" s="116">
        <v>-618.75</v>
      </c>
      <c r="G130" s="116">
        <v>0</v>
      </c>
      <c r="H130" s="116">
        <v>0</v>
      </c>
      <c r="I130">
        <f t="shared" si="2"/>
        <v>0</v>
      </c>
      <c r="J130" s="128">
        <f t="shared" si="3"/>
        <v>0</v>
      </c>
    </row>
    <row r="131" spans="1:10" x14ac:dyDescent="0.25">
      <c r="A131" t="s">
        <v>423</v>
      </c>
      <c r="B131" s="199">
        <v>7718940000000</v>
      </c>
      <c r="C131" t="s">
        <v>150</v>
      </c>
      <c r="D131" s="116">
        <v>0</v>
      </c>
      <c r="E131" s="116">
        <v>420</v>
      </c>
      <c r="F131" s="116">
        <v>-420</v>
      </c>
      <c r="G131" s="116">
        <v>0</v>
      </c>
      <c r="H131" s="116">
        <v>0</v>
      </c>
      <c r="I131">
        <f t="shared" si="2"/>
        <v>0</v>
      </c>
      <c r="J131" s="128">
        <f t="shared" si="3"/>
        <v>0</v>
      </c>
    </row>
    <row r="132" spans="1:10" x14ac:dyDescent="0.25">
      <c r="A132" t="s">
        <v>583</v>
      </c>
      <c r="B132" s="199">
        <v>9079570000000</v>
      </c>
      <c r="C132" t="s">
        <v>424</v>
      </c>
      <c r="D132" s="116">
        <v>-2000</v>
      </c>
      <c r="E132" s="116">
        <v>10828.81</v>
      </c>
      <c r="F132" s="116">
        <v>-8828.81</v>
      </c>
      <c r="G132" s="116">
        <v>2000</v>
      </c>
      <c r="H132" s="116">
        <v>0</v>
      </c>
      <c r="I132">
        <f t="shared" si="2"/>
        <v>2</v>
      </c>
      <c r="J132" s="128">
        <f t="shared" si="3"/>
        <v>2</v>
      </c>
    </row>
    <row r="133" spans="1:10" x14ac:dyDescent="0.25">
      <c r="A133" t="s">
        <v>1215</v>
      </c>
      <c r="B133" s="199">
        <v>54207700000000</v>
      </c>
      <c r="C133" t="s">
        <v>1216</v>
      </c>
      <c r="D133" s="116">
        <v>-350</v>
      </c>
      <c r="E133" s="116">
        <v>700</v>
      </c>
      <c r="F133" s="116">
        <v>-350</v>
      </c>
      <c r="G133" s="116">
        <v>350</v>
      </c>
      <c r="H133" s="116">
        <v>0</v>
      </c>
      <c r="I133">
        <f t="shared" si="2"/>
        <v>0.35</v>
      </c>
      <c r="J133" s="128">
        <f t="shared" si="3"/>
        <v>0</v>
      </c>
    </row>
    <row r="134" spans="1:10" x14ac:dyDescent="0.25">
      <c r="A134" t="s">
        <v>584</v>
      </c>
      <c r="B134" s="199">
        <v>19088600000000</v>
      </c>
      <c r="C134" t="s">
        <v>151</v>
      </c>
      <c r="D134" s="116">
        <v>-90000</v>
      </c>
      <c r="E134" s="116">
        <v>303870.96000000002</v>
      </c>
      <c r="F134" s="116">
        <v>-332589.65999999997</v>
      </c>
      <c r="G134" s="116">
        <v>-28718.7</v>
      </c>
      <c r="H134" s="116">
        <v>-118718.7</v>
      </c>
      <c r="I134">
        <f t="shared" si="2"/>
        <v>-28.718700000000002</v>
      </c>
      <c r="J134" s="128">
        <f t="shared" si="3"/>
        <v>-29</v>
      </c>
    </row>
    <row r="135" spans="1:10" x14ac:dyDescent="0.25">
      <c r="A135" t="s">
        <v>585</v>
      </c>
      <c r="B135" s="199">
        <v>34036200000000</v>
      </c>
      <c r="C135" t="s">
        <v>152</v>
      </c>
      <c r="D135" s="116">
        <v>-136438.35999999999</v>
      </c>
      <c r="E135" s="116">
        <v>449430.24</v>
      </c>
      <c r="F135" s="116">
        <v>-432991.88</v>
      </c>
      <c r="G135" s="116">
        <v>16438.36</v>
      </c>
      <c r="H135" s="116">
        <v>-120000</v>
      </c>
      <c r="I135">
        <f t="shared" si="2"/>
        <v>16.438359999999999</v>
      </c>
      <c r="J135" s="128">
        <f t="shared" si="3"/>
        <v>16</v>
      </c>
    </row>
    <row r="136" spans="1:10" x14ac:dyDescent="0.25">
      <c r="A136" t="s">
        <v>586</v>
      </c>
      <c r="B136" s="199">
        <v>36813600000000</v>
      </c>
      <c r="C136" t="s">
        <v>809</v>
      </c>
      <c r="D136" s="116">
        <v>-28717.58</v>
      </c>
      <c r="E136" s="116">
        <v>58342.64</v>
      </c>
      <c r="F136" s="116">
        <v>-44437.59</v>
      </c>
      <c r="G136" s="116">
        <v>13905.05</v>
      </c>
      <c r="H136" s="116">
        <v>-14812.53</v>
      </c>
      <c r="I136">
        <f t="shared" si="2"/>
        <v>13.905049999999999</v>
      </c>
      <c r="J136" s="128">
        <f t="shared" si="3"/>
        <v>14</v>
      </c>
    </row>
    <row r="137" spans="1:10" x14ac:dyDescent="0.25">
      <c r="A137" t="s">
        <v>1106</v>
      </c>
      <c r="B137" s="199">
        <v>191477000000</v>
      </c>
      <c r="C137" t="s">
        <v>153</v>
      </c>
      <c r="D137" s="116">
        <v>0</v>
      </c>
      <c r="E137" s="116">
        <v>66970.8</v>
      </c>
      <c r="F137" s="116">
        <v>-94090.8</v>
      </c>
      <c r="G137" s="116">
        <v>-27120</v>
      </c>
      <c r="H137" s="116">
        <v>-27120</v>
      </c>
      <c r="I137">
        <f t="shared" ref="I137:I200" si="4">G137/1000</f>
        <v>-27.12</v>
      </c>
      <c r="J137" s="128">
        <f t="shared" ref="J137:J200" si="5">ROUND(I137,0)</f>
        <v>-27</v>
      </c>
    </row>
    <row r="138" spans="1:10" x14ac:dyDescent="0.25">
      <c r="A138" t="s">
        <v>427</v>
      </c>
      <c r="B138" s="199">
        <v>8294690000000</v>
      </c>
      <c r="C138" t="s">
        <v>428</v>
      </c>
      <c r="D138" s="116">
        <v>0</v>
      </c>
      <c r="E138" s="116">
        <v>180000</v>
      </c>
      <c r="F138" s="116">
        <v>-180000</v>
      </c>
      <c r="G138" s="116">
        <v>0</v>
      </c>
      <c r="H138" s="116">
        <v>0</v>
      </c>
      <c r="I138">
        <f t="shared" si="4"/>
        <v>0</v>
      </c>
      <c r="J138" s="128">
        <f t="shared" si="5"/>
        <v>0</v>
      </c>
    </row>
    <row r="139" spans="1:10" x14ac:dyDescent="0.25">
      <c r="A139" t="s">
        <v>587</v>
      </c>
      <c r="B139" s="199">
        <v>34977900000000</v>
      </c>
      <c r="C139" t="s">
        <v>154</v>
      </c>
      <c r="D139" s="116">
        <v>-1522.18</v>
      </c>
      <c r="E139" s="116">
        <v>4566.54</v>
      </c>
      <c r="F139" s="116">
        <v>-4566.54</v>
      </c>
      <c r="G139" s="116">
        <v>0</v>
      </c>
      <c r="H139" s="116">
        <v>-1522.18</v>
      </c>
      <c r="I139">
        <f t="shared" si="4"/>
        <v>0</v>
      </c>
      <c r="J139" s="128">
        <f t="shared" si="5"/>
        <v>0</v>
      </c>
    </row>
    <row r="140" spans="1:10" x14ac:dyDescent="0.25">
      <c r="A140" t="s">
        <v>429</v>
      </c>
      <c r="B140" s="199">
        <v>25131900000000</v>
      </c>
      <c r="C140" t="s">
        <v>430</v>
      </c>
      <c r="D140" s="116">
        <v>0</v>
      </c>
      <c r="E140" s="116">
        <v>49000</v>
      </c>
      <c r="F140" s="116">
        <v>-49000</v>
      </c>
      <c r="G140" s="116">
        <v>0</v>
      </c>
      <c r="H140" s="116">
        <v>0</v>
      </c>
      <c r="I140">
        <f t="shared" si="4"/>
        <v>0</v>
      </c>
      <c r="J140" s="128">
        <f t="shared" si="5"/>
        <v>0</v>
      </c>
    </row>
    <row r="141" spans="1:10" x14ac:dyDescent="0.25">
      <c r="A141" t="s">
        <v>431</v>
      </c>
      <c r="B141" s="199">
        <v>33198300000000</v>
      </c>
      <c r="C141" t="s">
        <v>432</v>
      </c>
      <c r="D141" s="116">
        <v>0</v>
      </c>
      <c r="E141" s="116">
        <v>1498.8</v>
      </c>
      <c r="F141" s="116">
        <v>-1498.8</v>
      </c>
      <c r="G141" s="116">
        <v>0</v>
      </c>
      <c r="H141" s="116">
        <v>0</v>
      </c>
      <c r="I141">
        <f t="shared" si="4"/>
        <v>0</v>
      </c>
      <c r="J141" s="128">
        <f t="shared" si="5"/>
        <v>0</v>
      </c>
    </row>
    <row r="142" spans="1:10" x14ac:dyDescent="0.25">
      <c r="A142" t="s">
        <v>433</v>
      </c>
      <c r="B142" s="199">
        <v>28712100000000</v>
      </c>
      <c r="C142" t="s">
        <v>434</v>
      </c>
      <c r="D142" s="116">
        <v>-4500</v>
      </c>
      <c r="E142" s="116">
        <v>40260</v>
      </c>
      <c r="F142" s="116">
        <v>-35760</v>
      </c>
      <c r="G142" s="116">
        <v>4500</v>
      </c>
      <c r="H142" s="116">
        <v>0</v>
      </c>
      <c r="I142">
        <f t="shared" si="4"/>
        <v>4.5</v>
      </c>
      <c r="J142" s="128">
        <f t="shared" si="5"/>
        <v>5</v>
      </c>
    </row>
    <row r="143" spans="1:10" x14ac:dyDescent="0.25">
      <c r="A143" t="s">
        <v>588</v>
      </c>
      <c r="B143" s="199">
        <v>1406620000000</v>
      </c>
      <c r="C143" t="s">
        <v>435</v>
      </c>
      <c r="D143" s="116">
        <v>0</v>
      </c>
      <c r="E143" s="116">
        <v>139253.75</v>
      </c>
      <c r="F143" s="116">
        <v>-211518.2</v>
      </c>
      <c r="G143" s="116">
        <v>-72264.45</v>
      </c>
      <c r="H143" s="116">
        <v>-72264.45</v>
      </c>
      <c r="I143">
        <f t="shared" si="4"/>
        <v>-72.264449999999997</v>
      </c>
      <c r="J143" s="128">
        <f t="shared" si="5"/>
        <v>-72</v>
      </c>
    </row>
    <row r="144" spans="1:10" x14ac:dyDescent="0.25">
      <c r="A144" t="s">
        <v>436</v>
      </c>
      <c r="B144" s="199">
        <v>12499500000000</v>
      </c>
      <c r="C144" t="s">
        <v>437</v>
      </c>
      <c r="D144" s="116">
        <v>0</v>
      </c>
      <c r="E144" s="116">
        <v>1117.69</v>
      </c>
      <c r="F144" s="116">
        <v>-1117.69</v>
      </c>
      <c r="G144" s="116">
        <v>0</v>
      </c>
      <c r="H144" s="116">
        <v>0</v>
      </c>
      <c r="I144">
        <f t="shared" si="4"/>
        <v>0</v>
      </c>
      <c r="J144" s="128">
        <f t="shared" si="5"/>
        <v>0</v>
      </c>
    </row>
    <row r="145" spans="1:10" x14ac:dyDescent="0.25">
      <c r="A145" t="s">
        <v>438</v>
      </c>
      <c r="B145" s="199">
        <v>7843950000000</v>
      </c>
      <c r="C145" t="s">
        <v>439</v>
      </c>
      <c r="D145" s="116">
        <v>0</v>
      </c>
      <c r="E145" s="116">
        <v>8250</v>
      </c>
      <c r="F145" s="116">
        <v>-8250</v>
      </c>
      <c r="G145" s="116">
        <v>0</v>
      </c>
      <c r="H145" s="116">
        <v>0</v>
      </c>
      <c r="I145">
        <f t="shared" si="4"/>
        <v>0</v>
      </c>
      <c r="J145" s="128">
        <f t="shared" si="5"/>
        <v>0</v>
      </c>
    </row>
    <row r="146" spans="1:10" x14ac:dyDescent="0.25">
      <c r="A146" t="s">
        <v>441</v>
      </c>
      <c r="B146" s="199">
        <v>12979000000000</v>
      </c>
      <c r="C146" t="s">
        <v>442</v>
      </c>
      <c r="D146" s="116">
        <v>0</v>
      </c>
      <c r="E146" s="116">
        <v>97459.01</v>
      </c>
      <c r="F146" s="116">
        <v>-106585.64</v>
      </c>
      <c r="G146" s="116">
        <v>-9126.6299999999992</v>
      </c>
      <c r="H146" s="116">
        <v>-9126.6299999999992</v>
      </c>
      <c r="I146">
        <f t="shared" si="4"/>
        <v>-9.1266299999999987</v>
      </c>
      <c r="J146" s="128">
        <f t="shared" si="5"/>
        <v>-9</v>
      </c>
    </row>
    <row r="147" spans="1:10" x14ac:dyDescent="0.25">
      <c r="A147" t="s">
        <v>590</v>
      </c>
      <c r="B147" s="199">
        <v>38056400000000</v>
      </c>
      <c r="C147" t="s">
        <v>443</v>
      </c>
      <c r="D147" s="116">
        <v>-30953.65</v>
      </c>
      <c r="E147" s="116">
        <v>128658.09</v>
      </c>
      <c r="F147" s="116">
        <v>-117217.99</v>
      </c>
      <c r="G147" s="116">
        <v>11440.1</v>
      </c>
      <c r="H147" s="116">
        <v>-19513.55</v>
      </c>
      <c r="I147">
        <f t="shared" si="4"/>
        <v>11.440100000000001</v>
      </c>
      <c r="J147" s="128">
        <f t="shared" si="5"/>
        <v>11</v>
      </c>
    </row>
    <row r="148" spans="1:10" x14ac:dyDescent="0.25">
      <c r="A148" t="s">
        <v>814</v>
      </c>
      <c r="B148" t="s">
        <v>815</v>
      </c>
      <c r="C148" t="s">
        <v>816</v>
      </c>
      <c r="D148" s="116">
        <v>0</v>
      </c>
      <c r="E148" s="116">
        <v>109062.51</v>
      </c>
      <c r="F148" s="116">
        <v>-109062.51</v>
      </c>
      <c r="G148" s="116">
        <v>0</v>
      </c>
      <c r="H148" s="116">
        <v>0</v>
      </c>
      <c r="I148">
        <f t="shared" si="4"/>
        <v>0</v>
      </c>
      <c r="J148" s="128">
        <f t="shared" si="5"/>
        <v>0</v>
      </c>
    </row>
    <row r="149" spans="1:10" x14ac:dyDescent="0.25">
      <c r="A149" t="s">
        <v>1107</v>
      </c>
      <c r="B149" s="199">
        <v>26915400000000</v>
      </c>
      <c r="C149" t="s">
        <v>1108</v>
      </c>
      <c r="D149" s="116">
        <v>-12512</v>
      </c>
      <c r="E149" s="116">
        <v>16048</v>
      </c>
      <c r="F149" s="116">
        <v>-3536</v>
      </c>
      <c r="G149" s="116">
        <v>12512</v>
      </c>
      <c r="H149" s="116">
        <v>0</v>
      </c>
      <c r="I149">
        <f t="shared" si="4"/>
        <v>12.512</v>
      </c>
      <c r="J149" s="128">
        <f t="shared" si="5"/>
        <v>13</v>
      </c>
    </row>
    <row r="150" spans="1:10" x14ac:dyDescent="0.25">
      <c r="A150" t="s">
        <v>1111</v>
      </c>
      <c r="B150" s="199">
        <v>37563500000000</v>
      </c>
      <c r="C150" t="s">
        <v>1112</v>
      </c>
      <c r="D150" s="116">
        <v>0</v>
      </c>
      <c r="E150" s="116">
        <v>1389.41</v>
      </c>
      <c r="F150" s="116">
        <v>-1389.41</v>
      </c>
      <c r="G150" s="116">
        <v>0</v>
      </c>
      <c r="H150" s="116">
        <v>0</v>
      </c>
      <c r="I150">
        <f t="shared" si="4"/>
        <v>0</v>
      </c>
      <c r="J150" s="128">
        <f t="shared" si="5"/>
        <v>0</v>
      </c>
    </row>
    <row r="151" spans="1:10" x14ac:dyDescent="0.25">
      <c r="A151" t="s">
        <v>805</v>
      </c>
      <c r="B151" s="199">
        <v>32681700000000</v>
      </c>
      <c r="C151" t="s">
        <v>806</v>
      </c>
      <c r="D151" s="116">
        <v>0</v>
      </c>
      <c r="E151" s="116">
        <v>386</v>
      </c>
      <c r="F151" s="116">
        <v>-386</v>
      </c>
      <c r="G151" s="116">
        <v>0</v>
      </c>
      <c r="H151" s="116">
        <v>0</v>
      </c>
      <c r="I151">
        <f t="shared" si="4"/>
        <v>0</v>
      </c>
      <c r="J151" s="128">
        <f t="shared" si="5"/>
        <v>0</v>
      </c>
    </row>
    <row r="152" spans="1:10" x14ac:dyDescent="0.25">
      <c r="A152" t="s">
        <v>819</v>
      </c>
      <c r="B152" s="199">
        <v>8401150000000</v>
      </c>
      <c r="C152" t="s">
        <v>820</v>
      </c>
      <c r="D152" s="116">
        <v>0</v>
      </c>
      <c r="E152" s="116">
        <v>0</v>
      </c>
      <c r="F152" s="116">
        <v>-16200</v>
      </c>
      <c r="G152" s="116">
        <v>-16200</v>
      </c>
      <c r="H152" s="116">
        <v>-16200</v>
      </c>
      <c r="I152">
        <f t="shared" si="4"/>
        <v>-16.2</v>
      </c>
      <c r="J152" s="128">
        <f t="shared" si="5"/>
        <v>-16</v>
      </c>
    </row>
    <row r="153" spans="1:10" x14ac:dyDescent="0.25">
      <c r="A153" t="s">
        <v>821</v>
      </c>
      <c r="B153" s="199">
        <v>27553300000000</v>
      </c>
      <c r="C153" t="s">
        <v>822</v>
      </c>
      <c r="D153" s="116">
        <v>0</v>
      </c>
      <c r="E153" s="116">
        <v>4800</v>
      </c>
      <c r="F153" s="116">
        <v>-4800</v>
      </c>
      <c r="G153" s="116">
        <v>0</v>
      </c>
      <c r="H153" s="116">
        <v>0</v>
      </c>
      <c r="I153">
        <f t="shared" si="4"/>
        <v>0</v>
      </c>
      <c r="J153" s="128">
        <f t="shared" si="5"/>
        <v>0</v>
      </c>
    </row>
    <row r="154" spans="1:10" x14ac:dyDescent="0.25">
      <c r="A154" t="s">
        <v>823</v>
      </c>
      <c r="B154" s="199">
        <v>5630090000000</v>
      </c>
      <c r="C154" t="s">
        <v>824</v>
      </c>
      <c r="D154" s="116">
        <v>0</v>
      </c>
      <c r="E154" s="116">
        <v>9484.18</v>
      </c>
      <c r="F154" s="116">
        <v>-9484.18</v>
      </c>
      <c r="G154" s="116">
        <v>0</v>
      </c>
      <c r="H154" s="116">
        <v>0</v>
      </c>
      <c r="I154">
        <f t="shared" si="4"/>
        <v>0</v>
      </c>
      <c r="J154" s="128">
        <f t="shared" si="5"/>
        <v>0</v>
      </c>
    </row>
    <row r="155" spans="1:10" x14ac:dyDescent="0.25">
      <c r="A155" t="s">
        <v>444</v>
      </c>
      <c r="B155">
        <v>2114998</v>
      </c>
      <c r="C155" t="s">
        <v>155</v>
      </c>
      <c r="D155" s="116">
        <v>0</v>
      </c>
      <c r="E155" s="116">
        <v>204000</v>
      </c>
      <c r="F155" s="116">
        <v>-204000</v>
      </c>
      <c r="G155" s="116">
        <v>0</v>
      </c>
      <c r="H155" s="116">
        <v>0</v>
      </c>
      <c r="I155">
        <f t="shared" si="4"/>
        <v>0</v>
      </c>
      <c r="J155" s="128">
        <f t="shared" si="5"/>
        <v>0</v>
      </c>
    </row>
    <row r="156" spans="1:10" x14ac:dyDescent="0.25">
      <c r="A156" t="s">
        <v>827</v>
      </c>
      <c r="B156" s="199">
        <v>8210270000000</v>
      </c>
      <c r="C156" t="s">
        <v>828</v>
      </c>
      <c r="D156" s="116">
        <v>0</v>
      </c>
      <c r="E156" s="116">
        <v>5490</v>
      </c>
      <c r="F156" s="116">
        <v>-5490</v>
      </c>
      <c r="G156" s="116">
        <v>0</v>
      </c>
      <c r="H156" s="116">
        <v>0</v>
      </c>
      <c r="I156">
        <f t="shared" si="4"/>
        <v>0</v>
      </c>
      <c r="J156" s="128">
        <f t="shared" si="5"/>
        <v>0</v>
      </c>
    </row>
    <row r="157" spans="1:10" x14ac:dyDescent="0.25">
      <c r="A157" t="s">
        <v>1217</v>
      </c>
      <c r="B157" s="199">
        <v>1976530000000</v>
      </c>
      <c r="C157" t="s">
        <v>1218</v>
      </c>
      <c r="D157" s="116">
        <v>0</v>
      </c>
      <c r="E157" s="116">
        <v>2097</v>
      </c>
      <c r="F157" s="116">
        <v>-2097</v>
      </c>
      <c r="G157" s="116">
        <v>0</v>
      </c>
      <c r="H157" s="116">
        <v>0</v>
      </c>
      <c r="I157">
        <f t="shared" si="4"/>
        <v>0</v>
      </c>
      <c r="J157" s="128">
        <f t="shared" si="5"/>
        <v>0</v>
      </c>
    </row>
    <row r="158" spans="1:10" x14ac:dyDescent="0.25">
      <c r="A158" t="s">
        <v>1219</v>
      </c>
      <c r="B158" s="199">
        <v>44459900000000</v>
      </c>
      <c r="C158" t="s">
        <v>1220</v>
      </c>
      <c r="D158" s="116">
        <v>0</v>
      </c>
      <c r="E158" s="116">
        <v>3631.71</v>
      </c>
      <c r="F158" s="116">
        <v>-3631.71</v>
      </c>
      <c r="G158" s="116">
        <v>0</v>
      </c>
      <c r="H158" s="116">
        <v>0</v>
      </c>
      <c r="I158">
        <f t="shared" si="4"/>
        <v>0</v>
      </c>
      <c r="J158" s="128">
        <f t="shared" si="5"/>
        <v>0</v>
      </c>
    </row>
    <row r="159" spans="1:10" x14ac:dyDescent="0.25">
      <c r="A159" t="s">
        <v>1223</v>
      </c>
      <c r="B159" s="199">
        <v>37381900000000</v>
      </c>
      <c r="C159" t="s">
        <v>1224</v>
      </c>
      <c r="D159" s="116">
        <v>-3726.41</v>
      </c>
      <c r="E159" s="116">
        <v>11390.19</v>
      </c>
      <c r="F159" s="116">
        <v>-11497.95</v>
      </c>
      <c r="G159" s="116">
        <v>-107.76</v>
      </c>
      <c r="H159" s="116">
        <v>-3834.17</v>
      </c>
      <c r="I159">
        <f t="shared" si="4"/>
        <v>-0.10776000000000001</v>
      </c>
      <c r="J159" s="128">
        <f t="shared" si="5"/>
        <v>0</v>
      </c>
    </row>
    <row r="160" spans="1:10" x14ac:dyDescent="0.25">
      <c r="A160" t="s">
        <v>1229</v>
      </c>
      <c r="B160" s="199">
        <v>12782100000000</v>
      </c>
      <c r="C160" t="s">
        <v>1230</v>
      </c>
      <c r="D160" s="116">
        <v>-4665</v>
      </c>
      <c r="E160" s="116">
        <v>13995</v>
      </c>
      <c r="F160" s="116">
        <v>-9330</v>
      </c>
      <c r="G160" s="116">
        <v>4665</v>
      </c>
      <c r="H160" s="116">
        <v>0</v>
      </c>
      <c r="I160">
        <f t="shared" si="4"/>
        <v>4.665</v>
      </c>
      <c r="J160" s="128">
        <f t="shared" si="5"/>
        <v>5</v>
      </c>
    </row>
    <row r="161" spans="1:10" x14ac:dyDescent="0.25">
      <c r="A161" t="s">
        <v>1231</v>
      </c>
      <c r="B161" s="199">
        <v>7658540000000</v>
      </c>
      <c r="C161" t="s">
        <v>1232</v>
      </c>
      <c r="D161" s="116">
        <v>0</v>
      </c>
      <c r="E161" s="116">
        <v>77400</v>
      </c>
      <c r="F161" s="116">
        <v>-77400</v>
      </c>
      <c r="G161" s="116">
        <v>0</v>
      </c>
      <c r="H161" s="116">
        <v>0</v>
      </c>
      <c r="I161">
        <f t="shared" si="4"/>
        <v>0</v>
      </c>
      <c r="J161" s="128">
        <f t="shared" si="5"/>
        <v>0</v>
      </c>
    </row>
    <row r="162" spans="1:10" x14ac:dyDescent="0.25">
      <c r="A162" t="s">
        <v>1335</v>
      </c>
      <c r="B162" s="199">
        <v>24185200000000</v>
      </c>
      <c r="C162" t="s">
        <v>1336</v>
      </c>
      <c r="D162" s="116">
        <v>0</v>
      </c>
      <c r="E162" s="116">
        <v>10837.5</v>
      </c>
      <c r="F162" s="116">
        <v>-10837.5</v>
      </c>
      <c r="G162" s="116">
        <v>0</v>
      </c>
      <c r="H162" s="116">
        <v>0</v>
      </c>
      <c r="I162">
        <f t="shared" si="4"/>
        <v>0</v>
      </c>
      <c r="J162" s="128">
        <f t="shared" si="5"/>
        <v>0</v>
      </c>
    </row>
    <row r="163" spans="1:10" x14ac:dyDescent="0.25">
      <c r="A163" t="s">
        <v>1349</v>
      </c>
      <c r="B163" s="199">
        <v>48659500000000</v>
      </c>
      <c r="C163" t="s">
        <v>1350</v>
      </c>
      <c r="D163" s="116">
        <v>0</v>
      </c>
      <c r="E163" s="116">
        <v>2070</v>
      </c>
      <c r="F163" s="116">
        <v>-2070</v>
      </c>
      <c r="G163" s="116">
        <v>0</v>
      </c>
      <c r="H163" s="116">
        <v>0</v>
      </c>
      <c r="I163">
        <f t="shared" si="4"/>
        <v>0</v>
      </c>
      <c r="J163" s="128">
        <f t="shared" si="5"/>
        <v>0</v>
      </c>
    </row>
    <row r="164" spans="1:10" x14ac:dyDescent="0.25">
      <c r="A164" t="s">
        <v>1355</v>
      </c>
      <c r="B164" s="199">
        <v>9012640000000</v>
      </c>
      <c r="C164" t="s">
        <v>1356</v>
      </c>
      <c r="D164" s="116">
        <v>-9132</v>
      </c>
      <c r="E164" s="116">
        <v>9132</v>
      </c>
      <c r="F164" s="116">
        <v>0</v>
      </c>
      <c r="G164" s="116">
        <v>9132</v>
      </c>
      <c r="H164" s="116">
        <v>0</v>
      </c>
      <c r="I164">
        <f t="shared" si="4"/>
        <v>9.1319999999999997</v>
      </c>
      <c r="J164" s="128">
        <f t="shared" si="5"/>
        <v>9</v>
      </c>
    </row>
    <row r="165" spans="1:10" x14ac:dyDescent="0.25">
      <c r="A165" t="s">
        <v>1357</v>
      </c>
      <c r="B165" s="199">
        <v>47982500000000</v>
      </c>
      <c r="C165" t="s">
        <v>1358</v>
      </c>
      <c r="D165" s="116">
        <v>-8316</v>
      </c>
      <c r="E165" s="116">
        <v>8316</v>
      </c>
      <c r="F165" s="116">
        <v>0</v>
      </c>
      <c r="G165" s="116">
        <v>8316</v>
      </c>
      <c r="H165" s="116">
        <v>0</v>
      </c>
      <c r="I165">
        <f t="shared" si="4"/>
        <v>8.3160000000000007</v>
      </c>
      <c r="J165" s="128">
        <f t="shared" si="5"/>
        <v>8</v>
      </c>
    </row>
    <row r="166" spans="1:10" x14ac:dyDescent="0.25">
      <c r="A166" t="s">
        <v>1536</v>
      </c>
      <c r="B166" s="199">
        <v>40176000000000</v>
      </c>
      <c r="C166" t="s">
        <v>1551</v>
      </c>
      <c r="D166" s="116">
        <v>0</v>
      </c>
      <c r="E166" s="116">
        <v>29250</v>
      </c>
      <c r="F166" s="116">
        <v>-29250</v>
      </c>
      <c r="G166" s="116">
        <v>0</v>
      </c>
      <c r="H166" s="116">
        <v>0</v>
      </c>
      <c r="I166">
        <f t="shared" si="4"/>
        <v>0</v>
      </c>
      <c r="J166" s="128">
        <f t="shared" si="5"/>
        <v>0</v>
      </c>
    </row>
    <row r="167" spans="1:10" x14ac:dyDescent="0.25">
      <c r="A167" t="s">
        <v>1537</v>
      </c>
      <c r="B167" s="199">
        <v>6201990000000</v>
      </c>
      <c r="C167" t="s">
        <v>1552</v>
      </c>
      <c r="D167" s="116">
        <v>0</v>
      </c>
      <c r="E167" s="116">
        <v>4660.32</v>
      </c>
      <c r="F167" s="116">
        <v>-4660.32</v>
      </c>
      <c r="G167" s="116">
        <v>0</v>
      </c>
      <c r="H167" s="116">
        <v>0</v>
      </c>
      <c r="I167">
        <f t="shared" si="4"/>
        <v>0</v>
      </c>
      <c r="J167" s="128">
        <f t="shared" si="5"/>
        <v>0</v>
      </c>
    </row>
    <row r="168" spans="1:10" x14ac:dyDescent="0.25">
      <c r="A168" t="s">
        <v>1538</v>
      </c>
      <c r="B168" s="199">
        <v>48753000000000</v>
      </c>
      <c r="C168" t="s">
        <v>1553</v>
      </c>
      <c r="D168" s="116">
        <v>0</v>
      </c>
      <c r="E168" s="116">
        <v>473</v>
      </c>
      <c r="F168" s="116">
        <v>-473</v>
      </c>
      <c r="G168" s="116">
        <v>0</v>
      </c>
      <c r="H168" s="116">
        <v>0</v>
      </c>
      <c r="I168">
        <f t="shared" si="4"/>
        <v>0</v>
      </c>
      <c r="J168" s="128">
        <f t="shared" si="5"/>
        <v>0</v>
      </c>
    </row>
    <row r="169" spans="1:10" x14ac:dyDescent="0.25">
      <c r="A169" t="s">
        <v>1539</v>
      </c>
      <c r="B169" s="199">
        <v>5824180000000</v>
      </c>
      <c r="C169" t="s">
        <v>1554</v>
      </c>
      <c r="D169" s="116">
        <v>0</v>
      </c>
      <c r="E169" s="116">
        <v>1025</v>
      </c>
      <c r="F169" s="116">
        <v>-1025</v>
      </c>
      <c r="G169" s="116">
        <v>0</v>
      </c>
      <c r="H169" s="116">
        <v>0</v>
      </c>
      <c r="I169">
        <f t="shared" si="4"/>
        <v>0</v>
      </c>
      <c r="J169" s="128">
        <f t="shared" si="5"/>
        <v>0</v>
      </c>
    </row>
    <row r="170" spans="1:10" x14ac:dyDescent="0.25">
      <c r="A170" t="s">
        <v>1540</v>
      </c>
      <c r="B170" s="199">
        <v>50396700000000</v>
      </c>
      <c r="C170" t="s">
        <v>1555</v>
      </c>
      <c r="D170" s="116">
        <v>0</v>
      </c>
      <c r="E170" s="116">
        <v>49600</v>
      </c>
      <c r="F170" s="116">
        <v>-49600</v>
      </c>
      <c r="G170" s="116">
        <v>0</v>
      </c>
      <c r="H170" s="116">
        <v>0</v>
      </c>
      <c r="I170">
        <f t="shared" si="4"/>
        <v>0</v>
      </c>
      <c r="J170" s="128">
        <f t="shared" si="5"/>
        <v>0</v>
      </c>
    </row>
    <row r="171" spans="1:10" x14ac:dyDescent="0.25">
      <c r="A171" t="s">
        <v>1541</v>
      </c>
      <c r="B171" s="199">
        <v>29864300000000</v>
      </c>
      <c r="C171" t="s">
        <v>1556</v>
      </c>
      <c r="D171" s="116">
        <v>0</v>
      </c>
      <c r="E171" s="116">
        <v>2013</v>
      </c>
      <c r="F171" s="116">
        <v>-2013</v>
      </c>
      <c r="G171" s="116">
        <v>0</v>
      </c>
      <c r="H171" s="116">
        <v>0</v>
      </c>
      <c r="I171">
        <f t="shared" si="4"/>
        <v>0</v>
      </c>
      <c r="J171" s="128">
        <f t="shared" si="5"/>
        <v>0</v>
      </c>
    </row>
    <row r="172" spans="1:10" x14ac:dyDescent="0.25">
      <c r="A172" t="s">
        <v>1542</v>
      </c>
      <c r="B172" s="199">
        <v>10535800000000</v>
      </c>
      <c r="C172" t="s">
        <v>1557</v>
      </c>
      <c r="D172" s="116">
        <v>0</v>
      </c>
      <c r="E172" s="116">
        <v>2216.4299999999998</v>
      </c>
      <c r="F172" s="116">
        <v>-2216.4299999999998</v>
      </c>
      <c r="G172" s="116">
        <v>0</v>
      </c>
      <c r="H172" s="116">
        <v>0</v>
      </c>
      <c r="I172">
        <f t="shared" si="4"/>
        <v>0</v>
      </c>
      <c r="J172" s="128">
        <f t="shared" si="5"/>
        <v>0</v>
      </c>
    </row>
    <row r="173" spans="1:10" x14ac:dyDescent="0.25">
      <c r="A173" t="s">
        <v>1543</v>
      </c>
      <c r="B173" s="199">
        <v>69112500000000</v>
      </c>
      <c r="C173" t="s">
        <v>1558</v>
      </c>
      <c r="D173" s="116">
        <v>0</v>
      </c>
      <c r="E173" s="116">
        <v>13890</v>
      </c>
      <c r="F173" s="116">
        <v>-13890</v>
      </c>
      <c r="G173" s="116">
        <v>0</v>
      </c>
      <c r="H173" s="116">
        <v>0</v>
      </c>
      <c r="I173">
        <f t="shared" si="4"/>
        <v>0</v>
      </c>
      <c r="J173" s="128">
        <f t="shared" si="5"/>
        <v>0</v>
      </c>
    </row>
    <row r="174" spans="1:10" x14ac:dyDescent="0.25">
      <c r="A174" t="s">
        <v>1544</v>
      </c>
      <c r="B174" s="199">
        <v>67129900000000</v>
      </c>
      <c r="C174" t="s">
        <v>1559</v>
      </c>
      <c r="D174" s="116">
        <v>0</v>
      </c>
      <c r="E174" s="116">
        <v>200000</v>
      </c>
      <c r="F174" s="116">
        <v>-200000</v>
      </c>
      <c r="G174" s="116">
        <v>0</v>
      </c>
      <c r="H174" s="116">
        <v>0</v>
      </c>
      <c r="I174">
        <f t="shared" si="4"/>
        <v>0</v>
      </c>
      <c r="J174" s="128">
        <f t="shared" si="5"/>
        <v>0</v>
      </c>
    </row>
    <row r="175" spans="1:10" x14ac:dyDescent="0.25">
      <c r="A175" t="s">
        <v>1545</v>
      </c>
      <c r="B175" s="199">
        <v>33327000000000</v>
      </c>
      <c r="C175" t="s">
        <v>1560</v>
      </c>
      <c r="D175" s="116">
        <v>0</v>
      </c>
      <c r="E175" s="116">
        <v>2555.9699999999998</v>
      </c>
      <c r="F175" s="116">
        <v>-2555.9699999999998</v>
      </c>
      <c r="G175" s="116">
        <v>0</v>
      </c>
      <c r="H175" s="116">
        <v>0</v>
      </c>
      <c r="I175">
        <f t="shared" si="4"/>
        <v>0</v>
      </c>
      <c r="J175" s="128">
        <f t="shared" si="5"/>
        <v>0</v>
      </c>
    </row>
    <row r="176" spans="1:10" x14ac:dyDescent="0.25">
      <c r="A176" t="s">
        <v>1546</v>
      </c>
      <c r="B176" s="199">
        <v>29532300000000</v>
      </c>
      <c r="C176" t="s">
        <v>1561</v>
      </c>
      <c r="D176" s="116">
        <v>0</v>
      </c>
      <c r="E176" s="116">
        <v>753</v>
      </c>
      <c r="F176" s="116">
        <v>-753</v>
      </c>
      <c r="G176" s="116">
        <v>0</v>
      </c>
      <c r="H176" s="116">
        <v>0</v>
      </c>
      <c r="I176">
        <f t="shared" si="4"/>
        <v>0</v>
      </c>
      <c r="J176" s="128">
        <f t="shared" si="5"/>
        <v>0</v>
      </c>
    </row>
    <row r="177" spans="1:10" x14ac:dyDescent="0.25">
      <c r="A177" t="s">
        <v>1547</v>
      </c>
      <c r="B177" s="199">
        <v>3571940000000</v>
      </c>
      <c r="C177" t="s">
        <v>1562</v>
      </c>
      <c r="D177" s="116">
        <v>0</v>
      </c>
      <c r="E177" s="116">
        <v>987</v>
      </c>
      <c r="F177" s="116">
        <v>-987</v>
      </c>
      <c r="G177" s="116">
        <v>0</v>
      </c>
      <c r="H177" s="116">
        <v>0</v>
      </c>
      <c r="I177">
        <f t="shared" si="4"/>
        <v>0</v>
      </c>
      <c r="J177" s="128">
        <f t="shared" si="5"/>
        <v>0</v>
      </c>
    </row>
    <row r="178" spans="1:10" x14ac:dyDescent="0.25">
      <c r="A178" t="s">
        <v>1548</v>
      </c>
      <c r="B178" s="199">
        <v>43456400000000</v>
      </c>
      <c r="C178" t="s">
        <v>1563</v>
      </c>
      <c r="D178" s="116">
        <v>0</v>
      </c>
      <c r="E178" s="116">
        <v>1540</v>
      </c>
      <c r="F178" s="116">
        <v>-1540</v>
      </c>
      <c r="G178" s="116">
        <v>0</v>
      </c>
      <c r="H178" s="116">
        <v>0</v>
      </c>
      <c r="I178">
        <f t="shared" si="4"/>
        <v>0</v>
      </c>
      <c r="J178" s="128">
        <f t="shared" si="5"/>
        <v>0</v>
      </c>
    </row>
    <row r="179" spans="1:10" x14ac:dyDescent="0.25">
      <c r="A179" t="s">
        <v>1549</v>
      </c>
      <c r="B179" s="199">
        <v>21775800000000</v>
      </c>
      <c r="C179" t="s">
        <v>1564</v>
      </c>
      <c r="D179" s="116">
        <v>0</v>
      </c>
      <c r="E179" s="116">
        <v>960</v>
      </c>
      <c r="F179" s="116">
        <v>-960</v>
      </c>
      <c r="G179" s="116">
        <v>0</v>
      </c>
      <c r="H179" s="116">
        <v>0</v>
      </c>
      <c r="I179">
        <f t="shared" si="4"/>
        <v>0</v>
      </c>
      <c r="J179" s="128">
        <f t="shared" si="5"/>
        <v>0</v>
      </c>
    </row>
    <row r="180" spans="1:10" x14ac:dyDescent="0.25">
      <c r="A180" t="s">
        <v>1550</v>
      </c>
      <c r="B180" s="199">
        <v>3859240000000</v>
      </c>
      <c r="C180" t="s">
        <v>1565</v>
      </c>
      <c r="D180" s="116">
        <v>0</v>
      </c>
      <c r="E180" s="116">
        <v>0</v>
      </c>
      <c r="F180" s="116">
        <v>-5000</v>
      </c>
      <c r="G180" s="116">
        <v>-5000</v>
      </c>
      <c r="H180" s="116">
        <v>-5000</v>
      </c>
      <c r="I180">
        <f t="shared" si="4"/>
        <v>-5</v>
      </c>
      <c r="J180" s="128">
        <f t="shared" si="5"/>
        <v>-5</v>
      </c>
    </row>
    <row r="181" spans="1:10" x14ac:dyDescent="0.25">
      <c r="A181" t="s">
        <v>591</v>
      </c>
      <c r="B181">
        <v>2116</v>
      </c>
      <c r="C181" t="s">
        <v>17</v>
      </c>
      <c r="D181" s="116">
        <v>-1334.48</v>
      </c>
      <c r="E181" s="116">
        <v>89212.49</v>
      </c>
      <c r="F181" s="116">
        <v>-215789.26</v>
      </c>
      <c r="G181" s="116">
        <v>-126576.77</v>
      </c>
      <c r="H181" s="116">
        <v>-127911.25</v>
      </c>
      <c r="I181">
        <f t="shared" si="4"/>
        <v>-126.57677000000001</v>
      </c>
      <c r="J181" s="128">
        <f t="shared" si="5"/>
        <v>-127</v>
      </c>
    </row>
    <row r="182" spans="1:10" x14ac:dyDescent="0.25">
      <c r="A182" t="s">
        <v>445</v>
      </c>
      <c r="B182">
        <v>21162</v>
      </c>
      <c r="C182" t="s">
        <v>156</v>
      </c>
      <c r="D182" s="116">
        <v>-186.54</v>
      </c>
      <c r="E182" s="116">
        <v>15650.47</v>
      </c>
      <c r="F182" s="116">
        <v>-38153.33</v>
      </c>
      <c r="G182" s="116">
        <v>-22502.86</v>
      </c>
      <c r="H182" s="116">
        <v>-22689.4</v>
      </c>
      <c r="I182">
        <f t="shared" si="4"/>
        <v>-22.502860000000002</v>
      </c>
      <c r="J182" s="128">
        <f t="shared" si="5"/>
        <v>-23</v>
      </c>
    </row>
    <row r="183" spans="1:10" x14ac:dyDescent="0.25">
      <c r="A183" t="s">
        <v>592</v>
      </c>
      <c r="B183">
        <v>21163</v>
      </c>
      <c r="C183" t="s">
        <v>157</v>
      </c>
      <c r="D183" s="116">
        <v>-1147.94</v>
      </c>
      <c r="E183" s="116">
        <v>73562.02</v>
      </c>
      <c r="F183" s="116">
        <v>-177635.93</v>
      </c>
      <c r="G183" s="116">
        <v>-104073.91</v>
      </c>
      <c r="H183" s="116">
        <v>-105221.85</v>
      </c>
      <c r="I183">
        <f t="shared" si="4"/>
        <v>-104.07391</v>
      </c>
      <c r="J183" s="128">
        <f t="shared" si="5"/>
        <v>-104</v>
      </c>
    </row>
    <row r="184" spans="1:10" x14ac:dyDescent="0.25">
      <c r="A184" t="s">
        <v>593</v>
      </c>
      <c r="B184">
        <v>2117</v>
      </c>
      <c r="C184" t="s">
        <v>158</v>
      </c>
      <c r="D184" s="116">
        <v>-1739282.06</v>
      </c>
      <c r="E184" s="116">
        <v>3083139.4</v>
      </c>
      <c r="F184" s="116">
        <v>-3094395.03</v>
      </c>
      <c r="G184" s="116">
        <v>-11255.63</v>
      </c>
      <c r="H184" s="116">
        <v>-1750537.69</v>
      </c>
      <c r="I184">
        <f t="shared" si="4"/>
        <v>-11.25563</v>
      </c>
      <c r="J184" s="128">
        <f t="shared" si="5"/>
        <v>-11</v>
      </c>
    </row>
    <row r="185" spans="1:10" x14ac:dyDescent="0.25">
      <c r="A185" t="s">
        <v>594</v>
      </c>
      <c r="B185">
        <v>561</v>
      </c>
      <c r="C185" t="s">
        <v>159</v>
      </c>
      <c r="D185" s="116">
        <v>-1722080.1</v>
      </c>
      <c r="E185" s="116">
        <v>2719560.11</v>
      </c>
      <c r="F185" s="116">
        <v>-2728744.57</v>
      </c>
      <c r="G185" s="116">
        <v>-9184.4599999999991</v>
      </c>
      <c r="H185" s="116">
        <v>-1731264.56</v>
      </c>
      <c r="I185">
        <f t="shared" si="4"/>
        <v>-9.1844599999999996</v>
      </c>
      <c r="J185" s="128">
        <f t="shared" si="5"/>
        <v>-9</v>
      </c>
    </row>
    <row r="186" spans="1:10" x14ac:dyDescent="0.25">
      <c r="A186" t="s">
        <v>595</v>
      </c>
      <c r="B186" t="s">
        <v>160</v>
      </c>
      <c r="C186" t="s">
        <v>161</v>
      </c>
      <c r="D186" s="116">
        <v>-17201.96</v>
      </c>
      <c r="E186" s="116">
        <v>49613.74</v>
      </c>
      <c r="F186" s="116">
        <v>-51684.91</v>
      </c>
      <c r="G186" s="116">
        <v>-2071.17</v>
      </c>
      <c r="H186" s="116">
        <v>-19273.13</v>
      </c>
      <c r="I186">
        <f t="shared" si="4"/>
        <v>-2.07117</v>
      </c>
      <c r="J186" s="128">
        <f t="shared" si="5"/>
        <v>-2</v>
      </c>
    </row>
    <row r="187" spans="1:10" x14ac:dyDescent="0.25">
      <c r="A187" t="s">
        <v>446</v>
      </c>
      <c r="B187">
        <v>6147</v>
      </c>
      <c r="C187" t="s">
        <v>447</v>
      </c>
      <c r="D187" s="116">
        <v>0</v>
      </c>
      <c r="E187" s="116">
        <v>19749.169999999998</v>
      </c>
      <c r="F187" s="116">
        <v>-19749.169999999998</v>
      </c>
      <c r="G187" s="116">
        <v>0</v>
      </c>
      <c r="H187" s="116">
        <v>0</v>
      </c>
      <c r="I187">
        <f t="shared" si="4"/>
        <v>0</v>
      </c>
      <c r="J187" s="128">
        <f t="shared" si="5"/>
        <v>0</v>
      </c>
    </row>
    <row r="188" spans="1:10" x14ac:dyDescent="0.25">
      <c r="A188" t="s">
        <v>448</v>
      </c>
      <c r="B188">
        <v>6190</v>
      </c>
      <c r="C188" t="s">
        <v>449</v>
      </c>
      <c r="D188" s="116">
        <v>0</v>
      </c>
      <c r="E188" s="116">
        <v>239017.57</v>
      </c>
      <c r="F188" s="116">
        <v>-239017.57</v>
      </c>
      <c r="G188" s="116">
        <v>0</v>
      </c>
      <c r="H188" s="116">
        <v>0</v>
      </c>
      <c r="I188">
        <f t="shared" si="4"/>
        <v>0</v>
      </c>
      <c r="J188" s="128">
        <f t="shared" si="5"/>
        <v>0</v>
      </c>
    </row>
    <row r="189" spans="1:10" x14ac:dyDescent="0.25">
      <c r="A189" t="s">
        <v>450</v>
      </c>
      <c r="B189">
        <v>6175</v>
      </c>
      <c r="C189" t="s">
        <v>451</v>
      </c>
      <c r="D189" s="116">
        <v>0</v>
      </c>
      <c r="E189" s="116">
        <v>4386.67</v>
      </c>
      <c r="F189" s="116">
        <v>-4386.67</v>
      </c>
      <c r="G189" s="116">
        <v>0</v>
      </c>
      <c r="H189" s="116">
        <v>0</v>
      </c>
      <c r="I189">
        <f t="shared" si="4"/>
        <v>0</v>
      </c>
      <c r="J189" s="128">
        <f t="shared" si="5"/>
        <v>0</v>
      </c>
    </row>
    <row r="190" spans="1:10" x14ac:dyDescent="0.25">
      <c r="A190" t="s">
        <v>452</v>
      </c>
      <c r="B190" t="s">
        <v>162</v>
      </c>
      <c r="C190" t="s">
        <v>163</v>
      </c>
      <c r="D190" s="116">
        <v>0</v>
      </c>
      <c r="E190" s="116">
        <v>41126.06</v>
      </c>
      <c r="F190" s="116">
        <v>-41126.06</v>
      </c>
      <c r="G190" s="116">
        <v>0</v>
      </c>
      <c r="H190" s="116">
        <v>0</v>
      </c>
      <c r="I190">
        <f t="shared" si="4"/>
        <v>0</v>
      </c>
      <c r="J190" s="128">
        <f t="shared" si="5"/>
        <v>0</v>
      </c>
    </row>
    <row r="191" spans="1:10" x14ac:dyDescent="0.25">
      <c r="A191" t="s">
        <v>1241</v>
      </c>
      <c r="B191">
        <v>211773</v>
      </c>
      <c r="C191" t="s">
        <v>1242</v>
      </c>
      <c r="D191" s="116">
        <v>0</v>
      </c>
      <c r="E191" s="116">
        <v>6837.23</v>
      </c>
      <c r="F191" s="116">
        <v>-6837.23</v>
      </c>
      <c r="G191" s="116">
        <v>0</v>
      </c>
      <c r="H191" s="116">
        <v>0</v>
      </c>
      <c r="I191">
        <f t="shared" si="4"/>
        <v>0</v>
      </c>
      <c r="J191" s="128">
        <f t="shared" si="5"/>
        <v>0</v>
      </c>
    </row>
    <row r="192" spans="1:10" x14ac:dyDescent="0.25">
      <c r="A192" t="s">
        <v>1243</v>
      </c>
      <c r="B192">
        <v>211774</v>
      </c>
      <c r="C192" t="s">
        <v>1244</v>
      </c>
      <c r="D192" s="116">
        <v>0</v>
      </c>
      <c r="E192" s="116">
        <v>2848.85</v>
      </c>
      <c r="F192" s="116">
        <v>-2848.85</v>
      </c>
      <c r="G192" s="116">
        <v>0</v>
      </c>
      <c r="H192" s="116">
        <v>0</v>
      </c>
      <c r="I192">
        <f t="shared" si="4"/>
        <v>0</v>
      </c>
      <c r="J192" s="128">
        <f t="shared" si="5"/>
        <v>0</v>
      </c>
    </row>
    <row r="193" spans="1:10" x14ac:dyDescent="0.25">
      <c r="A193" t="s">
        <v>596</v>
      </c>
      <c r="B193">
        <v>2118</v>
      </c>
      <c r="C193" t="s">
        <v>453</v>
      </c>
      <c r="D193" s="116">
        <v>-18156086.859999999</v>
      </c>
      <c r="E193" s="116">
        <v>25181871.449999999</v>
      </c>
      <c r="F193" s="116">
        <v>-25396793.23</v>
      </c>
      <c r="G193" s="116">
        <v>-214921.78</v>
      </c>
      <c r="H193" s="116">
        <v>-18371008.640000001</v>
      </c>
      <c r="I193">
        <f t="shared" si="4"/>
        <v>-214.92178000000001</v>
      </c>
      <c r="J193" s="128">
        <f t="shared" si="5"/>
        <v>-215</v>
      </c>
    </row>
    <row r="194" spans="1:10" x14ac:dyDescent="0.25">
      <c r="A194" t="s">
        <v>597</v>
      </c>
      <c r="B194">
        <v>21181</v>
      </c>
      <c r="C194" t="s">
        <v>164</v>
      </c>
      <c r="D194" s="116">
        <v>-4528601.21</v>
      </c>
      <c r="E194" s="116">
        <v>16954139.59</v>
      </c>
      <c r="F194" s="116">
        <v>-15741408.65</v>
      </c>
      <c r="G194" s="116">
        <v>1212730.94</v>
      </c>
      <c r="H194" s="116">
        <v>-3315870.27</v>
      </c>
      <c r="I194">
        <f t="shared" si="4"/>
        <v>1212.7309399999999</v>
      </c>
      <c r="J194" s="128">
        <f t="shared" si="5"/>
        <v>1213</v>
      </c>
    </row>
    <row r="195" spans="1:10" x14ac:dyDescent="0.25">
      <c r="A195" t="s">
        <v>598</v>
      </c>
      <c r="B195">
        <v>21182</v>
      </c>
      <c r="C195" t="s">
        <v>165</v>
      </c>
      <c r="D195" s="116">
        <v>-2344599.13</v>
      </c>
      <c r="E195" s="116">
        <v>3274.18</v>
      </c>
      <c r="F195" s="116">
        <v>-1187843.94</v>
      </c>
      <c r="G195" s="116">
        <v>-1184569.76</v>
      </c>
      <c r="H195" s="116">
        <v>-3529168.89</v>
      </c>
      <c r="I195">
        <f t="shared" si="4"/>
        <v>-1184.5697600000001</v>
      </c>
      <c r="J195" s="128">
        <f t="shared" si="5"/>
        <v>-1185</v>
      </c>
    </row>
    <row r="196" spans="1:10" x14ac:dyDescent="0.25">
      <c r="A196" t="s">
        <v>599</v>
      </c>
      <c r="B196">
        <v>21183</v>
      </c>
      <c r="C196" t="s">
        <v>166</v>
      </c>
      <c r="D196" s="116">
        <v>-6746790.5199999996</v>
      </c>
      <c r="E196" s="116">
        <v>1606281.74</v>
      </c>
      <c r="F196" s="116">
        <v>-1602085.52</v>
      </c>
      <c r="G196" s="116">
        <v>4196.22</v>
      </c>
      <c r="H196" s="116">
        <v>-6742594.2999999998</v>
      </c>
      <c r="I196">
        <f t="shared" si="4"/>
        <v>4.1962200000000003</v>
      </c>
      <c r="J196" s="128">
        <f t="shared" si="5"/>
        <v>4</v>
      </c>
    </row>
    <row r="197" spans="1:10" x14ac:dyDescent="0.25">
      <c r="A197" t="s">
        <v>600</v>
      </c>
      <c r="B197">
        <v>21184</v>
      </c>
      <c r="C197" t="s">
        <v>167</v>
      </c>
      <c r="D197" s="116">
        <v>-1238773.6200000001</v>
      </c>
      <c r="E197" s="116">
        <v>3764322.53</v>
      </c>
      <c r="F197" s="116">
        <v>-3777267</v>
      </c>
      <c r="G197" s="116">
        <v>-12944.47</v>
      </c>
      <c r="H197" s="116">
        <v>-1251718.0900000001</v>
      </c>
      <c r="I197">
        <f t="shared" si="4"/>
        <v>-12.944469999999999</v>
      </c>
      <c r="J197" s="128">
        <f t="shared" si="5"/>
        <v>-13</v>
      </c>
    </row>
    <row r="198" spans="1:10" x14ac:dyDescent="0.25">
      <c r="A198" t="s">
        <v>601</v>
      </c>
      <c r="B198">
        <v>21185</v>
      </c>
      <c r="C198" t="s">
        <v>168</v>
      </c>
      <c r="D198" s="116">
        <v>-504722.98</v>
      </c>
      <c r="E198" s="116">
        <v>1287987.73</v>
      </c>
      <c r="F198" s="116">
        <v>-1180784.07</v>
      </c>
      <c r="G198" s="116">
        <v>107203.66</v>
      </c>
      <c r="H198" s="116">
        <v>-397519.32</v>
      </c>
      <c r="I198">
        <f t="shared" si="4"/>
        <v>107.20366</v>
      </c>
      <c r="J198" s="128">
        <f t="shared" si="5"/>
        <v>107</v>
      </c>
    </row>
    <row r="199" spans="1:10" x14ac:dyDescent="0.25">
      <c r="A199" t="s">
        <v>454</v>
      </c>
      <c r="B199">
        <v>21186</v>
      </c>
      <c r="C199" t="s">
        <v>169</v>
      </c>
      <c r="D199" s="116">
        <v>0</v>
      </c>
      <c r="E199" s="116">
        <v>450</v>
      </c>
      <c r="F199" s="116">
        <v>-450</v>
      </c>
      <c r="G199" s="116">
        <v>0</v>
      </c>
      <c r="H199" s="116">
        <v>0</v>
      </c>
      <c r="I199">
        <f t="shared" si="4"/>
        <v>0</v>
      </c>
      <c r="J199" s="128">
        <f t="shared" si="5"/>
        <v>0</v>
      </c>
    </row>
    <row r="200" spans="1:10" x14ac:dyDescent="0.25">
      <c r="A200" t="s">
        <v>455</v>
      </c>
      <c r="B200">
        <v>21187</v>
      </c>
      <c r="C200" t="s">
        <v>170</v>
      </c>
      <c r="D200" s="116">
        <v>0</v>
      </c>
      <c r="E200" s="116">
        <v>63450.76</v>
      </c>
      <c r="F200" s="116">
        <v>-63450.76</v>
      </c>
      <c r="G200" s="116">
        <v>0</v>
      </c>
      <c r="H200" s="116">
        <v>0</v>
      </c>
      <c r="I200">
        <f t="shared" si="4"/>
        <v>0</v>
      </c>
      <c r="J200" s="128">
        <f t="shared" si="5"/>
        <v>0</v>
      </c>
    </row>
    <row r="201" spans="1:10" x14ac:dyDescent="0.25">
      <c r="A201" t="s">
        <v>456</v>
      </c>
      <c r="B201">
        <v>21188</v>
      </c>
      <c r="C201" t="s">
        <v>457</v>
      </c>
      <c r="D201" s="116">
        <v>0</v>
      </c>
      <c r="E201" s="116">
        <v>10587.58</v>
      </c>
      <c r="F201" s="116">
        <v>-10587.58</v>
      </c>
      <c r="G201" s="116">
        <v>0</v>
      </c>
      <c r="H201" s="116">
        <v>0</v>
      </c>
      <c r="I201">
        <f t="shared" ref="I201:I264" si="6">G201/1000</f>
        <v>0</v>
      </c>
      <c r="J201" s="128">
        <f t="shared" ref="J201:J264" si="7">ROUND(I201,0)</f>
        <v>0</v>
      </c>
    </row>
    <row r="202" spans="1:10" x14ac:dyDescent="0.25">
      <c r="A202" t="s">
        <v>602</v>
      </c>
      <c r="B202">
        <v>21189</v>
      </c>
      <c r="C202" t="s">
        <v>171</v>
      </c>
      <c r="D202" s="116">
        <v>-338771.54</v>
      </c>
      <c r="E202" s="116">
        <v>1018570.98</v>
      </c>
      <c r="F202" s="116">
        <v>-1021861.28</v>
      </c>
      <c r="G202" s="116">
        <v>-3290.3</v>
      </c>
      <c r="H202" s="116">
        <v>-342061.84</v>
      </c>
      <c r="I202">
        <f t="shared" si="6"/>
        <v>-3.2903000000000002</v>
      </c>
      <c r="J202" s="128">
        <f t="shared" si="7"/>
        <v>-3</v>
      </c>
    </row>
    <row r="203" spans="1:10" x14ac:dyDescent="0.25">
      <c r="A203" t="s">
        <v>603</v>
      </c>
      <c r="B203">
        <v>211810</v>
      </c>
      <c r="C203" t="s">
        <v>172</v>
      </c>
      <c r="D203" s="116">
        <v>-489682.86</v>
      </c>
      <c r="E203" s="116">
        <v>687.71</v>
      </c>
      <c r="F203" s="116">
        <v>-248106.53</v>
      </c>
      <c r="G203" s="116">
        <v>-247418.82</v>
      </c>
      <c r="H203" s="116">
        <v>-737101.68</v>
      </c>
      <c r="I203">
        <f t="shared" si="6"/>
        <v>-247.41882000000001</v>
      </c>
      <c r="J203" s="128">
        <f t="shared" si="7"/>
        <v>-247</v>
      </c>
    </row>
    <row r="204" spans="1:10" x14ac:dyDescent="0.25">
      <c r="A204" t="s">
        <v>604</v>
      </c>
      <c r="B204">
        <v>211811</v>
      </c>
      <c r="C204" t="s">
        <v>173</v>
      </c>
      <c r="D204" s="116">
        <v>-854.03</v>
      </c>
      <c r="E204" s="116">
        <v>71.819999999999993</v>
      </c>
      <c r="F204" s="116">
        <v>-94672.98</v>
      </c>
      <c r="G204" s="116">
        <v>-94601.16</v>
      </c>
      <c r="H204" s="116">
        <v>-95455.19</v>
      </c>
      <c r="I204">
        <f t="shared" si="6"/>
        <v>-94.601160000000007</v>
      </c>
      <c r="J204" s="128">
        <f t="shared" si="7"/>
        <v>-95</v>
      </c>
    </row>
    <row r="205" spans="1:10" x14ac:dyDescent="0.25">
      <c r="A205" t="s">
        <v>605</v>
      </c>
      <c r="B205">
        <v>211812</v>
      </c>
      <c r="C205" t="s">
        <v>174</v>
      </c>
      <c r="D205" s="116">
        <v>-1421693.85</v>
      </c>
      <c r="E205" s="116">
        <v>341827.28</v>
      </c>
      <c r="F205" s="116">
        <v>-339095.92</v>
      </c>
      <c r="G205" s="116">
        <v>2731.36</v>
      </c>
      <c r="H205" s="116">
        <v>-1418962.49</v>
      </c>
      <c r="I205">
        <f t="shared" si="6"/>
        <v>2.73136</v>
      </c>
      <c r="J205" s="128">
        <f t="shared" si="7"/>
        <v>3</v>
      </c>
    </row>
    <row r="206" spans="1:10" x14ac:dyDescent="0.25">
      <c r="A206" t="s">
        <v>606</v>
      </c>
      <c r="B206">
        <v>211813</v>
      </c>
      <c r="C206" t="s">
        <v>175</v>
      </c>
      <c r="D206" s="116">
        <v>-541597.12</v>
      </c>
      <c r="E206" s="116">
        <v>130219.55</v>
      </c>
      <c r="F206" s="116">
        <v>-129179</v>
      </c>
      <c r="G206" s="116">
        <v>1040.55</v>
      </c>
      <c r="H206" s="116">
        <v>-540556.56999999995</v>
      </c>
      <c r="I206">
        <f t="shared" si="6"/>
        <v>1.0405499999999999</v>
      </c>
      <c r="J206" s="128">
        <f t="shared" si="7"/>
        <v>1</v>
      </c>
    </row>
    <row r="207" spans="1:10" x14ac:dyDescent="0.25">
      <c r="A207" t="s">
        <v>609</v>
      </c>
      <c r="B207">
        <v>21114</v>
      </c>
      <c r="C207" t="s">
        <v>20</v>
      </c>
      <c r="D207" s="116">
        <v>-25867.81</v>
      </c>
      <c r="E207" s="116">
        <v>77659.929999999993</v>
      </c>
      <c r="F207" s="116">
        <v>-77807.7</v>
      </c>
      <c r="G207" s="116">
        <v>-147.77000000000001</v>
      </c>
      <c r="H207" s="116">
        <v>-26015.58</v>
      </c>
      <c r="I207">
        <f t="shared" si="6"/>
        <v>-0.14777000000000001</v>
      </c>
      <c r="J207" s="128">
        <f t="shared" si="7"/>
        <v>0</v>
      </c>
    </row>
    <row r="208" spans="1:10" x14ac:dyDescent="0.25">
      <c r="A208" t="s">
        <v>610</v>
      </c>
      <c r="B208">
        <v>211145</v>
      </c>
      <c r="C208" t="s">
        <v>176</v>
      </c>
      <c r="D208" s="116">
        <v>-25867.81</v>
      </c>
      <c r="E208" s="116">
        <v>77659.929999999993</v>
      </c>
      <c r="F208" s="116">
        <v>-77807.7</v>
      </c>
      <c r="G208" s="116">
        <v>-147.77000000000001</v>
      </c>
      <c r="H208" s="116">
        <v>-26015.58</v>
      </c>
      <c r="I208">
        <f t="shared" si="6"/>
        <v>-0.14777000000000001</v>
      </c>
      <c r="J208" s="128">
        <f t="shared" si="7"/>
        <v>0</v>
      </c>
    </row>
    <row r="209" spans="1:10" x14ac:dyDescent="0.25">
      <c r="A209" t="s">
        <v>612</v>
      </c>
      <c r="B209">
        <v>21115</v>
      </c>
      <c r="C209" t="s">
        <v>171</v>
      </c>
      <c r="D209" s="116">
        <v>-336660.79</v>
      </c>
      <c r="E209" s="116">
        <v>1013166.54</v>
      </c>
      <c r="F209" s="116">
        <v>-1014650.51</v>
      </c>
      <c r="G209" s="116">
        <v>-1483.97</v>
      </c>
      <c r="H209" s="116">
        <v>-338144.76</v>
      </c>
      <c r="I209">
        <f t="shared" si="6"/>
        <v>-1.48397</v>
      </c>
      <c r="J209" s="128">
        <f t="shared" si="7"/>
        <v>-1</v>
      </c>
    </row>
    <row r="210" spans="1:10" x14ac:dyDescent="0.25">
      <c r="A210" t="s">
        <v>613</v>
      </c>
      <c r="B210">
        <v>211151</v>
      </c>
      <c r="C210" t="s">
        <v>178</v>
      </c>
      <c r="D210" s="116">
        <v>-336660.79</v>
      </c>
      <c r="E210" s="116">
        <v>1013166.54</v>
      </c>
      <c r="F210" s="116">
        <v>-1014650.51</v>
      </c>
      <c r="G210" s="116">
        <v>-1483.97</v>
      </c>
      <c r="H210" s="116">
        <v>-338144.76</v>
      </c>
      <c r="I210">
        <f t="shared" si="6"/>
        <v>-1.48397</v>
      </c>
      <c r="J210" s="128">
        <f t="shared" si="7"/>
        <v>-1</v>
      </c>
    </row>
    <row r="211" spans="1:10" x14ac:dyDescent="0.25">
      <c r="A211" t="s">
        <v>614</v>
      </c>
      <c r="B211">
        <v>22</v>
      </c>
      <c r="C211" t="s">
        <v>179</v>
      </c>
      <c r="D211" s="116">
        <v>-10843606.84</v>
      </c>
      <c r="E211" s="116">
        <v>12446.54</v>
      </c>
      <c r="F211" s="116">
        <v>-700837.97</v>
      </c>
      <c r="G211" s="116">
        <v>-688391.43</v>
      </c>
      <c r="H211" s="116">
        <v>-11531998.27</v>
      </c>
      <c r="I211">
        <f t="shared" si="6"/>
        <v>-688.39143000000001</v>
      </c>
      <c r="J211" s="128">
        <f t="shared" si="7"/>
        <v>-688</v>
      </c>
    </row>
    <row r="212" spans="1:10" x14ac:dyDescent="0.25">
      <c r="A212" t="s">
        <v>615</v>
      </c>
      <c r="B212">
        <v>221</v>
      </c>
      <c r="C212" t="s">
        <v>180</v>
      </c>
      <c r="D212" s="116">
        <v>-10843606.84</v>
      </c>
      <c r="E212" s="116">
        <v>12446.54</v>
      </c>
      <c r="F212" s="116">
        <v>-700837.97</v>
      </c>
      <c r="G212" s="116">
        <v>-688391.43</v>
      </c>
      <c r="H212" s="116">
        <v>-11531998.27</v>
      </c>
      <c r="I212">
        <f t="shared" si="6"/>
        <v>-688.39143000000001</v>
      </c>
      <c r="J212" s="128">
        <f t="shared" si="7"/>
        <v>-688</v>
      </c>
    </row>
    <row r="213" spans="1:10" x14ac:dyDescent="0.25">
      <c r="A213" t="s">
        <v>616</v>
      </c>
      <c r="B213">
        <v>2215</v>
      </c>
      <c r="C213" t="s">
        <v>19</v>
      </c>
      <c r="D213" s="116">
        <v>-10843606.84</v>
      </c>
      <c r="E213" s="116">
        <v>12446.54</v>
      </c>
      <c r="F213" s="116">
        <v>-700837.97</v>
      </c>
      <c r="G213" s="116">
        <v>-688391.43</v>
      </c>
      <c r="H213" s="116">
        <v>-11531998.27</v>
      </c>
      <c r="I213">
        <f t="shared" si="6"/>
        <v>-688.39143000000001</v>
      </c>
      <c r="J213" s="128">
        <f t="shared" si="7"/>
        <v>-688</v>
      </c>
    </row>
    <row r="214" spans="1:10" x14ac:dyDescent="0.25">
      <c r="A214" t="s">
        <v>617</v>
      </c>
      <c r="B214">
        <v>22151</v>
      </c>
      <c r="C214" t="s">
        <v>458</v>
      </c>
      <c r="D214" s="116">
        <v>-4382587.93</v>
      </c>
      <c r="E214" s="116">
        <v>12400</v>
      </c>
      <c r="F214" s="116">
        <v>-248444.53</v>
      </c>
      <c r="G214" s="116">
        <v>-236044.53</v>
      </c>
      <c r="H214" s="116">
        <v>-4618632.46</v>
      </c>
      <c r="I214">
        <f t="shared" si="6"/>
        <v>-236.04453000000001</v>
      </c>
      <c r="J214" s="128">
        <f t="shared" si="7"/>
        <v>-236</v>
      </c>
    </row>
    <row r="215" spans="1:10" x14ac:dyDescent="0.25">
      <c r="A215" t="s">
        <v>618</v>
      </c>
      <c r="B215">
        <v>22152</v>
      </c>
      <c r="C215" t="s">
        <v>181</v>
      </c>
      <c r="D215" s="116">
        <v>-2407.6799999999998</v>
      </c>
      <c r="E215" s="116">
        <v>46.54</v>
      </c>
      <c r="F215" s="116">
        <v>-48.4</v>
      </c>
      <c r="G215" s="116">
        <v>-1.86</v>
      </c>
      <c r="H215" s="116">
        <v>-2409.54</v>
      </c>
      <c r="I215">
        <f t="shared" si="6"/>
        <v>-1.8600000000000001E-3</v>
      </c>
      <c r="J215" s="128">
        <f t="shared" si="7"/>
        <v>0</v>
      </c>
    </row>
    <row r="216" spans="1:10" x14ac:dyDescent="0.25">
      <c r="A216" t="s">
        <v>619</v>
      </c>
      <c r="B216">
        <v>22153</v>
      </c>
      <c r="C216" t="s">
        <v>459</v>
      </c>
      <c r="D216" s="116">
        <v>-6458611.2300000004</v>
      </c>
      <c r="E216" s="116">
        <v>0</v>
      </c>
      <c r="F216" s="116">
        <v>-452345.04</v>
      </c>
      <c r="G216" s="116">
        <v>-452345.04</v>
      </c>
      <c r="H216" s="116">
        <v>-6910956.2699999996</v>
      </c>
      <c r="I216">
        <f t="shared" si="6"/>
        <v>-452.34503999999998</v>
      </c>
      <c r="J216" s="128">
        <f t="shared" si="7"/>
        <v>-452</v>
      </c>
    </row>
    <row r="217" spans="1:10" x14ac:dyDescent="0.25">
      <c r="A217" t="s">
        <v>620</v>
      </c>
      <c r="B217" t="s">
        <v>182</v>
      </c>
      <c r="C217" t="s">
        <v>183</v>
      </c>
      <c r="D217" s="116">
        <v>-27437984.129999999</v>
      </c>
      <c r="E217" s="116">
        <v>812746.65</v>
      </c>
      <c r="F217" s="116">
        <v>-264180.21999999997</v>
      </c>
      <c r="G217" s="116">
        <v>548566.43000000005</v>
      </c>
      <c r="H217" s="116">
        <v>-26889417.699999999</v>
      </c>
      <c r="I217">
        <f t="shared" si="6"/>
        <v>548.56643000000008</v>
      </c>
      <c r="J217" s="128">
        <f t="shared" si="7"/>
        <v>549</v>
      </c>
    </row>
    <row r="218" spans="1:10" x14ac:dyDescent="0.25">
      <c r="A218" t="s">
        <v>621</v>
      </c>
      <c r="B218">
        <v>241</v>
      </c>
      <c r="C218" t="s">
        <v>48</v>
      </c>
      <c r="D218" s="116">
        <v>-31018914.460000001</v>
      </c>
      <c r="E218" s="116">
        <v>0</v>
      </c>
      <c r="F218" s="116">
        <v>0</v>
      </c>
      <c r="G218" s="116">
        <v>0</v>
      </c>
      <c r="H218" s="116">
        <v>-31018914.460000001</v>
      </c>
      <c r="I218">
        <f t="shared" si="6"/>
        <v>0</v>
      </c>
      <c r="J218" s="128">
        <f t="shared" si="7"/>
        <v>0</v>
      </c>
    </row>
    <row r="219" spans="1:10" x14ac:dyDescent="0.25">
      <c r="A219" t="s">
        <v>622</v>
      </c>
      <c r="B219">
        <v>2411</v>
      </c>
      <c r="C219" t="s">
        <v>184</v>
      </c>
      <c r="D219" s="116">
        <v>-31018914.460000001</v>
      </c>
      <c r="E219" s="116">
        <v>0</v>
      </c>
      <c r="F219" s="116">
        <v>0</v>
      </c>
      <c r="G219" s="116">
        <v>0</v>
      </c>
      <c r="H219" s="116">
        <v>-31018914.460000001</v>
      </c>
      <c r="I219">
        <f t="shared" si="6"/>
        <v>0</v>
      </c>
      <c r="J219" s="128">
        <f t="shared" si="7"/>
        <v>0</v>
      </c>
    </row>
    <row r="220" spans="1:10" x14ac:dyDescent="0.25">
      <c r="A220" t="s">
        <v>623</v>
      </c>
      <c r="B220">
        <v>24111</v>
      </c>
      <c r="C220" t="s">
        <v>184</v>
      </c>
      <c r="D220" s="116">
        <v>-31018914.460000001</v>
      </c>
      <c r="E220" s="116">
        <v>0</v>
      </c>
      <c r="F220" s="116">
        <v>0</v>
      </c>
      <c r="G220" s="116">
        <v>0</v>
      </c>
      <c r="H220" s="116">
        <v>-31018914.460000001</v>
      </c>
      <c r="I220">
        <f t="shared" si="6"/>
        <v>0</v>
      </c>
      <c r="J220" s="128">
        <f t="shared" si="7"/>
        <v>0</v>
      </c>
    </row>
    <row r="221" spans="1:10" x14ac:dyDescent="0.25">
      <c r="A221" t="s">
        <v>461</v>
      </c>
      <c r="B221">
        <v>243</v>
      </c>
      <c r="C221" t="s">
        <v>185</v>
      </c>
      <c r="D221" s="116">
        <v>21.68</v>
      </c>
      <c r="E221" s="116">
        <v>0</v>
      </c>
      <c r="F221" s="116">
        <v>-2.68</v>
      </c>
      <c r="G221" s="116">
        <v>-2.68</v>
      </c>
      <c r="H221" s="116">
        <v>19</v>
      </c>
      <c r="I221">
        <f t="shared" si="6"/>
        <v>-2.6800000000000001E-3</v>
      </c>
      <c r="J221" s="128">
        <f t="shared" si="7"/>
        <v>0</v>
      </c>
    </row>
    <row r="222" spans="1:10" x14ac:dyDescent="0.25">
      <c r="A222" t="s">
        <v>462</v>
      </c>
      <c r="B222">
        <v>2431</v>
      </c>
      <c r="C222" t="s">
        <v>186</v>
      </c>
      <c r="D222" s="116">
        <v>21.68</v>
      </c>
      <c r="E222" s="116">
        <v>0</v>
      </c>
      <c r="F222" s="116">
        <v>-2.68</v>
      </c>
      <c r="G222" s="116">
        <v>-2.68</v>
      </c>
      <c r="H222" s="116">
        <v>19</v>
      </c>
      <c r="I222">
        <f t="shared" si="6"/>
        <v>-2.6800000000000001E-3</v>
      </c>
      <c r="J222" s="128">
        <f>ROUND(I222,0)</f>
        <v>0</v>
      </c>
    </row>
    <row r="223" spans="1:10" x14ac:dyDescent="0.25">
      <c r="A223" t="s">
        <v>463</v>
      </c>
      <c r="B223">
        <v>24311</v>
      </c>
      <c r="C223" t="s">
        <v>187</v>
      </c>
      <c r="D223" s="116">
        <v>21.68</v>
      </c>
      <c r="E223" s="116">
        <v>0</v>
      </c>
      <c r="F223" s="116">
        <v>-2.68</v>
      </c>
      <c r="G223" s="116">
        <v>-2.68</v>
      </c>
      <c r="H223" s="116">
        <v>19</v>
      </c>
      <c r="I223">
        <f t="shared" si="6"/>
        <v>-2.6800000000000001E-3</v>
      </c>
      <c r="J223" s="128">
        <f t="shared" si="7"/>
        <v>0</v>
      </c>
    </row>
    <row r="224" spans="1:10" x14ac:dyDescent="0.25">
      <c r="A224" t="s">
        <v>624</v>
      </c>
      <c r="B224">
        <v>246</v>
      </c>
      <c r="C224" t="s">
        <v>188</v>
      </c>
      <c r="D224" s="116">
        <v>3609391.27</v>
      </c>
      <c r="E224" s="116">
        <v>812746.65</v>
      </c>
      <c r="F224" s="116">
        <v>-46287.54</v>
      </c>
      <c r="G224" s="116">
        <v>766459.11</v>
      </c>
      <c r="H224" s="116">
        <v>4375850.38</v>
      </c>
      <c r="I224">
        <f t="shared" si="6"/>
        <v>766.45911000000001</v>
      </c>
      <c r="J224" s="128">
        <f t="shared" si="7"/>
        <v>766</v>
      </c>
    </row>
    <row r="225" spans="1:10" s="144" customFormat="1" x14ac:dyDescent="0.25">
      <c r="A225" t="s">
        <v>625</v>
      </c>
      <c r="B225">
        <v>2462</v>
      </c>
      <c r="C225" t="s">
        <v>464</v>
      </c>
      <c r="D225" s="116">
        <v>5809983.8700000001</v>
      </c>
      <c r="E225" s="116">
        <v>0</v>
      </c>
      <c r="F225" s="116">
        <v>0</v>
      </c>
      <c r="G225" s="116">
        <v>0</v>
      </c>
      <c r="H225" s="116">
        <v>5809983.8700000001</v>
      </c>
      <c r="I225" s="144">
        <f t="shared" si="6"/>
        <v>0</v>
      </c>
      <c r="J225" s="213">
        <f t="shared" si="7"/>
        <v>0</v>
      </c>
    </row>
    <row r="226" spans="1:10" s="144" customFormat="1" x14ac:dyDescent="0.25">
      <c r="A226" t="s">
        <v>626</v>
      </c>
      <c r="B226">
        <v>24622</v>
      </c>
      <c r="C226" t="s">
        <v>465</v>
      </c>
      <c r="D226" s="128">
        <v>5809983.8700000001</v>
      </c>
      <c r="E226" s="128">
        <v>0</v>
      </c>
      <c r="F226" s="128">
        <v>0</v>
      </c>
      <c r="G226" s="128">
        <v>0</v>
      </c>
      <c r="H226" s="128">
        <v>5809983.8700000001</v>
      </c>
      <c r="I226" s="144">
        <f t="shared" si="6"/>
        <v>0</v>
      </c>
      <c r="J226" s="213">
        <f t="shared" si="7"/>
        <v>0</v>
      </c>
    </row>
    <row r="227" spans="1:10" s="144" customFormat="1" x14ac:dyDescent="0.25">
      <c r="A227" t="s">
        <v>627</v>
      </c>
      <c r="B227">
        <v>24699</v>
      </c>
      <c r="C227" t="s">
        <v>26</v>
      </c>
      <c r="D227" s="128">
        <v>-2200592.6</v>
      </c>
      <c r="E227" s="128">
        <v>812746.65</v>
      </c>
      <c r="F227" s="128">
        <v>-46287.54</v>
      </c>
      <c r="G227" s="128">
        <v>766459.11</v>
      </c>
      <c r="H227" s="128">
        <v>-1434133.49</v>
      </c>
      <c r="I227" s="144">
        <f t="shared" si="6"/>
        <v>766.45911000000001</v>
      </c>
      <c r="J227" s="213">
        <f t="shared" si="7"/>
        <v>766</v>
      </c>
    </row>
    <row r="228" spans="1:10" s="144" customFormat="1" x14ac:dyDescent="0.25">
      <c r="A228" t="s">
        <v>628</v>
      </c>
      <c r="B228">
        <v>246991</v>
      </c>
      <c r="C228" t="s">
        <v>26</v>
      </c>
      <c r="D228" s="128">
        <v>-2200592.6</v>
      </c>
      <c r="E228" s="128">
        <v>812746.65</v>
      </c>
      <c r="F228" s="128">
        <v>-46287.54</v>
      </c>
      <c r="G228" s="128">
        <v>766459.11</v>
      </c>
      <c r="H228" s="128">
        <v>-1434133.49</v>
      </c>
      <c r="I228" s="144">
        <f t="shared" si="6"/>
        <v>766.45911000000001</v>
      </c>
      <c r="J228" s="213">
        <f t="shared" si="7"/>
        <v>766</v>
      </c>
    </row>
    <row r="229" spans="1:10" x14ac:dyDescent="0.25">
      <c r="A229" t="s">
        <v>629</v>
      </c>
      <c r="B229">
        <v>247</v>
      </c>
      <c r="C229" t="s">
        <v>460</v>
      </c>
      <c r="D229" s="128">
        <v>-28482.62</v>
      </c>
      <c r="E229" s="128">
        <v>0</v>
      </c>
      <c r="F229" s="128">
        <v>-217890</v>
      </c>
      <c r="G229" s="128">
        <v>-217890</v>
      </c>
      <c r="H229" s="128">
        <v>-246372.62</v>
      </c>
      <c r="I229">
        <f t="shared" si="6"/>
        <v>-217.89</v>
      </c>
      <c r="J229" s="128">
        <f t="shared" si="7"/>
        <v>-218</v>
      </c>
    </row>
    <row r="230" spans="1:10" s="144" customFormat="1" x14ac:dyDescent="0.25">
      <c r="A230" t="s">
        <v>630</v>
      </c>
      <c r="B230">
        <v>2471</v>
      </c>
      <c r="C230" t="s">
        <v>460</v>
      </c>
      <c r="D230" s="128">
        <v>-28482.62</v>
      </c>
      <c r="E230" s="128">
        <v>0</v>
      </c>
      <c r="F230" s="128">
        <v>-217890</v>
      </c>
      <c r="G230" s="128">
        <v>-217890</v>
      </c>
      <c r="H230" s="128">
        <v>-246372.62</v>
      </c>
      <c r="I230" s="144">
        <f t="shared" si="6"/>
        <v>-217.89</v>
      </c>
      <c r="J230" s="213">
        <f t="shared" si="7"/>
        <v>-218</v>
      </c>
    </row>
    <row r="231" spans="1:10" s="144" customFormat="1" x14ac:dyDescent="0.25">
      <c r="A231" t="s">
        <v>631</v>
      </c>
      <c r="B231">
        <v>24711</v>
      </c>
      <c r="C231" t="s">
        <v>460</v>
      </c>
      <c r="D231" s="128">
        <v>-28482.62</v>
      </c>
      <c r="E231" s="128">
        <v>0</v>
      </c>
      <c r="F231" s="128">
        <v>-217890</v>
      </c>
      <c r="G231" s="128">
        <v>-217890</v>
      </c>
      <c r="H231" s="128">
        <v>-246372.62</v>
      </c>
      <c r="I231" s="144">
        <f t="shared" si="6"/>
        <v>-217.89</v>
      </c>
      <c r="J231" s="213">
        <f t="shared" si="7"/>
        <v>-218</v>
      </c>
    </row>
    <row r="232" spans="1:10" s="144" customFormat="1" x14ac:dyDescent="0.25">
      <c r="A232">
        <v>3</v>
      </c>
      <c r="B232">
        <v>3</v>
      </c>
      <c r="C232" t="s">
        <v>56</v>
      </c>
      <c r="D232" s="128">
        <v>-65865984.630000003</v>
      </c>
      <c r="E232" s="128">
        <v>9151.64</v>
      </c>
      <c r="F232" s="128">
        <v>-30207991.850000001</v>
      </c>
      <c r="G232" s="128">
        <v>-30198840.210000001</v>
      </c>
      <c r="H232" s="128">
        <v>-96064824.840000004</v>
      </c>
      <c r="I232" s="144">
        <f t="shared" si="6"/>
        <v>-30198.840210000002</v>
      </c>
      <c r="J232" s="213">
        <f t="shared" si="7"/>
        <v>-30199</v>
      </c>
    </row>
    <row r="233" spans="1:10" x14ac:dyDescent="0.25">
      <c r="A233" t="s">
        <v>632</v>
      </c>
      <c r="B233">
        <v>31</v>
      </c>
      <c r="C233" t="s">
        <v>57</v>
      </c>
      <c r="D233" s="128">
        <v>-63601986.700000003</v>
      </c>
      <c r="E233" s="128">
        <v>0</v>
      </c>
      <c r="F233" s="128">
        <v>-27758753.859999999</v>
      </c>
      <c r="G233" s="128">
        <v>-27758753.859999999</v>
      </c>
      <c r="H233" s="128">
        <v>-91360740.560000002</v>
      </c>
      <c r="I233">
        <f t="shared" si="6"/>
        <v>-27758.753860000001</v>
      </c>
      <c r="J233" s="128">
        <f t="shared" si="7"/>
        <v>-27759</v>
      </c>
    </row>
    <row r="234" spans="1:10" x14ac:dyDescent="0.25">
      <c r="A234" t="s">
        <v>633</v>
      </c>
      <c r="B234">
        <v>311</v>
      </c>
      <c r="C234" t="s">
        <v>189</v>
      </c>
      <c r="D234" s="128">
        <v>-63601986.700000003</v>
      </c>
      <c r="E234" s="128">
        <v>0</v>
      </c>
      <c r="F234" s="128">
        <v>-27758753.859999999</v>
      </c>
      <c r="G234" s="128">
        <v>-27758753.859999999</v>
      </c>
      <c r="H234" s="128">
        <v>-91360740.560000002</v>
      </c>
      <c r="I234">
        <f t="shared" si="6"/>
        <v>-27758.753860000001</v>
      </c>
      <c r="J234" s="128">
        <f t="shared" si="7"/>
        <v>-27759</v>
      </c>
    </row>
    <row r="235" spans="1:10" s="144" customFormat="1" x14ac:dyDescent="0.25">
      <c r="A235" t="s">
        <v>634</v>
      </c>
      <c r="B235">
        <v>3111</v>
      </c>
      <c r="C235" t="s">
        <v>189</v>
      </c>
      <c r="D235" s="128">
        <v>-63601986.700000003</v>
      </c>
      <c r="E235" s="128">
        <v>0</v>
      </c>
      <c r="F235" s="128">
        <v>-27758753.859999999</v>
      </c>
      <c r="G235" s="128">
        <v>-27758753.859999999</v>
      </c>
      <c r="H235" s="128">
        <v>-91360740.560000002</v>
      </c>
      <c r="I235" s="144">
        <f t="shared" si="6"/>
        <v>-27758.753860000001</v>
      </c>
      <c r="J235" s="213">
        <f t="shared" si="7"/>
        <v>-27759</v>
      </c>
    </row>
    <row r="236" spans="1:10" s="144" customFormat="1" x14ac:dyDescent="0.25">
      <c r="A236" t="s">
        <v>635</v>
      </c>
      <c r="B236">
        <v>31111</v>
      </c>
      <c r="C236" t="s">
        <v>42</v>
      </c>
      <c r="D236" s="128">
        <v>-63601986.700000003</v>
      </c>
      <c r="E236" s="128">
        <v>0</v>
      </c>
      <c r="F236" s="128">
        <v>-27758753.859999999</v>
      </c>
      <c r="G236" s="128">
        <v>-27758753.859999999</v>
      </c>
      <c r="H236" s="128">
        <v>-91360740.560000002</v>
      </c>
      <c r="I236" s="144">
        <f t="shared" si="6"/>
        <v>-27758.753860000001</v>
      </c>
      <c r="J236" s="213">
        <f t="shared" si="7"/>
        <v>-27759</v>
      </c>
    </row>
    <row r="237" spans="1:10" x14ac:dyDescent="0.25">
      <c r="A237" t="s">
        <v>636</v>
      </c>
      <c r="B237">
        <v>33</v>
      </c>
      <c r="C237" t="s">
        <v>28</v>
      </c>
      <c r="D237" s="128">
        <v>-2263997.9300000002</v>
      </c>
      <c r="E237" s="128">
        <v>9151.64</v>
      </c>
      <c r="F237" s="128">
        <v>-2449237.9900000002</v>
      </c>
      <c r="G237" s="128">
        <v>-2440086.35</v>
      </c>
      <c r="H237" s="128">
        <v>-4704084.28</v>
      </c>
      <c r="I237">
        <f t="shared" si="6"/>
        <v>-2440.08635</v>
      </c>
      <c r="J237" s="128">
        <f t="shared" si="7"/>
        <v>-2440</v>
      </c>
    </row>
    <row r="238" spans="1:10" x14ac:dyDescent="0.25">
      <c r="A238" t="s">
        <v>637</v>
      </c>
      <c r="B238">
        <v>331</v>
      </c>
      <c r="C238" t="s">
        <v>44</v>
      </c>
      <c r="D238" s="128">
        <v>-297850.75</v>
      </c>
      <c r="E238" s="128">
        <v>7916.35</v>
      </c>
      <c r="F238" s="128">
        <v>-196714.11</v>
      </c>
      <c r="G238" s="128">
        <v>-188797.76</v>
      </c>
      <c r="H238" s="128">
        <v>-486648.51</v>
      </c>
      <c r="I238">
        <f t="shared" si="6"/>
        <v>-188.79776000000001</v>
      </c>
      <c r="J238" s="128">
        <f t="shared" si="7"/>
        <v>-189</v>
      </c>
    </row>
    <row r="239" spans="1:10" s="144" customFormat="1" x14ac:dyDescent="0.25">
      <c r="A239" t="s">
        <v>638</v>
      </c>
      <c r="B239">
        <v>3311</v>
      </c>
      <c r="C239" t="s">
        <v>466</v>
      </c>
      <c r="D239" s="128">
        <v>-297850.75</v>
      </c>
      <c r="E239" s="128">
        <v>7916.35</v>
      </c>
      <c r="F239" s="128">
        <v>-196714.11</v>
      </c>
      <c r="G239" s="128">
        <v>-188797.76</v>
      </c>
      <c r="H239" s="128">
        <v>-486648.51</v>
      </c>
      <c r="I239" s="144">
        <f t="shared" si="6"/>
        <v>-188.79776000000001</v>
      </c>
      <c r="J239" s="213">
        <f t="shared" si="7"/>
        <v>-189</v>
      </c>
    </row>
    <row r="240" spans="1:10" s="144" customFormat="1" x14ac:dyDescent="0.25">
      <c r="A240" t="s">
        <v>639</v>
      </c>
      <c r="B240">
        <v>33113</v>
      </c>
      <c r="C240" t="s">
        <v>190</v>
      </c>
      <c r="D240" s="128">
        <v>-292979.43</v>
      </c>
      <c r="E240" s="128">
        <v>7916.35</v>
      </c>
      <c r="F240" s="128">
        <v>-196302.91</v>
      </c>
      <c r="G240" s="128">
        <v>-188386.56</v>
      </c>
      <c r="H240" s="128">
        <v>-481365.99</v>
      </c>
      <c r="I240" s="144">
        <f t="shared" si="6"/>
        <v>-188.38656</v>
      </c>
      <c r="J240" s="213">
        <f t="shared" si="7"/>
        <v>-188</v>
      </c>
    </row>
    <row r="241" spans="1:10" s="144" customFormat="1" x14ac:dyDescent="0.25">
      <c r="A241" t="s">
        <v>467</v>
      </c>
      <c r="B241">
        <v>33114</v>
      </c>
      <c r="C241" t="s">
        <v>191</v>
      </c>
      <c r="D241" s="128">
        <v>-4871.32</v>
      </c>
      <c r="E241" s="128">
        <v>0</v>
      </c>
      <c r="F241" s="128">
        <v>-411.2</v>
      </c>
      <c r="G241" s="128">
        <v>-411.2</v>
      </c>
      <c r="H241" s="128">
        <v>-5282.52</v>
      </c>
      <c r="I241" s="144">
        <f t="shared" si="6"/>
        <v>-0.41120000000000001</v>
      </c>
      <c r="J241" s="213">
        <f t="shared" si="7"/>
        <v>0</v>
      </c>
    </row>
    <row r="242" spans="1:10" s="144" customFormat="1" x14ac:dyDescent="0.25">
      <c r="A242" t="s">
        <v>640</v>
      </c>
      <c r="B242">
        <v>332</v>
      </c>
      <c r="C242" t="s">
        <v>192</v>
      </c>
      <c r="D242" s="116">
        <v>-1966147.18</v>
      </c>
      <c r="E242" s="116">
        <v>1235.29</v>
      </c>
      <c r="F242" s="116">
        <v>-2240123.88</v>
      </c>
      <c r="G242" s="116">
        <v>-2238888.59</v>
      </c>
      <c r="H242" s="116">
        <v>-4205035.7699999996</v>
      </c>
      <c r="I242" s="144">
        <f t="shared" si="6"/>
        <v>-2238.88859</v>
      </c>
      <c r="J242" s="213">
        <f t="shared" si="7"/>
        <v>-2239</v>
      </c>
    </row>
    <row r="243" spans="1:10" x14ac:dyDescent="0.25">
      <c r="A243" t="s">
        <v>641</v>
      </c>
      <c r="B243">
        <v>3321</v>
      </c>
      <c r="C243" t="s">
        <v>65</v>
      </c>
      <c r="D243" s="116">
        <v>-1966147.18</v>
      </c>
      <c r="E243" s="116">
        <v>1235.29</v>
      </c>
      <c r="F243" s="116">
        <v>-2240123.88</v>
      </c>
      <c r="G243" s="116">
        <v>-2238888.59</v>
      </c>
      <c r="H243" s="116">
        <v>-4205035.7699999996</v>
      </c>
      <c r="I243">
        <f t="shared" si="6"/>
        <v>-2238.88859</v>
      </c>
      <c r="J243" s="128">
        <f t="shared" si="7"/>
        <v>-2239</v>
      </c>
    </row>
    <row r="244" spans="1:10" x14ac:dyDescent="0.25">
      <c r="A244" t="s">
        <v>468</v>
      </c>
      <c r="B244">
        <v>33212</v>
      </c>
      <c r="C244" t="s">
        <v>469</v>
      </c>
      <c r="D244" s="116">
        <v>-1924298.62</v>
      </c>
      <c r="E244" s="116">
        <v>0</v>
      </c>
      <c r="F244" s="116">
        <v>-2237947.63</v>
      </c>
      <c r="G244" s="116">
        <v>-2237947.63</v>
      </c>
      <c r="H244" s="116">
        <v>-4162246.25</v>
      </c>
      <c r="I244">
        <f t="shared" si="6"/>
        <v>-2237.9476299999997</v>
      </c>
      <c r="J244" s="128">
        <f t="shared" si="7"/>
        <v>-2238</v>
      </c>
    </row>
    <row r="245" spans="1:10" x14ac:dyDescent="0.25">
      <c r="A245" t="s">
        <v>642</v>
      </c>
      <c r="B245">
        <v>33213</v>
      </c>
      <c r="C245" t="s">
        <v>195</v>
      </c>
      <c r="D245" s="116">
        <v>-41848.559999999998</v>
      </c>
      <c r="E245" s="116">
        <v>1235.29</v>
      </c>
      <c r="F245" s="116">
        <v>-2176.25</v>
      </c>
      <c r="G245" s="116">
        <v>-940.96</v>
      </c>
      <c r="H245" s="116">
        <v>-42789.52</v>
      </c>
      <c r="I245" s="211">
        <f>G245/1000</f>
        <v>-0.94096000000000002</v>
      </c>
      <c r="J245" s="128">
        <f t="shared" si="7"/>
        <v>-1</v>
      </c>
    </row>
    <row r="246" spans="1:10" x14ac:dyDescent="0.25">
      <c r="A246" t="s">
        <v>643</v>
      </c>
      <c r="B246">
        <v>336</v>
      </c>
      <c r="C246" t="s">
        <v>193</v>
      </c>
      <c r="D246" s="116">
        <v>0</v>
      </c>
      <c r="E246" s="116">
        <v>0</v>
      </c>
      <c r="F246" s="116">
        <v>-12400</v>
      </c>
      <c r="G246" s="116">
        <v>-12400</v>
      </c>
      <c r="H246" s="116">
        <v>-12400</v>
      </c>
      <c r="I246">
        <f t="shared" si="6"/>
        <v>-12.4</v>
      </c>
      <c r="J246" s="128">
        <f t="shared" si="7"/>
        <v>-12</v>
      </c>
    </row>
    <row r="247" spans="1:10" x14ac:dyDescent="0.25">
      <c r="A247" t="s">
        <v>644</v>
      </c>
      <c r="B247">
        <v>3361</v>
      </c>
      <c r="C247" t="s">
        <v>470</v>
      </c>
      <c r="D247" s="116">
        <v>0</v>
      </c>
      <c r="E247" s="116">
        <v>0</v>
      </c>
      <c r="F247" s="116">
        <v>-12400</v>
      </c>
      <c r="G247" s="116">
        <v>-12400</v>
      </c>
      <c r="H247" s="116">
        <v>-12400</v>
      </c>
      <c r="I247">
        <f t="shared" si="6"/>
        <v>-12.4</v>
      </c>
      <c r="J247" s="128">
        <f t="shared" si="7"/>
        <v>-12</v>
      </c>
    </row>
    <row r="248" spans="1:10" x14ac:dyDescent="0.25">
      <c r="A248" t="s">
        <v>1245</v>
      </c>
      <c r="B248">
        <v>33611</v>
      </c>
      <c r="C248" t="s">
        <v>1246</v>
      </c>
      <c r="D248" s="116">
        <v>0</v>
      </c>
      <c r="E248" s="116">
        <v>0</v>
      </c>
      <c r="F248" s="116">
        <v>-12400</v>
      </c>
      <c r="G248" s="116">
        <v>-12400</v>
      </c>
      <c r="H248" s="116">
        <v>-12400</v>
      </c>
      <c r="I248">
        <f t="shared" si="6"/>
        <v>-12.4</v>
      </c>
      <c r="J248" s="128">
        <f t="shared" si="7"/>
        <v>-12</v>
      </c>
    </row>
    <row r="249" spans="1:10" s="144" customFormat="1" x14ac:dyDescent="0.25">
      <c r="A249">
        <v>4</v>
      </c>
      <c r="B249">
        <v>4</v>
      </c>
      <c r="C249" t="s">
        <v>196</v>
      </c>
      <c r="D249" s="116">
        <v>63665392.030000001</v>
      </c>
      <c r="E249" s="116">
        <v>31630210.420000002</v>
      </c>
      <c r="F249" s="116">
        <v>-664911.1</v>
      </c>
      <c r="G249" s="116">
        <v>30965299.32</v>
      </c>
      <c r="H249" s="116">
        <v>94630691.349999994</v>
      </c>
      <c r="I249" s="144">
        <f t="shared" si="6"/>
        <v>30965.299320000002</v>
      </c>
      <c r="J249" s="213">
        <f t="shared" si="7"/>
        <v>30965</v>
      </c>
    </row>
    <row r="250" spans="1:10" s="144" customFormat="1" x14ac:dyDescent="0.25">
      <c r="A250" s="144" t="s">
        <v>645</v>
      </c>
      <c r="B250" s="144">
        <v>41</v>
      </c>
      <c r="C250" s="144" t="s">
        <v>197</v>
      </c>
      <c r="D250" s="208">
        <v>41705367.740000002</v>
      </c>
      <c r="E250" s="208">
        <v>20271373.149999999</v>
      </c>
      <c r="F250" s="208">
        <v>-349189.08</v>
      </c>
      <c r="G250" s="208">
        <v>19922184.07</v>
      </c>
      <c r="H250" s="208">
        <v>61627551.810000002</v>
      </c>
      <c r="I250" s="144">
        <f t="shared" si="6"/>
        <v>19922.184069999999</v>
      </c>
      <c r="J250" s="213">
        <f t="shared" si="7"/>
        <v>19922</v>
      </c>
    </row>
    <row r="251" spans="1:10" s="144" customFormat="1" x14ac:dyDescent="0.25">
      <c r="A251" s="144" t="s">
        <v>646</v>
      </c>
      <c r="B251" s="144">
        <v>411</v>
      </c>
      <c r="C251" s="144" t="s">
        <v>198</v>
      </c>
      <c r="D251" s="208">
        <v>31936618.899999999</v>
      </c>
      <c r="E251" s="208">
        <v>16434064.32</v>
      </c>
      <c r="F251" s="208">
        <v>-330915.34999999998</v>
      </c>
      <c r="G251" s="208">
        <v>16103148.970000001</v>
      </c>
      <c r="H251" s="208">
        <v>48039767.869999997</v>
      </c>
      <c r="I251" s="144">
        <f t="shared" si="6"/>
        <v>16103.14897</v>
      </c>
      <c r="J251" s="213">
        <f t="shared" si="7"/>
        <v>16103</v>
      </c>
    </row>
    <row r="252" spans="1:10" s="144" customFormat="1" x14ac:dyDescent="0.25">
      <c r="A252" s="144" t="s">
        <v>647</v>
      </c>
      <c r="B252" s="144">
        <v>4111</v>
      </c>
      <c r="C252" s="144" t="s">
        <v>31</v>
      </c>
      <c r="D252" s="208">
        <v>22228203.190000001</v>
      </c>
      <c r="E252" s="208">
        <v>11464749.09</v>
      </c>
      <c r="F252" s="208">
        <v>-295372.78999999998</v>
      </c>
      <c r="G252" s="208">
        <v>11169376.300000001</v>
      </c>
      <c r="H252" s="208">
        <v>33397579.489999998</v>
      </c>
      <c r="I252" s="144">
        <f t="shared" si="6"/>
        <v>11169.3763</v>
      </c>
      <c r="J252" s="213">
        <f t="shared" si="7"/>
        <v>11169</v>
      </c>
    </row>
    <row r="253" spans="1:10" x14ac:dyDescent="0.25">
      <c r="A253" t="s">
        <v>648</v>
      </c>
      <c r="B253">
        <v>41111</v>
      </c>
      <c r="C253" t="s">
        <v>199</v>
      </c>
      <c r="D253" s="116">
        <v>18130399.489999998</v>
      </c>
      <c r="E253" s="116">
        <v>9302244.0299999993</v>
      </c>
      <c r="F253" s="116">
        <v>-197754.37</v>
      </c>
      <c r="G253" s="116">
        <v>9104489.6600000001</v>
      </c>
      <c r="H253" s="116">
        <v>27234889.149999999</v>
      </c>
      <c r="I253">
        <f t="shared" si="6"/>
        <v>9104.4896599999993</v>
      </c>
      <c r="J253" s="128">
        <f t="shared" si="7"/>
        <v>9104</v>
      </c>
    </row>
    <row r="254" spans="1:10" x14ac:dyDescent="0.25">
      <c r="A254" t="s">
        <v>649</v>
      </c>
      <c r="B254">
        <v>41117</v>
      </c>
      <c r="C254" t="s">
        <v>472</v>
      </c>
      <c r="D254" s="116">
        <v>2043707.11</v>
      </c>
      <c r="E254" s="116">
        <v>1156795.49</v>
      </c>
      <c r="F254" s="116">
        <v>-97618.42</v>
      </c>
      <c r="G254" s="116">
        <v>1059177.07</v>
      </c>
      <c r="H254" s="116">
        <v>3102884.18</v>
      </c>
      <c r="I254">
        <f t="shared" si="6"/>
        <v>1059.17707</v>
      </c>
      <c r="J254" s="128">
        <f t="shared" si="7"/>
        <v>1059</v>
      </c>
    </row>
    <row r="255" spans="1:10" x14ac:dyDescent="0.25">
      <c r="A255" t="s">
        <v>650</v>
      </c>
      <c r="B255">
        <v>41118</v>
      </c>
      <c r="C255" t="s">
        <v>200</v>
      </c>
      <c r="D255" s="116">
        <v>271458.15999999997</v>
      </c>
      <c r="E255" s="116">
        <v>96312.45</v>
      </c>
      <c r="F255" s="116">
        <v>0</v>
      </c>
      <c r="G255" s="116">
        <v>96312.45</v>
      </c>
      <c r="H255" s="116">
        <v>367770.61</v>
      </c>
      <c r="I255">
        <f t="shared" si="6"/>
        <v>96.312449999999998</v>
      </c>
      <c r="J255" s="128">
        <f t="shared" si="7"/>
        <v>96</v>
      </c>
    </row>
    <row r="256" spans="1:10" s="144" customFormat="1" x14ac:dyDescent="0.25">
      <c r="A256" t="s">
        <v>651</v>
      </c>
      <c r="B256">
        <v>41119</v>
      </c>
      <c r="C256" t="s">
        <v>473</v>
      </c>
      <c r="D256" s="116">
        <v>1699462.98</v>
      </c>
      <c r="E256" s="116">
        <v>852420.41</v>
      </c>
      <c r="F256" s="116">
        <v>0</v>
      </c>
      <c r="G256" s="116">
        <v>852420.41</v>
      </c>
      <c r="H256" s="116">
        <v>2551883.39</v>
      </c>
      <c r="I256" s="144">
        <f t="shared" si="6"/>
        <v>852.42041000000006</v>
      </c>
      <c r="J256" s="213">
        <f t="shared" si="7"/>
        <v>852</v>
      </c>
    </row>
    <row r="257" spans="1:10" x14ac:dyDescent="0.25">
      <c r="A257" t="s">
        <v>475</v>
      </c>
      <c r="B257">
        <v>411111</v>
      </c>
      <c r="C257" t="s">
        <v>474</v>
      </c>
      <c r="D257" s="116">
        <v>0</v>
      </c>
      <c r="E257" s="116">
        <v>33962.03</v>
      </c>
      <c r="F257" s="116">
        <v>0</v>
      </c>
      <c r="G257" s="116">
        <v>33962.03</v>
      </c>
      <c r="H257" s="116">
        <v>33962.03</v>
      </c>
      <c r="I257">
        <f t="shared" si="6"/>
        <v>33.962029999999999</v>
      </c>
      <c r="J257" s="128">
        <f t="shared" si="7"/>
        <v>34</v>
      </c>
    </row>
    <row r="258" spans="1:10" x14ac:dyDescent="0.25">
      <c r="A258" t="s">
        <v>652</v>
      </c>
      <c r="B258">
        <v>411113</v>
      </c>
      <c r="C258" t="s">
        <v>476</v>
      </c>
      <c r="D258" s="116">
        <v>51621.279999999999</v>
      </c>
      <c r="E258" s="116">
        <v>8251.32</v>
      </c>
      <c r="F258" s="116">
        <v>0</v>
      </c>
      <c r="G258" s="116">
        <v>8251.32</v>
      </c>
      <c r="H258" s="116">
        <v>59872.6</v>
      </c>
      <c r="I258">
        <f t="shared" si="6"/>
        <v>8.2513199999999998</v>
      </c>
      <c r="J258" s="128">
        <f t="shared" si="7"/>
        <v>8</v>
      </c>
    </row>
    <row r="259" spans="1:10" x14ac:dyDescent="0.25">
      <c r="A259" t="s">
        <v>1359</v>
      </c>
      <c r="B259">
        <v>411114</v>
      </c>
      <c r="C259" t="s">
        <v>1360</v>
      </c>
      <c r="D259" s="116">
        <v>31554.17</v>
      </c>
      <c r="E259" s="116">
        <v>14763.36</v>
      </c>
      <c r="F259" s="116">
        <v>0</v>
      </c>
      <c r="G259" s="116">
        <v>14763.36</v>
      </c>
      <c r="H259" s="116">
        <v>46317.53</v>
      </c>
      <c r="I259">
        <f t="shared" si="6"/>
        <v>14.76336</v>
      </c>
      <c r="J259" s="128">
        <f t="shared" si="7"/>
        <v>15</v>
      </c>
    </row>
    <row r="260" spans="1:10" x14ac:dyDescent="0.25">
      <c r="A260" t="s">
        <v>653</v>
      </c>
      <c r="B260">
        <v>4112</v>
      </c>
      <c r="C260" t="s">
        <v>32</v>
      </c>
      <c r="D260" s="116">
        <v>6503597.0700000003</v>
      </c>
      <c r="E260" s="116">
        <v>3333436.26</v>
      </c>
      <c r="F260" s="116">
        <v>-30210.43</v>
      </c>
      <c r="G260" s="116">
        <v>3303225.83</v>
      </c>
      <c r="H260" s="116">
        <v>9806822.9000000004</v>
      </c>
      <c r="I260">
        <f t="shared" si="6"/>
        <v>3303.2258299999999</v>
      </c>
      <c r="J260" s="128">
        <f t="shared" si="7"/>
        <v>3303</v>
      </c>
    </row>
    <row r="261" spans="1:10" x14ac:dyDescent="0.25">
      <c r="A261" t="s">
        <v>654</v>
      </c>
      <c r="B261">
        <v>41121</v>
      </c>
      <c r="C261" t="s">
        <v>160</v>
      </c>
      <c r="D261" s="116">
        <v>3929806.73</v>
      </c>
      <c r="E261" s="116">
        <v>1987358.48</v>
      </c>
      <c r="F261" s="116">
        <v>0</v>
      </c>
      <c r="G261" s="116">
        <v>1987358.48</v>
      </c>
      <c r="H261" s="116">
        <v>5917165.21</v>
      </c>
      <c r="I261">
        <f t="shared" si="6"/>
        <v>1987.3584799999999</v>
      </c>
      <c r="J261" s="128">
        <f t="shared" si="7"/>
        <v>1987</v>
      </c>
    </row>
    <row r="262" spans="1:10" x14ac:dyDescent="0.25">
      <c r="A262" t="s">
        <v>655</v>
      </c>
      <c r="B262">
        <v>41122</v>
      </c>
      <c r="C262" t="s">
        <v>70</v>
      </c>
      <c r="D262" s="116">
        <v>1503099.6</v>
      </c>
      <c r="E262" s="116">
        <v>763249.51</v>
      </c>
      <c r="F262" s="116">
        <v>0</v>
      </c>
      <c r="G262" s="116">
        <v>763249.51</v>
      </c>
      <c r="H262" s="116">
        <v>2266349.11</v>
      </c>
      <c r="I262">
        <f t="shared" si="6"/>
        <v>763.24950999999999</v>
      </c>
      <c r="J262" s="128">
        <f t="shared" si="7"/>
        <v>763</v>
      </c>
    </row>
    <row r="263" spans="1:10" x14ac:dyDescent="0.25">
      <c r="A263" t="s">
        <v>656</v>
      </c>
      <c r="B263">
        <v>41124</v>
      </c>
      <c r="C263" t="s">
        <v>201</v>
      </c>
      <c r="D263" s="116">
        <v>356274.34</v>
      </c>
      <c r="E263" s="116">
        <v>179008.3</v>
      </c>
      <c r="F263" s="116">
        <v>-0.13</v>
      </c>
      <c r="G263" s="116">
        <v>179008.17</v>
      </c>
      <c r="H263" s="116">
        <v>535282.51</v>
      </c>
      <c r="I263">
        <f t="shared" si="6"/>
        <v>179.00817000000001</v>
      </c>
      <c r="J263" s="128">
        <f t="shared" si="7"/>
        <v>179</v>
      </c>
    </row>
    <row r="264" spans="1:10" s="144" customFormat="1" x14ac:dyDescent="0.25">
      <c r="A264" t="s">
        <v>657</v>
      </c>
      <c r="B264">
        <v>41125</v>
      </c>
      <c r="C264" t="s">
        <v>202</v>
      </c>
      <c r="D264" s="116">
        <v>418903.46</v>
      </c>
      <c r="E264" s="116">
        <v>242926.83</v>
      </c>
      <c r="F264" s="116">
        <v>-21876.63</v>
      </c>
      <c r="G264" s="116">
        <v>221050.2</v>
      </c>
      <c r="H264" s="116">
        <v>639953.66</v>
      </c>
      <c r="I264" s="144">
        <f t="shared" si="6"/>
        <v>221.05020000000002</v>
      </c>
      <c r="J264" s="213">
        <f t="shared" si="7"/>
        <v>221</v>
      </c>
    </row>
    <row r="265" spans="1:10" x14ac:dyDescent="0.25">
      <c r="A265" t="s">
        <v>658</v>
      </c>
      <c r="B265">
        <v>41126</v>
      </c>
      <c r="C265" t="s">
        <v>203</v>
      </c>
      <c r="D265" s="116">
        <v>159582.19</v>
      </c>
      <c r="E265" s="116">
        <v>92543.43</v>
      </c>
      <c r="F265" s="116">
        <v>-8333.67</v>
      </c>
      <c r="G265" s="116">
        <v>84209.76</v>
      </c>
      <c r="H265" s="116">
        <v>243791.95</v>
      </c>
      <c r="I265">
        <f t="shared" ref="I265:I328" si="8">G265/1000</f>
        <v>84.209759999999989</v>
      </c>
      <c r="J265" s="128">
        <f t="shared" ref="J265:J328" si="9">ROUND(I265,0)</f>
        <v>84</v>
      </c>
    </row>
    <row r="266" spans="1:10" s="144" customFormat="1" x14ac:dyDescent="0.25">
      <c r="A266" t="s">
        <v>659</v>
      </c>
      <c r="B266">
        <v>41127</v>
      </c>
      <c r="C266" t="s">
        <v>204</v>
      </c>
      <c r="D266" s="116">
        <v>135930.75</v>
      </c>
      <c r="E266" s="116">
        <v>68349.710000000006</v>
      </c>
      <c r="F266" s="116">
        <v>0</v>
      </c>
      <c r="G266" s="116">
        <v>68349.710000000006</v>
      </c>
      <c r="H266" s="116">
        <v>204280.46</v>
      </c>
      <c r="I266" s="144">
        <f t="shared" si="8"/>
        <v>68.349710000000002</v>
      </c>
      <c r="J266" s="213">
        <f t="shared" si="9"/>
        <v>68</v>
      </c>
    </row>
    <row r="267" spans="1:10" s="144" customFormat="1" x14ac:dyDescent="0.25">
      <c r="A267" t="s">
        <v>660</v>
      </c>
      <c r="B267">
        <v>4113</v>
      </c>
      <c r="C267" t="s">
        <v>33</v>
      </c>
      <c r="D267" s="116">
        <v>3070382.81</v>
      </c>
      <c r="E267" s="116">
        <v>1635878.97</v>
      </c>
      <c r="F267" s="116">
        <v>-5332.13</v>
      </c>
      <c r="G267" s="116">
        <v>1630546.84</v>
      </c>
      <c r="H267" s="116">
        <v>4700929.6500000004</v>
      </c>
      <c r="I267" s="144">
        <f t="shared" si="8"/>
        <v>1630.54684</v>
      </c>
      <c r="J267" s="213">
        <f t="shared" si="9"/>
        <v>1631</v>
      </c>
    </row>
    <row r="268" spans="1:10" x14ac:dyDescent="0.25">
      <c r="A268" t="s">
        <v>661</v>
      </c>
      <c r="B268">
        <v>41131</v>
      </c>
      <c r="C268" t="s">
        <v>171</v>
      </c>
      <c r="D268" s="116">
        <v>1396676.87</v>
      </c>
      <c r="E268" s="116">
        <v>716179.01</v>
      </c>
      <c r="F268" s="116">
        <v>-303.67</v>
      </c>
      <c r="G268" s="116">
        <v>715875.34</v>
      </c>
      <c r="H268" s="116">
        <v>2112552.21</v>
      </c>
      <c r="I268">
        <f t="shared" si="8"/>
        <v>715.87533999999994</v>
      </c>
      <c r="J268" s="128">
        <f t="shared" si="9"/>
        <v>716</v>
      </c>
    </row>
    <row r="269" spans="1:10" x14ac:dyDescent="0.25">
      <c r="A269" t="s">
        <v>662</v>
      </c>
      <c r="B269">
        <v>41132</v>
      </c>
      <c r="C269" t="s">
        <v>205</v>
      </c>
      <c r="D269" s="116">
        <v>779436.96</v>
      </c>
      <c r="E269" s="116">
        <v>453696.21</v>
      </c>
      <c r="F269" s="116">
        <v>-71.88</v>
      </c>
      <c r="G269" s="116">
        <v>453624.33</v>
      </c>
      <c r="H269" s="116">
        <v>1233061.29</v>
      </c>
      <c r="I269">
        <f t="shared" si="8"/>
        <v>453.62433000000004</v>
      </c>
      <c r="J269" s="128">
        <f t="shared" si="9"/>
        <v>454</v>
      </c>
    </row>
    <row r="270" spans="1:10" x14ac:dyDescent="0.25">
      <c r="A270" t="s">
        <v>477</v>
      </c>
      <c r="B270">
        <v>41133</v>
      </c>
      <c r="C270" t="s">
        <v>478</v>
      </c>
      <c r="D270" s="116">
        <v>0</v>
      </c>
      <c r="E270" s="116">
        <v>4296.58</v>
      </c>
      <c r="F270" s="116">
        <v>-4296.58</v>
      </c>
      <c r="G270" s="116">
        <v>0</v>
      </c>
      <c r="H270" s="116">
        <v>0</v>
      </c>
      <c r="I270">
        <f t="shared" si="8"/>
        <v>0</v>
      </c>
      <c r="J270" s="128">
        <f t="shared" si="9"/>
        <v>0</v>
      </c>
    </row>
    <row r="271" spans="1:10" x14ac:dyDescent="0.25">
      <c r="A271" t="s">
        <v>663</v>
      </c>
      <c r="B271">
        <v>41135</v>
      </c>
      <c r="C271" t="s">
        <v>206</v>
      </c>
      <c r="D271" s="116">
        <v>247396.1</v>
      </c>
      <c r="E271" s="116">
        <v>124778.68</v>
      </c>
      <c r="F271" s="116">
        <v>0</v>
      </c>
      <c r="G271" s="116">
        <v>124778.68</v>
      </c>
      <c r="H271" s="116">
        <v>372174.78</v>
      </c>
      <c r="I271">
        <f t="shared" si="8"/>
        <v>124.77867999999999</v>
      </c>
      <c r="J271" s="128">
        <f t="shared" si="9"/>
        <v>125</v>
      </c>
    </row>
    <row r="272" spans="1:10" x14ac:dyDescent="0.25">
      <c r="A272" t="s">
        <v>664</v>
      </c>
      <c r="B272">
        <v>41136</v>
      </c>
      <c r="C272" t="s">
        <v>479</v>
      </c>
      <c r="D272" s="116">
        <v>635253.32999999996</v>
      </c>
      <c r="E272" s="116">
        <v>329033.87</v>
      </c>
      <c r="F272" s="116">
        <v>0</v>
      </c>
      <c r="G272" s="116">
        <v>329033.87</v>
      </c>
      <c r="H272" s="116">
        <v>964287.2</v>
      </c>
      <c r="I272">
        <f t="shared" si="8"/>
        <v>329.03386999999998</v>
      </c>
      <c r="J272" s="128">
        <f t="shared" si="9"/>
        <v>329</v>
      </c>
    </row>
    <row r="273" spans="1:10" x14ac:dyDescent="0.25">
      <c r="A273" t="s">
        <v>665</v>
      </c>
      <c r="B273">
        <v>411310</v>
      </c>
      <c r="C273" t="s">
        <v>207</v>
      </c>
      <c r="D273" s="116">
        <v>2030</v>
      </c>
      <c r="E273" s="116">
        <v>1650</v>
      </c>
      <c r="F273" s="116">
        <v>-660</v>
      </c>
      <c r="G273" s="116">
        <v>990</v>
      </c>
      <c r="H273" s="116">
        <v>3020</v>
      </c>
      <c r="I273">
        <f t="shared" si="8"/>
        <v>0.99</v>
      </c>
      <c r="J273" s="128">
        <f t="shared" si="9"/>
        <v>1</v>
      </c>
    </row>
    <row r="274" spans="1:10" s="144" customFormat="1" x14ac:dyDescent="0.25">
      <c r="A274" t="s">
        <v>666</v>
      </c>
      <c r="B274">
        <v>411311</v>
      </c>
      <c r="C274" t="s">
        <v>208</v>
      </c>
      <c r="D274" s="116">
        <v>9589.5499999999993</v>
      </c>
      <c r="E274" s="116">
        <v>6244.62</v>
      </c>
      <c r="F274" s="116">
        <v>0</v>
      </c>
      <c r="G274" s="116">
        <v>6244.62</v>
      </c>
      <c r="H274" s="116">
        <v>15834.17</v>
      </c>
      <c r="I274" s="477">
        <f>G274/1000</f>
        <v>6.2446200000000003</v>
      </c>
      <c r="J274" s="213">
        <f>ROUND(I274,0)</f>
        <v>6</v>
      </c>
    </row>
    <row r="275" spans="1:10" s="144" customFormat="1" x14ac:dyDescent="0.25">
      <c r="A275" t="s">
        <v>480</v>
      </c>
      <c r="B275">
        <v>41110</v>
      </c>
      <c r="C275" t="s">
        <v>481</v>
      </c>
      <c r="D275" s="116">
        <v>134435.82999999999</v>
      </c>
      <c r="E275" s="116">
        <v>0</v>
      </c>
      <c r="F275" s="116">
        <v>0</v>
      </c>
      <c r="G275" s="116">
        <v>0</v>
      </c>
      <c r="H275" s="116">
        <v>134435.82999999999</v>
      </c>
      <c r="I275" s="144">
        <f t="shared" si="8"/>
        <v>0</v>
      </c>
      <c r="J275" s="213">
        <f t="shared" si="9"/>
        <v>0</v>
      </c>
    </row>
    <row r="276" spans="1:10" x14ac:dyDescent="0.25">
      <c r="A276" t="s">
        <v>482</v>
      </c>
      <c r="B276">
        <v>411101</v>
      </c>
      <c r="C276" t="s">
        <v>483</v>
      </c>
      <c r="D276" s="116">
        <v>134435.82999999999</v>
      </c>
      <c r="E276" s="116">
        <v>0</v>
      </c>
      <c r="F276" s="116">
        <v>0</v>
      </c>
      <c r="G276" s="116">
        <v>0</v>
      </c>
      <c r="H276" s="116">
        <v>134435.82999999999</v>
      </c>
      <c r="I276">
        <f t="shared" si="8"/>
        <v>0</v>
      </c>
      <c r="J276" s="128">
        <f t="shared" si="9"/>
        <v>0</v>
      </c>
    </row>
    <row r="277" spans="1:10" x14ac:dyDescent="0.25">
      <c r="A277" t="s">
        <v>667</v>
      </c>
      <c r="B277">
        <v>413</v>
      </c>
      <c r="C277" t="s">
        <v>484</v>
      </c>
      <c r="D277" s="116">
        <v>5280906.82</v>
      </c>
      <c r="E277" s="116">
        <v>1249583.6299999999</v>
      </c>
      <c r="F277" s="116">
        <v>0</v>
      </c>
      <c r="G277" s="116">
        <v>1249583.6299999999</v>
      </c>
      <c r="H277" s="116">
        <v>6530490.4500000002</v>
      </c>
      <c r="I277">
        <f t="shared" si="8"/>
        <v>1249.5836299999999</v>
      </c>
      <c r="J277" s="128">
        <f t="shared" si="9"/>
        <v>1250</v>
      </c>
    </row>
    <row r="278" spans="1:10" s="144" customFormat="1" x14ac:dyDescent="0.25">
      <c r="A278" t="s">
        <v>668</v>
      </c>
      <c r="B278">
        <v>4131</v>
      </c>
      <c r="C278" t="s">
        <v>35</v>
      </c>
      <c r="D278" s="116">
        <v>5280906.82</v>
      </c>
      <c r="E278" s="116">
        <v>1249583.6299999999</v>
      </c>
      <c r="F278" s="116">
        <v>0</v>
      </c>
      <c r="G278" s="116">
        <v>1249583.6299999999</v>
      </c>
      <c r="H278" s="116">
        <v>6530490.4500000002</v>
      </c>
      <c r="I278" s="144">
        <f t="shared" si="8"/>
        <v>1249.5836299999999</v>
      </c>
      <c r="J278" s="213">
        <f t="shared" si="9"/>
        <v>1250</v>
      </c>
    </row>
    <row r="279" spans="1:10" s="144" customFormat="1" x14ac:dyDescent="0.25">
      <c r="A279" t="s">
        <v>669</v>
      </c>
      <c r="B279">
        <v>41311</v>
      </c>
      <c r="C279" t="s">
        <v>210</v>
      </c>
      <c r="D279" s="116">
        <v>2900230.71</v>
      </c>
      <c r="E279" s="116">
        <v>292400.01</v>
      </c>
      <c r="F279" s="116">
        <v>0</v>
      </c>
      <c r="G279" s="116">
        <v>292400.01</v>
      </c>
      <c r="H279" s="116">
        <v>3192630.72</v>
      </c>
      <c r="I279" s="144">
        <f t="shared" si="8"/>
        <v>292.40001000000001</v>
      </c>
      <c r="J279" s="213">
        <f t="shared" si="9"/>
        <v>292</v>
      </c>
    </row>
    <row r="280" spans="1:10" x14ac:dyDescent="0.25">
      <c r="A280" t="s">
        <v>670</v>
      </c>
      <c r="B280">
        <v>41312</v>
      </c>
      <c r="C280" t="s">
        <v>485</v>
      </c>
      <c r="D280" s="116">
        <v>686624.37</v>
      </c>
      <c r="E280" s="116">
        <v>216495.94</v>
      </c>
      <c r="F280" s="116">
        <v>0</v>
      </c>
      <c r="G280" s="116">
        <v>216495.94</v>
      </c>
      <c r="H280" s="116">
        <v>903120.31</v>
      </c>
      <c r="I280">
        <f t="shared" si="8"/>
        <v>216.49593999999999</v>
      </c>
      <c r="J280" s="128">
        <f t="shared" si="9"/>
        <v>216</v>
      </c>
    </row>
    <row r="281" spans="1:10" x14ac:dyDescent="0.25">
      <c r="A281" t="s">
        <v>671</v>
      </c>
      <c r="B281">
        <v>41315</v>
      </c>
      <c r="C281" t="s">
        <v>212</v>
      </c>
      <c r="D281" s="116">
        <v>371095.15</v>
      </c>
      <c r="E281" s="116">
        <v>287262.99</v>
      </c>
      <c r="F281" s="116">
        <v>0</v>
      </c>
      <c r="G281" s="116">
        <v>287262.99</v>
      </c>
      <c r="H281" s="116">
        <v>658358.14</v>
      </c>
      <c r="I281">
        <f t="shared" si="8"/>
        <v>287.26299</v>
      </c>
      <c r="J281" s="128">
        <f t="shared" si="9"/>
        <v>287</v>
      </c>
    </row>
    <row r="282" spans="1:10" x14ac:dyDescent="0.25">
      <c r="A282" t="s">
        <v>672</v>
      </c>
      <c r="B282">
        <v>413114</v>
      </c>
      <c r="C282" t="s">
        <v>488</v>
      </c>
      <c r="D282" s="116">
        <v>1114406.29</v>
      </c>
      <c r="E282" s="116">
        <v>333670.98</v>
      </c>
      <c r="F282" s="116">
        <v>0</v>
      </c>
      <c r="G282" s="116">
        <v>333670.98</v>
      </c>
      <c r="H282" s="116">
        <v>1448077.27</v>
      </c>
      <c r="I282">
        <f t="shared" si="8"/>
        <v>333.67097999999999</v>
      </c>
      <c r="J282" s="128">
        <f t="shared" si="9"/>
        <v>334</v>
      </c>
    </row>
    <row r="283" spans="1:10" x14ac:dyDescent="0.25">
      <c r="A283" t="s">
        <v>673</v>
      </c>
      <c r="B283">
        <v>413117</v>
      </c>
      <c r="C283" t="s">
        <v>213</v>
      </c>
      <c r="D283" s="116">
        <v>200362.06</v>
      </c>
      <c r="E283" s="116">
        <v>116133.36</v>
      </c>
      <c r="F283" s="116">
        <v>0</v>
      </c>
      <c r="G283" s="116">
        <v>116133.36</v>
      </c>
      <c r="H283" s="116">
        <v>316495.42</v>
      </c>
      <c r="I283">
        <f t="shared" si="8"/>
        <v>116.13336</v>
      </c>
      <c r="J283" s="128">
        <f t="shared" si="9"/>
        <v>116</v>
      </c>
    </row>
    <row r="284" spans="1:10" x14ac:dyDescent="0.25">
      <c r="A284" t="s">
        <v>674</v>
      </c>
      <c r="B284">
        <v>4131997</v>
      </c>
      <c r="C284" t="s">
        <v>214</v>
      </c>
      <c r="D284" s="116">
        <v>8188.24</v>
      </c>
      <c r="E284" s="116">
        <v>3620.35</v>
      </c>
      <c r="F284" s="116">
        <v>0</v>
      </c>
      <c r="G284" s="116">
        <v>3620.35</v>
      </c>
      <c r="H284" s="116">
        <v>11808.59</v>
      </c>
      <c r="I284">
        <f t="shared" si="8"/>
        <v>3.6203499999999997</v>
      </c>
      <c r="J284" s="128">
        <f t="shared" si="9"/>
        <v>4</v>
      </c>
    </row>
    <row r="285" spans="1:10" x14ac:dyDescent="0.25">
      <c r="A285" t="s">
        <v>675</v>
      </c>
      <c r="B285">
        <v>414</v>
      </c>
      <c r="C285" t="s">
        <v>215</v>
      </c>
      <c r="D285" s="116">
        <v>168663.49</v>
      </c>
      <c r="E285" s="116">
        <v>79702.509999999995</v>
      </c>
      <c r="F285" s="116">
        <v>0</v>
      </c>
      <c r="G285" s="116">
        <v>79702.509999999995</v>
      </c>
      <c r="H285" s="116">
        <v>248366</v>
      </c>
      <c r="I285">
        <f t="shared" si="8"/>
        <v>79.70250999999999</v>
      </c>
      <c r="J285" s="128">
        <f t="shared" si="9"/>
        <v>80</v>
      </c>
    </row>
    <row r="286" spans="1:10" x14ac:dyDescent="0.25">
      <c r="A286" t="s">
        <v>676</v>
      </c>
      <c r="B286">
        <v>4141</v>
      </c>
      <c r="C286" t="s">
        <v>38</v>
      </c>
      <c r="D286" s="116">
        <v>168663.49</v>
      </c>
      <c r="E286" s="116">
        <v>79702.509999999995</v>
      </c>
      <c r="F286" s="116">
        <v>0</v>
      </c>
      <c r="G286" s="116">
        <v>79702.509999999995</v>
      </c>
      <c r="H286" s="116">
        <v>248366</v>
      </c>
      <c r="I286">
        <f t="shared" si="8"/>
        <v>79.70250999999999</v>
      </c>
      <c r="J286" s="128">
        <f t="shared" si="9"/>
        <v>80</v>
      </c>
    </row>
    <row r="287" spans="1:10" x14ac:dyDescent="0.25">
      <c r="A287" t="s">
        <v>677</v>
      </c>
      <c r="B287">
        <v>41412</v>
      </c>
      <c r="C287" t="s">
        <v>216</v>
      </c>
      <c r="D287" s="116">
        <v>156806.01999999999</v>
      </c>
      <c r="E287" s="116">
        <v>79702.509999999995</v>
      </c>
      <c r="F287" s="116">
        <v>0</v>
      </c>
      <c r="G287" s="116">
        <v>79702.509999999995</v>
      </c>
      <c r="H287" s="116">
        <v>236508.53</v>
      </c>
      <c r="I287">
        <f t="shared" si="8"/>
        <v>79.70250999999999</v>
      </c>
      <c r="J287" s="128">
        <f t="shared" si="9"/>
        <v>80</v>
      </c>
    </row>
    <row r="288" spans="1:10" s="144" customFormat="1" x14ac:dyDescent="0.25">
      <c r="A288" t="s">
        <v>678</v>
      </c>
      <c r="B288">
        <v>41418</v>
      </c>
      <c r="C288" t="s">
        <v>217</v>
      </c>
      <c r="D288" s="116">
        <v>11857.47</v>
      </c>
      <c r="E288" s="116">
        <v>0</v>
      </c>
      <c r="F288" s="116">
        <v>0</v>
      </c>
      <c r="G288" s="116">
        <v>0</v>
      </c>
      <c r="H288" s="116">
        <v>11857.47</v>
      </c>
      <c r="I288" s="144">
        <f t="shared" si="8"/>
        <v>0</v>
      </c>
      <c r="J288" s="213">
        <f t="shared" si="9"/>
        <v>0</v>
      </c>
    </row>
    <row r="289" spans="1:10" x14ac:dyDescent="0.25">
      <c r="A289" t="s">
        <v>679</v>
      </c>
      <c r="B289">
        <v>416</v>
      </c>
      <c r="C289" t="s">
        <v>218</v>
      </c>
      <c r="D289" s="116">
        <v>4319178.53</v>
      </c>
      <c r="E289" s="116">
        <v>2508022.69</v>
      </c>
      <c r="F289" s="116">
        <v>-18273.73</v>
      </c>
      <c r="G289" s="116">
        <v>2489748.96</v>
      </c>
      <c r="H289" s="116">
        <v>6808927.4900000002</v>
      </c>
      <c r="I289">
        <f t="shared" si="8"/>
        <v>2489.7489599999999</v>
      </c>
      <c r="J289" s="128">
        <f t="shared" si="9"/>
        <v>2490</v>
      </c>
    </row>
    <row r="290" spans="1:10" x14ac:dyDescent="0.25">
      <c r="A290" t="s">
        <v>680</v>
      </c>
      <c r="B290">
        <v>4161</v>
      </c>
      <c r="C290" t="s">
        <v>491</v>
      </c>
      <c r="D290" s="116">
        <v>2371480.12</v>
      </c>
      <c r="E290" s="116">
        <v>1250983.03</v>
      </c>
      <c r="F290" s="116">
        <v>-995.24</v>
      </c>
      <c r="G290" s="116">
        <v>1249987.79</v>
      </c>
      <c r="H290" s="116">
        <v>3621467.91</v>
      </c>
      <c r="I290">
        <f t="shared" si="8"/>
        <v>1249.9877900000001</v>
      </c>
      <c r="J290" s="128">
        <f t="shared" si="9"/>
        <v>1250</v>
      </c>
    </row>
    <row r="291" spans="1:10" x14ac:dyDescent="0.25">
      <c r="A291" t="s">
        <v>681</v>
      </c>
      <c r="B291">
        <v>41611</v>
      </c>
      <c r="C291" t="s">
        <v>219</v>
      </c>
      <c r="D291" s="116">
        <v>1172767.92</v>
      </c>
      <c r="E291" s="116">
        <v>603969.72</v>
      </c>
      <c r="F291" s="116">
        <v>0</v>
      </c>
      <c r="G291" s="116">
        <v>603969.72</v>
      </c>
      <c r="H291" s="116">
        <v>1776737.64</v>
      </c>
      <c r="I291">
        <f t="shared" si="8"/>
        <v>603.96971999999994</v>
      </c>
      <c r="J291" s="128">
        <f t="shared" si="9"/>
        <v>604</v>
      </c>
    </row>
    <row r="292" spans="1:10" x14ac:dyDescent="0.25">
      <c r="A292" t="s">
        <v>682</v>
      </c>
      <c r="B292">
        <v>41614</v>
      </c>
      <c r="C292" t="s">
        <v>220</v>
      </c>
      <c r="D292" s="116">
        <v>320691.95</v>
      </c>
      <c r="E292" s="116">
        <v>131104.54</v>
      </c>
      <c r="F292" s="116">
        <v>0</v>
      </c>
      <c r="G292" s="116">
        <v>131104.54</v>
      </c>
      <c r="H292" s="116">
        <v>451796.49</v>
      </c>
      <c r="I292">
        <f t="shared" si="8"/>
        <v>131.10454000000001</v>
      </c>
      <c r="J292" s="128">
        <f t="shared" si="9"/>
        <v>131</v>
      </c>
    </row>
    <row r="293" spans="1:10" x14ac:dyDescent="0.25">
      <c r="A293" t="s">
        <v>683</v>
      </c>
      <c r="B293">
        <v>41616</v>
      </c>
      <c r="C293" t="s">
        <v>221</v>
      </c>
      <c r="D293" s="116">
        <v>9272.3799999999992</v>
      </c>
      <c r="E293" s="116">
        <v>5267.4</v>
      </c>
      <c r="F293" s="116">
        <v>-995.24</v>
      </c>
      <c r="G293" s="116">
        <v>4272.16</v>
      </c>
      <c r="H293" s="116">
        <v>13544.54</v>
      </c>
      <c r="I293">
        <f t="shared" si="8"/>
        <v>4.2721599999999995</v>
      </c>
      <c r="J293" s="128">
        <f t="shared" si="9"/>
        <v>4</v>
      </c>
    </row>
    <row r="294" spans="1:10" s="144" customFormat="1" x14ac:dyDescent="0.25">
      <c r="A294" t="s">
        <v>493</v>
      </c>
      <c r="B294">
        <v>416110</v>
      </c>
      <c r="C294" t="s">
        <v>1361</v>
      </c>
      <c r="D294" s="116">
        <v>44.92</v>
      </c>
      <c r="E294" s="116">
        <v>70.92</v>
      </c>
      <c r="F294" s="116">
        <v>0</v>
      </c>
      <c r="G294" s="116">
        <v>70.92</v>
      </c>
      <c r="H294" s="116">
        <v>115.84</v>
      </c>
      <c r="I294" s="144">
        <f t="shared" si="8"/>
        <v>7.0919999999999997E-2</v>
      </c>
      <c r="J294" s="213">
        <f t="shared" si="9"/>
        <v>0</v>
      </c>
    </row>
    <row r="295" spans="1:10" s="144" customFormat="1" x14ac:dyDescent="0.25">
      <c r="A295" t="s">
        <v>684</v>
      </c>
      <c r="B295">
        <v>416112</v>
      </c>
      <c r="C295" t="s">
        <v>494</v>
      </c>
      <c r="D295" s="116">
        <v>2120.2199999999998</v>
      </c>
      <c r="E295" s="116">
        <v>50660.11</v>
      </c>
      <c r="F295" s="116">
        <v>0</v>
      </c>
      <c r="G295" s="116">
        <v>50660.11</v>
      </c>
      <c r="H295" s="116">
        <v>52780.33</v>
      </c>
      <c r="I295" s="144">
        <f t="shared" si="8"/>
        <v>50.660110000000003</v>
      </c>
      <c r="J295" s="213">
        <f t="shared" si="9"/>
        <v>51</v>
      </c>
    </row>
    <row r="296" spans="1:10" s="144" customFormat="1" x14ac:dyDescent="0.25">
      <c r="A296" t="s">
        <v>685</v>
      </c>
      <c r="B296">
        <v>416114</v>
      </c>
      <c r="C296" t="s">
        <v>223</v>
      </c>
      <c r="D296" s="116">
        <v>252322.12</v>
      </c>
      <c r="E296" s="116">
        <v>143809.73000000001</v>
      </c>
      <c r="F296" s="116">
        <v>0</v>
      </c>
      <c r="G296" s="116">
        <v>143809.73000000001</v>
      </c>
      <c r="H296" s="116">
        <v>396131.85</v>
      </c>
      <c r="I296" s="144">
        <f t="shared" si="8"/>
        <v>143.80973</v>
      </c>
      <c r="J296" s="213">
        <f t="shared" si="9"/>
        <v>144</v>
      </c>
    </row>
    <row r="297" spans="1:10" x14ac:dyDescent="0.25">
      <c r="A297" t="s">
        <v>686</v>
      </c>
      <c r="B297">
        <v>416115</v>
      </c>
      <c r="C297" t="s">
        <v>246</v>
      </c>
      <c r="D297" s="116">
        <v>163673.26</v>
      </c>
      <c r="E297" s="116">
        <v>91431.45</v>
      </c>
      <c r="F297" s="116">
        <v>0</v>
      </c>
      <c r="G297" s="116">
        <v>91431.45</v>
      </c>
      <c r="H297" s="116">
        <v>255104.71</v>
      </c>
      <c r="I297">
        <f t="shared" si="8"/>
        <v>91.431449999999998</v>
      </c>
      <c r="J297" s="128">
        <f t="shared" si="9"/>
        <v>91</v>
      </c>
    </row>
    <row r="298" spans="1:10" x14ac:dyDescent="0.25">
      <c r="A298" t="s">
        <v>687</v>
      </c>
      <c r="B298">
        <v>416116</v>
      </c>
      <c r="C298" t="s">
        <v>224</v>
      </c>
      <c r="D298" s="116">
        <v>450587.35</v>
      </c>
      <c r="E298" s="116">
        <v>224669.16</v>
      </c>
      <c r="F298" s="116">
        <v>0</v>
      </c>
      <c r="G298" s="116">
        <v>224669.16</v>
      </c>
      <c r="H298" s="116">
        <v>675256.51</v>
      </c>
      <c r="I298">
        <f t="shared" si="8"/>
        <v>224.66916000000001</v>
      </c>
      <c r="J298" s="128">
        <f t="shared" si="9"/>
        <v>225</v>
      </c>
    </row>
    <row r="299" spans="1:10" x14ac:dyDescent="0.25">
      <c r="A299" t="s">
        <v>688</v>
      </c>
      <c r="B299">
        <v>4162</v>
      </c>
      <c r="C299" t="s">
        <v>225</v>
      </c>
      <c r="D299" s="116">
        <v>1947698.41</v>
      </c>
      <c r="E299" s="116">
        <v>1257039.6599999999</v>
      </c>
      <c r="F299" s="116">
        <v>-17278.490000000002</v>
      </c>
      <c r="G299" s="116">
        <v>1239761.17</v>
      </c>
      <c r="H299" s="116">
        <v>3187459.58</v>
      </c>
      <c r="I299">
        <f t="shared" si="8"/>
        <v>1239.76117</v>
      </c>
      <c r="J299" s="128">
        <f t="shared" si="9"/>
        <v>1240</v>
      </c>
    </row>
    <row r="300" spans="1:10" x14ac:dyDescent="0.25">
      <c r="A300" t="s">
        <v>689</v>
      </c>
      <c r="B300">
        <v>41621</v>
      </c>
      <c r="C300" t="s">
        <v>226</v>
      </c>
      <c r="D300" s="116">
        <v>301261.23</v>
      </c>
      <c r="E300" s="116">
        <v>143643.9</v>
      </c>
      <c r="F300" s="116">
        <v>0</v>
      </c>
      <c r="G300" s="116">
        <v>143643.9</v>
      </c>
      <c r="H300" s="116">
        <v>444905.13</v>
      </c>
      <c r="I300">
        <f t="shared" si="8"/>
        <v>143.6439</v>
      </c>
      <c r="J300" s="128">
        <f t="shared" si="9"/>
        <v>144</v>
      </c>
    </row>
    <row r="301" spans="1:10" x14ac:dyDescent="0.25">
      <c r="A301" t="s">
        <v>1117</v>
      </c>
      <c r="B301">
        <v>41622</v>
      </c>
      <c r="C301" t="s">
        <v>495</v>
      </c>
      <c r="D301" s="116">
        <v>0</v>
      </c>
      <c r="E301" s="116">
        <v>15960.43</v>
      </c>
      <c r="F301" s="116">
        <v>-15960.43</v>
      </c>
      <c r="G301" s="116">
        <v>0</v>
      </c>
      <c r="H301" s="116">
        <v>0</v>
      </c>
      <c r="I301">
        <f t="shared" si="8"/>
        <v>0</v>
      </c>
      <c r="J301" s="128">
        <f t="shared" si="9"/>
        <v>0</v>
      </c>
    </row>
    <row r="302" spans="1:10" x14ac:dyDescent="0.25">
      <c r="A302" t="s">
        <v>690</v>
      </c>
      <c r="B302">
        <v>41624</v>
      </c>
      <c r="C302" t="s">
        <v>496</v>
      </c>
      <c r="D302" s="116">
        <v>425669.49</v>
      </c>
      <c r="E302" s="116">
        <v>345469.94</v>
      </c>
      <c r="F302" s="116">
        <v>0</v>
      </c>
      <c r="G302" s="116">
        <v>345469.94</v>
      </c>
      <c r="H302" s="116">
        <v>771139.43</v>
      </c>
      <c r="I302">
        <f t="shared" si="8"/>
        <v>345.46994000000001</v>
      </c>
      <c r="J302" s="128">
        <f t="shared" si="9"/>
        <v>345</v>
      </c>
    </row>
    <row r="303" spans="1:10" s="144" customFormat="1" x14ac:dyDescent="0.25">
      <c r="A303" t="s">
        <v>691</v>
      </c>
      <c r="B303">
        <v>41626</v>
      </c>
      <c r="C303" t="s">
        <v>227</v>
      </c>
      <c r="D303" s="116">
        <v>143717.41</v>
      </c>
      <c r="E303" s="116">
        <v>73603.600000000006</v>
      </c>
      <c r="F303" s="116">
        <v>-1318.06</v>
      </c>
      <c r="G303" s="116">
        <v>72285.539999999994</v>
      </c>
      <c r="H303" s="116">
        <v>216002.95</v>
      </c>
      <c r="I303" s="144">
        <f t="shared" si="8"/>
        <v>72.285539999999997</v>
      </c>
      <c r="J303" s="213">
        <f t="shared" si="9"/>
        <v>72</v>
      </c>
    </row>
    <row r="304" spans="1:10" x14ac:dyDescent="0.25">
      <c r="A304" t="s">
        <v>692</v>
      </c>
      <c r="B304">
        <v>41627</v>
      </c>
      <c r="C304" t="s">
        <v>497</v>
      </c>
      <c r="D304" s="116">
        <v>874097.96</v>
      </c>
      <c r="E304" s="116">
        <v>581092.75</v>
      </c>
      <c r="F304" s="116">
        <v>0</v>
      </c>
      <c r="G304" s="116">
        <v>581092.75</v>
      </c>
      <c r="H304" s="116">
        <v>1455190.71</v>
      </c>
      <c r="I304">
        <f t="shared" si="8"/>
        <v>581.09275000000002</v>
      </c>
      <c r="J304" s="128">
        <f t="shared" si="9"/>
        <v>581</v>
      </c>
    </row>
    <row r="305" spans="1:10" x14ac:dyDescent="0.25">
      <c r="A305" t="s">
        <v>693</v>
      </c>
      <c r="B305">
        <v>416210</v>
      </c>
      <c r="C305" t="s">
        <v>228</v>
      </c>
      <c r="D305" s="116">
        <v>202952.32000000001</v>
      </c>
      <c r="E305" s="116">
        <v>97269.04</v>
      </c>
      <c r="F305" s="116">
        <v>0</v>
      </c>
      <c r="G305" s="116">
        <v>97269.04</v>
      </c>
      <c r="H305" s="116">
        <v>300221.36</v>
      </c>
      <c r="I305">
        <f t="shared" si="8"/>
        <v>97.26903999999999</v>
      </c>
      <c r="J305" s="128">
        <f t="shared" si="9"/>
        <v>97</v>
      </c>
    </row>
    <row r="306" spans="1:10" x14ac:dyDescent="0.25">
      <c r="A306" t="s">
        <v>694</v>
      </c>
      <c r="B306">
        <v>42</v>
      </c>
      <c r="C306" t="s">
        <v>229</v>
      </c>
      <c r="D306" s="116">
        <v>21960024.289999999</v>
      </c>
      <c r="E306" s="116">
        <v>11358837.27</v>
      </c>
      <c r="F306" s="116">
        <v>-315722.02</v>
      </c>
      <c r="G306" s="116">
        <v>11043115.25</v>
      </c>
      <c r="H306" s="116">
        <v>33003139.539999999</v>
      </c>
      <c r="I306">
        <f t="shared" si="8"/>
        <v>11043.115250000001</v>
      </c>
      <c r="J306" s="128">
        <f t="shared" si="9"/>
        <v>11043</v>
      </c>
    </row>
    <row r="307" spans="1:10" x14ac:dyDescent="0.25">
      <c r="A307" t="s">
        <v>695</v>
      </c>
      <c r="B307">
        <v>421</v>
      </c>
      <c r="C307" t="s">
        <v>230</v>
      </c>
      <c r="D307" s="116">
        <v>12895707.449999999</v>
      </c>
      <c r="E307" s="116">
        <v>6517996.6799999997</v>
      </c>
      <c r="F307" s="116">
        <v>-40132.339999999997</v>
      </c>
      <c r="G307" s="116">
        <v>6477864.3399999999</v>
      </c>
      <c r="H307" s="116">
        <v>19373571.789999999</v>
      </c>
      <c r="I307">
        <f t="shared" si="8"/>
        <v>6477.8643400000001</v>
      </c>
      <c r="J307" s="128">
        <f t="shared" si="9"/>
        <v>6478</v>
      </c>
    </row>
    <row r="308" spans="1:10" x14ac:dyDescent="0.25">
      <c r="A308" t="s">
        <v>696</v>
      </c>
      <c r="B308">
        <v>4211</v>
      </c>
      <c r="C308" t="s">
        <v>31</v>
      </c>
      <c r="D308" s="116">
        <v>8946591.4000000004</v>
      </c>
      <c r="E308" s="116">
        <v>4480740.1500000004</v>
      </c>
      <c r="F308" s="116">
        <v>-20860.849999999999</v>
      </c>
      <c r="G308" s="116">
        <v>4459879.3</v>
      </c>
      <c r="H308" s="116">
        <v>13406470.699999999</v>
      </c>
      <c r="I308">
        <f t="shared" si="8"/>
        <v>4459.8792999999996</v>
      </c>
      <c r="J308" s="128">
        <f t="shared" si="9"/>
        <v>4460</v>
      </c>
    </row>
    <row r="309" spans="1:10" x14ac:dyDescent="0.25">
      <c r="A309" t="s">
        <v>697</v>
      </c>
      <c r="B309">
        <v>42111</v>
      </c>
      <c r="C309" t="s">
        <v>199</v>
      </c>
      <c r="D309" s="116">
        <v>7277539.7000000002</v>
      </c>
      <c r="E309" s="116">
        <v>3642552.3</v>
      </c>
      <c r="F309" s="116">
        <v>-2265.2600000000002</v>
      </c>
      <c r="G309" s="116">
        <v>3640287.04</v>
      </c>
      <c r="H309" s="116">
        <v>10917826.74</v>
      </c>
      <c r="I309">
        <f t="shared" si="8"/>
        <v>3640.2870400000002</v>
      </c>
      <c r="J309" s="128">
        <f t="shared" si="9"/>
        <v>3640</v>
      </c>
    </row>
    <row r="310" spans="1:10" s="144" customFormat="1" x14ac:dyDescent="0.25">
      <c r="A310" t="s">
        <v>698</v>
      </c>
      <c r="B310">
        <v>42117</v>
      </c>
      <c r="C310" t="s">
        <v>472</v>
      </c>
      <c r="D310" s="116">
        <v>847804.32</v>
      </c>
      <c r="E310" s="116">
        <v>445290.03</v>
      </c>
      <c r="F310" s="116">
        <v>-18595.59</v>
      </c>
      <c r="G310" s="116">
        <v>426694.44</v>
      </c>
      <c r="H310" s="116">
        <v>1274498.76</v>
      </c>
      <c r="I310" s="144">
        <f t="shared" si="8"/>
        <v>426.69443999999999</v>
      </c>
      <c r="J310" s="213">
        <f t="shared" si="9"/>
        <v>427</v>
      </c>
    </row>
    <row r="311" spans="1:10" x14ac:dyDescent="0.25">
      <c r="A311" t="s">
        <v>699</v>
      </c>
      <c r="B311">
        <v>42118</v>
      </c>
      <c r="C311" t="s">
        <v>200</v>
      </c>
      <c r="D311" s="116">
        <v>108907.85</v>
      </c>
      <c r="E311" s="116">
        <v>11217.99</v>
      </c>
      <c r="F311" s="116">
        <v>0</v>
      </c>
      <c r="G311" s="116">
        <v>11217.99</v>
      </c>
      <c r="H311" s="116">
        <v>120125.84</v>
      </c>
      <c r="I311">
        <f t="shared" si="8"/>
        <v>11.21799</v>
      </c>
      <c r="J311" s="128">
        <f t="shared" si="9"/>
        <v>11</v>
      </c>
    </row>
    <row r="312" spans="1:10" x14ac:dyDescent="0.25">
      <c r="A312" t="s">
        <v>700</v>
      </c>
      <c r="B312">
        <v>42119</v>
      </c>
      <c r="C312" t="s">
        <v>498</v>
      </c>
      <c r="D312" s="116">
        <v>682050.86</v>
      </c>
      <c r="E312" s="116">
        <v>335423.53000000003</v>
      </c>
      <c r="F312" s="116">
        <v>0</v>
      </c>
      <c r="G312" s="116">
        <v>335423.53000000003</v>
      </c>
      <c r="H312" s="116">
        <v>1017474.39</v>
      </c>
      <c r="I312">
        <f t="shared" si="8"/>
        <v>335.42353000000003</v>
      </c>
      <c r="J312" s="128">
        <f t="shared" si="9"/>
        <v>335</v>
      </c>
    </row>
    <row r="313" spans="1:10" x14ac:dyDescent="0.25">
      <c r="A313" t="s">
        <v>499</v>
      </c>
      <c r="B313">
        <v>421110</v>
      </c>
      <c r="C313" t="s">
        <v>474</v>
      </c>
      <c r="D313" s="116">
        <v>22715.26</v>
      </c>
      <c r="E313" s="116">
        <v>30293.64</v>
      </c>
      <c r="F313" s="116">
        <v>0</v>
      </c>
      <c r="G313" s="116">
        <v>30293.64</v>
      </c>
      <c r="H313" s="116">
        <v>53008.9</v>
      </c>
      <c r="I313">
        <f t="shared" si="8"/>
        <v>30.29364</v>
      </c>
      <c r="J313" s="128">
        <f t="shared" si="9"/>
        <v>30</v>
      </c>
    </row>
    <row r="314" spans="1:10" x14ac:dyDescent="0.25">
      <c r="A314" t="s">
        <v>1247</v>
      </c>
      <c r="B314">
        <v>421112</v>
      </c>
      <c r="C314" t="s">
        <v>476</v>
      </c>
      <c r="D314" s="116">
        <v>7573.41</v>
      </c>
      <c r="E314" s="116">
        <v>15962.66</v>
      </c>
      <c r="F314" s="116">
        <v>0</v>
      </c>
      <c r="G314" s="116">
        <v>15962.66</v>
      </c>
      <c r="H314" s="116">
        <v>23536.07</v>
      </c>
      <c r="I314">
        <f t="shared" si="8"/>
        <v>15.96266</v>
      </c>
      <c r="J314" s="128">
        <f t="shared" si="9"/>
        <v>16</v>
      </c>
    </row>
    <row r="315" spans="1:10" x14ac:dyDescent="0.25">
      <c r="A315" t="s">
        <v>701</v>
      </c>
      <c r="B315">
        <v>4212</v>
      </c>
      <c r="C315" t="s">
        <v>32</v>
      </c>
      <c r="D315" s="116">
        <v>2598910.79</v>
      </c>
      <c r="E315" s="116">
        <v>1323220.74</v>
      </c>
      <c r="F315" s="116">
        <v>-13115.4</v>
      </c>
      <c r="G315" s="116">
        <v>1310105.3400000001</v>
      </c>
      <c r="H315" s="116">
        <v>3909016.13</v>
      </c>
      <c r="I315">
        <f t="shared" si="8"/>
        <v>1310.1053400000001</v>
      </c>
      <c r="J315" s="128">
        <f t="shared" si="9"/>
        <v>1310</v>
      </c>
    </row>
    <row r="316" spans="1:10" x14ac:dyDescent="0.25">
      <c r="A316" t="s">
        <v>702</v>
      </c>
      <c r="B316">
        <v>42121</v>
      </c>
      <c r="C316" t="s">
        <v>160</v>
      </c>
      <c r="D316" s="116">
        <v>1580152.04</v>
      </c>
      <c r="E316" s="116">
        <v>795799.34</v>
      </c>
      <c r="F316" s="116">
        <v>0</v>
      </c>
      <c r="G316" s="116">
        <v>795799.34</v>
      </c>
      <c r="H316" s="116">
        <v>2375951.38</v>
      </c>
      <c r="I316">
        <f t="shared" si="8"/>
        <v>795.79933999999992</v>
      </c>
      <c r="J316" s="128">
        <f t="shared" si="9"/>
        <v>796</v>
      </c>
    </row>
    <row r="317" spans="1:10" x14ac:dyDescent="0.25">
      <c r="A317" t="s">
        <v>703</v>
      </c>
      <c r="B317">
        <v>42122</v>
      </c>
      <c r="C317" t="s">
        <v>70</v>
      </c>
      <c r="D317" s="116">
        <v>604087.03</v>
      </c>
      <c r="E317" s="116">
        <v>299195.39</v>
      </c>
      <c r="F317" s="116">
        <v>0</v>
      </c>
      <c r="G317" s="116">
        <v>299195.39</v>
      </c>
      <c r="H317" s="116">
        <v>903282.42</v>
      </c>
      <c r="I317">
        <f t="shared" si="8"/>
        <v>299.19539000000003</v>
      </c>
      <c r="J317" s="128">
        <f t="shared" si="9"/>
        <v>299</v>
      </c>
    </row>
    <row r="318" spans="1:10" x14ac:dyDescent="0.25">
      <c r="A318" t="s">
        <v>704</v>
      </c>
      <c r="B318">
        <v>42124</v>
      </c>
      <c r="C318" t="s">
        <v>201</v>
      </c>
      <c r="D318" s="116">
        <v>140504.57999999999</v>
      </c>
      <c r="E318" s="116">
        <v>69098.23</v>
      </c>
      <c r="F318" s="116">
        <v>0</v>
      </c>
      <c r="G318" s="116">
        <v>69098.23</v>
      </c>
      <c r="H318" s="116">
        <v>209602.81</v>
      </c>
      <c r="I318">
        <f t="shared" si="8"/>
        <v>69.098230000000001</v>
      </c>
      <c r="J318" s="128">
        <f t="shared" si="9"/>
        <v>69</v>
      </c>
    </row>
    <row r="319" spans="1:10" s="144" customFormat="1" x14ac:dyDescent="0.25">
      <c r="A319" t="s">
        <v>705</v>
      </c>
      <c r="B319">
        <v>42125</v>
      </c>
      <c r="C319" t="s">
        <v>202</v>
      </c>
      <c r="D319" s="116">
        <v>160576.41</v>
      </c>
      <c r="E319" s="116">
        <v>96169.09</v>
      </c>
      <c r="F319" s="116">
        <v>-9496.8700000000008</v>
      </c>
      <c r="G319" s="116">
        <v>86672.22</v>
      </c>
      <c r="H319" s="116">
        <v>247248.63</v>
      </c>
      <c r="I319" s="144">
        <f t="shared" si="8"/>
        <v>86.672219999999996</v>
      </c>
      <c r="J319" s="213">
        <f t="shared" si="9"/>
        <v>87</v>
      </c>
    </row>
    <row r="320" spans="1:10" s="144" customFormat="1" x14ac:dyDescent="0.25">
      <c r="A320" t="s">
        <v>706</v>
      </c>
      <c r="B320">
        <v>42126</v>
      </c>
      <c r="C320" t="s">
        <v>203</v>
      </c>
      <c r="D320" s="116">
        <v>61171.85</v>
      </c>
      <c r="E320" s="116">
        <v>36635.42</v>
      </c>
      <c r="F320" s="116">
        <v>-3617.85</v>
      </c>
      <c r="G320" s="116">
        <v>33017.57</v>
      </c>
      <c r="H320" s="116">
        <v>94189.42</v>
      </c>
      <c r="I320" s="144">
        <f t="shared" si="8"/>
        <v>33.017569999999999</v>
      </c>
      <c r="J320" s="213">
        <f t="shared" si="9"/>
        <v>33</v>
      </c>
    </row>
    <row r="321" spans="1:10" x14ac:dyDescent="0.25">
      <c r="A321" t="s">
        <v>707</v>
      </c>
      <c r="B321">
        <v>42127</v>
      </c>
      <c r="C321" t="s">
        <v>204</v>
      </c>
      <c r="D321" s="116">
        <v>52418.879999999997</v>
      </c>
      <c r="E321" s="116">
        <v>26323.27</v>
      </c>
      <c r="F321" s="116">
        <v>-0.68</v>
      </c>
      <c r="G321" s="116">
        <v>26322.59</v>
      </c>
      <c r="H321" s="116">
        <v>78741.47</v>
      </c>
      <c r="I321">
        <f t="shared" si="8"/>
        <v>26.322590000000002</v>
      </c>
      <c r="J321" s="128">
        <f t="shared" si="9"/>
        <v>26</v>
      </c>
    </row>
    <row r="322" spans="1:10" s="144" customFormat="1" x14ac:dyDescent="0.25">
      <c r="A322" t="s">
        <v>708</v>
      </c>
      <c r="B322">
        <v>4213</v>
      </c>
      <c r="C322" t="s">
        <v>33</v>
      </c>
      <c r="D322" s="116">
        <v>1350205.26</v>
      </c>
      <c r="E322" s="116">
        <v>714035.79</v>
      </c>
      <c r="F322" s="116">
        <v>-6156.09</v>
      </c>
      <c r="G322" s="116">
        <v>707879.7</v>
      </c>
      <c r="H322" s="116">
        <v>2058084.96</v>
      </c>
      <c r="I322" s="144">
        <f t="shared" si="8"/>
        <v>707.87969999999996</v>
      </c>
      <c r="J322" s="213">
        <f t="shared" si="9"/>
        <v>708</v>
      </c>
    </row>
    <row r="323" spans="1:10" s="144" customFormat="1" x14ac:dyDescent="0.25">
      <c r="A323" t="s">
        <v>709</v>
      </c>
      <c r="B323">
        <v>42131</v>
      </c>
      <c r="C323" t="s">
        <v>171</v>
      </c>
      <c r="D323" s="116">
        <v>580638.54</v>
      </c>
      <c r="E323" s="116">
        <v>298471.5</v>
      </c>
      <c r="F323" s="116">
        <v>0</v>
      </c>
      <c r="G323" s="116">
        <v>298471.5</v>
      </c>
      <c r="H323" s="116">
        <v>879110.04</v>
      </c>
      <c r="I323" s="144">
        <f t="shared" si="8"/>
        <v>298.47149999999999</v>
      </c>
      <c r="J323" s="213">
        <f t="shared" si="9"/>
        <v>298</v>
      </c>
    </row>
    <row r="324" spans="1:10" x14ac:dyDescent="0.25">
      <c r="A324" t="s">
        <v>710</v>
      </c>
      <c r="B324">
        <v>42132</v>
      </c>
      <c r="C324" t="s">
        <v>205</v>
      </c>
      <c r="D324" s="116">
        <v>357713.39</v>
      </c>
      <c r="E324" s="116">
        <v>208629.19</v>
      </c>
      <c r="F324" s="116">
        <v>-467.19</v>
      </c>
      <c r="G324" s="116">
        <v>208162</v>
      </c>
      <c r="H324" s="116">
        <v>565875.39</v>
      </c>
      <c r="I324">
        <f t="shared" si="8"/>
        <v>208.16200000000001</v>
      </c>
      <c r="J324" s="128">
        <f t="shared" si="9"/>
        <v>208</v>
      </c>
    </row>
    <row r="325" spans="1:10" x14ac:dyDescent="0.25">
      <c r="A325" t="s">
        <v>500</v>
      </c>
      <c r="B325">
        <v>42133</v>
      </c>
      <c r="C325" t="s">
        <v>478</v>
      </c>
      <c r="D325" s="116">
        <v>7934.17</v>
      </c>
      <c r="E325" s="116">
        <v>10411.219999999999</v>
      </c>
      <c r="F325" s="116">
        <v>-4807.28</v>
      </c>
      <c r="G325" s="116">
        <v>5603.94</v>
      </c>
      <c r="H325" s="116">
        <v>13538.11</v>
      </c>
      <c r="I325">
        <f t="shared" si="8"/>
        <v>5.6039399999999997</v>
      </c>
      <c r="J325" s="128">
        <f t="shared" si="9"/>
        <v>6</v>
      </c>
    </row>
    <row r="326" spans="1:10" x14ac:dyDescent="0.25">
      <c r="A326" t="s">
        <v>711</v>
      </c>
      <c r="B326">
        <v>42134</v>
      </c>
      <c r="C326" t="s">
        <v>231</v>
      </c>
      <c r="D326" s="116">
        <v>23400</v>
      </c>
      <c r="E326" s="116">
        <v>11700</v>
      </c>
      <c r="F326" s="116">
        <v>0</v>
      </c>
      <c r="G326" s="116">
        <v>11700</v>
      </c>
      <c r="H326" s="116">
        <v>35100</v>
      </c>
      <c r="I326">
        <f t="shared" si="8"/>
        <v>11.7</v>
      </c>
      <c r="J326" s="128">
        <f t="shared" si="9"/>
        <v>12</v>
      </c>
    </row>
    <row r="327" spans="1:10" x14ac:dyDescent="0.25">
      <c r="A327" t="s">
        <v>712</v>
      </c>
      <c r="B327">
        <v>42135</v>
      </c>
      <c r="C327" t="s">
        <v>206</v>
      </c>
      <c r="D327" s="116">
        <v>79147.25</v>
      </c>
      <c r="E327" s="116">
        <v>39291.22</v>
      </c>
      <c r="F327" s="116">
        <v>0</v>
      </c>
      <c r="G327" s="116">
        <v>39291.22</v>
      </c>
      <c r="H327" s="116">
        <v>118438.47</v>
      </c>
      <c r="I327">
        <f t="shared" si="8"/>
        <v>39.291220000000003</v>
      </c>
      <c r="J327" s="128">
        <f t="shared" si="9"/>
        <v>39</v>
      </c>
    </row>
    <row r="328" spans="1:10" x14ac:dyDescent="0.25">
      <c r="A328" t="s">
        <v>713</v>
      </c>
      <c r="B328">
        <v>42136</v>
      </c>
      <c r="C328" t="s">
        <v>479</v>
      </c>
      <c r="D328" s="116">
        <v>239058.23</v>
      </c>
      <c r="E328" s="116">
        <v>119432.47</v>
      </c>
      <c r="F328" s="116">
        <v>-352.62</v>
      </c>
      <c r="G328" s="116">
        <v>119079.85</v>
      </c>
      <c r="H328" s="116">
        <v>358138.08</v>
      </c>
      <c r="I328">
        <f t="shared" si="8"/>
        <v>119.07985000000001</v>
      </c>
      <c r="J328" s="128">
        <f t="shared" si="9"/>
        <v>119</v>
      </c>
    </row>
    <row r="329" spans="1:10" x14ac:dyDescent="0.25">
      <c r="A329" t="s">
        <v>714</v>
      </c>
      <c r="B329">
        <v>421310</v>
      </c>
      <c r="C329" t="s">
        <v>207</v>
      </c>
      <c r="D329" s="116">
        <v>3751</v>
      </c>
      <c r="E329" s="116">
        <v>2400</v>
      </c>
      <c r="F329" s="116">
        <v>-529</v>
      </c>
      <c r="G329" s="116">
        <v>1871</v>
      </c>
      <c r="H329" s="116">
        <v>5622</v>
      </c>
      <c r="I329">
        <f t="shared" ref="I329:I392" si="10">G329/1000</f>
        <v>1.871</v>
      </c>
      <c r="J329" s="128">
        <f t="shared" ref="J329:J392" si="11">ROUND(I329,0)</f>
        <v>2</v>
      </c>
    </row>
    <row r="330" spans="1:10" x14ac:dyDescent="0.25">
      <c r="A330" t="s">
        <v>715</v>
      </c>
      <c r="B330">
        <v>421311</v>
      </c>
      <c r="C330" t="s">
        <v>208</v>
      </c>
      <c r="D330" s="116">
        <v>58562.68</v>
      </c>
      <c r="E330" s="116">
        <v>23700.19</v>
      </c>
      <c r="F330" s="116">
        <v>0</v>
      </c>
      <c r="G330" s="116">
        <v>23700.19</v>
      </c>
      <c r="H330" s="116">
        <v>82262.87</v>
      </c>
      <c r="I330">
        <f t="shared" si="10"/>
        <v>23.700189999999999</v>
      </c>
      <c r="J330" s="128">
        <f t="shared" si="11"/>
        <v>24</v>
      </c>
    </row>
    <row r="331" spans="1:10" x14ac:dyDescent="0.25">
      <c r="A331" t="s">
        <v>716</v>
      </c>
      <c r="B331">
        <v>422</v>
      </c>
      <c r="C331" t="s">
        <v>232</v>
      </c>
      <c r="D331" s="116">
        <v>16249</v>
      </c>
      <c r="E331" s="116">
        <v>6671.5</v>
      </c>
      <c r="F331" s="116">
        <v>0</v>
      </c>
      <c r="G331" s="116">
        <v>6671.5</v>
      </c>
      <c r="H331" s="116">
        <v>22920.5</v>
      </c>
      <c r="I331">
        <f t="shared" si="10"/>
        <v>6.6715</v>
      </c>
      <c r="J331" s="128">
        <f t="shared" si="11"/>
        <v>7</v>
      </c>
    </row>
    <row r="332" spans="1:10" x14ac:dyDescent="0.25">
      <c r="A332" t="s">
        <v>717</v>
      </c>
      <c r="B332">
        <v>4221</v>
      </c>
      <c r="C332" t="s">
        <v>233</v>
      </c>
      <c r="D332" s="116">
        <v>16249</v>
      </c>
      <c r="E332" s="116">
        <v>6671.5</v>
      </c>
      <c r="F332" s="116">
        <v>0</v>
      </c>
      <c r="G332" s="116">
        <v>6671.5</v>
      </c>
      <c r="H332" s="116">
        <v>22920.5</v>
      </c>
      <c r="I332">
        <f t="shared" si="10"/>
        <v>6.6715</v>
      </c>
      <c r="J332" s="128">
        <f t="shared" si="11"/>
        <v>7</v>
      </c>
    </row>
    <row r="333" spans="1:10" x14ac:dyDescent="0.25">
      <c r="A333" t="s">
        <v>718</v>
      </c>
      <c r="B333">
        <v>42211</v>
      </c>
      <c r="C333" t="s">
        <v>209</v>
      </c>
      <c r="D333" s="116">
        <v>16249</v>
      </c>
      <c r="E333" s="116">
        <v>6671.5</v>
      </c>
      <c r="F333" s="116">
        <v>0</v>
      </c>
      <c r="G333" s="116">
        <v>6671.5</v>
      </c>
      <c r="H333" s="116">
        <v>22920.5</v>
      </c>
      <c r="I333">
        <f t="shared" si="10"/>
        <v>6.6715</v>
      </c>
      <c r="J333" s="128">
        <f t="shared" si="11"/>
        <v>7</v>
      </c>
    </row>
    <row r="334" spans="1:10" x14ac:dyDescent="0.25">
      <c r="A334" t="s">
        <v>719</v>
      </c>
      <c r="B334">
        <v>423</v>
      </c>
      <c r="C334" t="s">
        <v>234</v>
      </c>
      <c r="D334" s="116">
        <v>2656953</v>
      </c>
      <c r="E334" s="116">
        <v>1602868.55</v>
      </c>
      <c r="F334" s="116">
        <v>-10725</v>
      </c>
      <c r="G334" s="116">
        <v>1592143.55</v>
      </c>
      <c r="H334" s="116">
        <v>4249096.55</v>
      </c>
      <c r="I334">
        <f t="shared" si="10"/>
        <v>1592.14355</v>
      </c>
      <c r="J334" s="128">
        <f t="shared" si="11"/>
        <v>1592</v>
      </c>
    </row>
    <row r="335" spans="1:10" x14ac:dyDescent="0.25">
      <c r="A335" t="s">
        <v>720</v>
      </c>
      <c r="B335">
        <v>4231</v>
      </c>
      <c r="C335" t="s">
        <v>234</v>
      </c>
      <c r="D335" s="116">
        <v>2656953</v>
      </c>
      <c r="E335" s="116">
        <v>1602868.55</v>
      </c>
      <c r="F335" s="116">
        <v>-10725</v>
      </c>
      <c r="G335" s="116">
        <v>1592143.55</v>
      </c>
      <c r="H335" s="116">
        <v>4249096.55</v>
      </c>
      <c r="I335">
        <f t="shared" si="10"/>
        <v>1592.14355</v>
      </c>
      <c r="J335" s="128">
        <f t="shared" si="11"/>
        <v>1592</v>
      </c>
    </row>
    <row r="336" spans="1:10" s="144" customFormat="1" x14ac:dyDescent="0.25">
      <c r="A336" t="s">
        <v>721</v>
      </c>
      <c r="B336">
        <v>42311</v>
      </c>
      <c r="C336" t="s">
        <v>210</v>
      </c>
      <c r="D336" s="116">
        <v>169441.6</v>
      </c>
      <c r="E336" s="116">
        <v>165000</v>
      </c>
      <c r="F336" s="116">
        <v>0</v>
      </c>
      <c r="G336" s="116">
        <v>165000</v>
      </c>
      <c r="H336" s="116">
        <v>334441.59999999998</v>
      </c>
      <c r="I336" s="144">
        <f t="shared" si="10"/>
        <v>165</v>
      </c>
      <c r="J336" s="213">
        <f t="shared" si="11"/>
        <v>165</v>
      </c>
    </row>
    <row r="337" spans="1:10" s="144" customFormat="1" x14ac:dyDescent="0.25">
      <c r="A337" t="s">
        <v>722</v>
      </c>
      <c r="B337">
        <v>42312</v>
      </c>
      <c r="C337" t="s">
        <v>485</v>
      </c>
      <c r="D337" s="116">
        <v>752822.08</v>
      </c>
      <c r="E337" s="116">
        <v>460906.12</v>
      </c>
      <c r="F337" s="116">
        <v>0</v>
      </c>
      <c r="G337" s="116">
        <v>460906.12</v>
      </c>
      <c r="H337" s="116">
        <v>1213728.2</v>
      </c>
      <c r="I337" s="144">
        <f t="shared" si="10"/>
        <v>460.90611999999999</v>
      </c>
      <c r="J337" s="213">
        <f t="shared" si="11"/>
        <v>461</v>
      </c>
    </row>
    <row r="338" spans="1:10" x14ac:dyDescent="0.25">
      <c r="A338" t="s">
        <v>723</v>
      </c>
      <c r="B338">
        <v>42313</v>
      </c>
      <c r="C338" t="s">
        <v>211</v>
      </c>
      <c r="D338" s="116">
        <v>160065.35999999999</v>
      </c>
      <c r="E338" s="116">
        <v>77807.7</v>
      </c>
      <c r="F338" s="116">
        <v>0</v>
      </c>
      <c r="G338" s="116">
        <v>77807.7</v>
      </c>
      <c r="H338" s="116">
        <v>237873.06</v>
      </c>
      <c r="I338">
        <f t="shared" si="10"/>
        <v>77.807699999999997</v>
      </c>
      <c r="J338" s="128">
        <f t="shared" si="11"/>
        <v>78</v>
      </c>
    </row>
    <row r="339" spans="1:10" x14ac:dyDescent="0.25">
      <c r="A339" t="s">
        <v>724</v>
      </c>
      <c r="B339">
        <v>42315</v>
      </c>
      <c r="C339" t="s">
        <v>212</v>
      </c>
      <c r="D339" s="116">
        <v>270597.23</v>
      </c>
      <c r="E339" s="116">
        <v>112433.19</v>
      </c>
      <c r="F339" s="116">
        <v>-10725</v>
      </c>
      <c r="G339" s="116">
        <v>101708.19</v>
      </c>
      <c r="H339" s="116">
        <v>372305.42</v>
      </c>
      <c r="I339">
        <f t="shared" si="10"/>
        <v>101.70819</v>
      </c>
      <c r="J339" s="128">
        <f t="shared" si="11"/>
        <v>102</v>
      </c>
    </row>
    <row r="340" spans="1:10" x14ac:dyDescent="0.25">
      <c r="A340" t="s">
        <v>725</v>
      </c>
      <c r="B340">
        <v>42316</v>
      </c>
      <c r="C340" t="s">
        <v>486</v>
      </c>
      <c r="D340" s="116">
        <v>23556</v>
      </c>
      <c r="E340" s="116">
        <v>0</v>
      </c>
      <c r="F340" s="116">
        <v>0</v>
      </c>
      <c r="G340" s="116">
        <v>0</v>
      </c>
      <c r="H340" s="116">
        <v>23556</v>
      </c>
      <c r="I340">
        <f t="shared" si="10"/>
        <v>0</v>
      </c>
      <c r="J340" s="128">
        <f t="shared" si="11"/>
        <v>0</v>
      </c>
    </row>
    <row r="341" spans="1:10" x14ac:dyDescent="0.25">
      <c r="A341" t="s">
        <v>726</v>
      </c>
      <c r="B341">
        <v>42317</v>
      </c>
      <c r="C341" t="s">
        <v>501</v>
      </c>
      <c r="D341" s="116">
        <v>108465.15</v>
      </c>
      <c r="E341" s="116">
        <v>100025.31</v>
      </c>
      <c r="F341" s="116">
        <v>0</v>
      </c>
      <c r="G341" s="116">
        <v>100025.31</v>
      </c>
      <c r="H341" s="116">
        <v>208490.46</v>
      </c>
      <c r="I341">
        <f t="shared" si="10"/>
        <v>100.02531</v>
      </c>
      <c r="J341" s="128">
        <f t="shared" si="11"/>
        <v>100</v>
      </c>
    </row>
    <row r="342" spans="1:10" s="144" customFormat="1" x14ac:dyDescent="0.25">
      <c r="A342" t="s">
        <v>727</v>
      </c>
      <c r="B342">
        <v>42318</v>
      </c>
      <c r="C342" t="s">
        <v>235</v>
      </c>
      <c r="D342" s="116">
        <v>105911.23</v>
      </c>
      <c r="E342" s="116">
        <v>54331.58</v>
      </c>
      <c r="F342" s="116">
        <v>0</v>
      </c>
      <c r="G342" s="116">
        <v>54331.58</v>
      </c>
      <c r="H342" s="116">
        <v>160242.81</v>
      </c>
      <c r="I342" s="144">
        <f t="shared" si="10"/>
        <v>54.331580000000002</v>
      </c>
      <c r="J342" s="213">
        <f t="shared" si="11"/>
        <v>54</v>
      </c>
    </row>
    <row r="343" spans="1:10" s="144" customFormat="1" x14ac:dyDescent="0.25">
      <c r="A343" t="s">
        <v>502</v>
      </c>
      <c r="B343">
        <v>423113</v>
      </c>
      <c r="C343" t="s">
        <v>487</v>
      </c>
      <c r="D343" s="116">
        <v>112962.57</v>
      </c>
      <c r="E343" s="116">
        <v>53429.279999999999</v>
      </c>
      <c r="F343" s="116">
        <v>0</v>
      </c>
      <c r="G343" s="116">
        <v>53429.279999999999</v>
      </c>
      <c r="H343" s="116">
        <v>166391.85</v>
      </c>
      <c r="I343" s="144">
        <f t="shared" si="10"/>
        <v>53.429279999999999</v>
      </c>
      <c r="J343" s="213">
        <f t="shared" si="11"/>
        <v>53</v>
      </c>
    </row>
    <row r="344" spans="1:10" x14ac:dyDescent="0.25">
      <c r="A344" t="s">
        <v>728</v>
      </c>
      <c r="B344">
        <v>423114</v>
      </c>
      <c r="C344" t="s">
        <v>503</v>
      </c>
      <c r="D344" s="116">
        <v>740961.56</v>
      </c>
      <c r="E344" s="116">
        <v>463052.58</v>
      </c>
      <c r="F344" s="116">
        <v>0</v>
      </c>
      <c r="G344" s="116">
        <v>463052.58</v>
      </c>
      <c r="H344" s="116">
        <v>1204014.1399999999</v>
      </c>
      <c r="I344">
        <f t="shared" si="10"/>
        <v>463.05258000000003</v>
      </c>
      <c r="J344" s="128">
        <f t="shared" si="11"/>
        <v>463</v>
      </c>
    </row>
    <row r="345" spans="1:10" s="144" customFormat="1" x14ac:dyDescent="0.25">
      <c r="A345" t="s">
        <v>1248</v>
      </c>
      <c r="B345">
        <v>423115</v>
      </c>
      <c r="C345" t="s">
        <v>1249</v>
      </c>
      <c r="D345" s="116">
        <v>27000</v>
      </c>
      <c r="E345" s="116">
        <v>9000</v>
      </c>
      <c r="F345" s="116">
        <v>0</v>
      </c>
      <c r="G345" s="116">
        <v>9000</v>
      </c>
      <c r="H345" s="116">
        <v>36000</v>
      </c>
      <c r="I345" s="144">
        <f t="shared" si="10"/>
        <v>9</v>
      </c>
      <c r="J345" s="213">
        <f t="shared" si="11"/>
        <v>9</v>
      </c>
    </row>
    <row r="346" spans="1:10" x14ac:dyDescent="0.25">
      <c r="A346" t="s">
        <v>729</v>
      </c>
      <c r="B346">
        <v>423117</v>
      </c>
      <c r="C346" t="s">
        <v>236</v>
      </c>
      <c r="D346" s="116">
        <v>164565.15</v>
      </c>
      <c r="E346" s="116">
        <v>95384.84</v>
      </c>
      <c r="F346" s="116">
        <v>0</v>
      </c>
      <c r="G346" s="116">
        <v>95384.84</v>
      </c>
      <c r="H346" s="116">
        <v>259949.99</v>
      </c>
      <c r="I346">
        <f t="shared" si="10"/>
        <v>95.384839999999997</v>
      </c>
      <c r="J346" s="128">
        <f t="shared" si="11"/>
        <v>95</v>
      </c>
    </row>
    <row r="347" spans="1:10" s="144" customFormat="1" x14ac:dyDescent="0.25">
      <c r="A347" t="s">
        <v>730</v>
      </c>
      <c r="B347">
        <v>423119</v>
      </c>
      <c r="C347" t="s">
        <v>237</v>
      </c>
      <c r="D347" s="116">
        <v>20605.07</v>
      </c>
      <c r="E347" s="116">
        <v>11497.95</v>
      </c>
      <c r="F347" s="116">
        <v>0</v>
      </c>
      <c r="G347" s="116">
        <v>11497.95</v>
      </c>
      <c r="H347" s="116">
        <v>32103.02</v>
      </c>
      <c r="I347" s="144">
        <f t="shared" si="10"/>
        <v>11.497950000000001</v>
      </c>
      <c r="J347" s="213">
        <f t="shared" si="11"/>
        <v>11</v>
      </c>
    </row>
    <row r="348" spans="1:10" x14ac:dyDescent="0.25">
      <c r="A348" t="s">
        <v>731</v>
      </c>
      <c r="B348">
        <v>424</v>
      </c>
      <c r="C348" t="s">
        <v>238</v>
      </c>
      <c r="D348" s="116">
        <v>265778.78999999998</v>
      </c>
      <c r="E348" s="116">
        <v>250096.89</v>
      </c>
      <c r="F348" s="116">
        <v>0</v>
      </c>
      <c r="G348" s="116">
        <v>250096.89</v>
      </c>
      <c r="H348" s="116">
        <v>515875.68</v>
      </c>
      <c r="I348">
        <f t="shared" si="10"/>
        <v>250.09689</v>
      </c>
      <c r="J348" s="128">
        <f t="shared" si="11"/>
        <v>250</v>
      </c>
    </row>
    <row r="349" spans="1:10" s="144" customFormat="1" x14ac:dyDescent="0.25">
      <c r="A349" t="s">
        <v>732</v>
      </c>
      <c r="B349">
        <v>4241</v>
      </c>
      <c r="C349" t="s">
        <v>504</v>
      </c>
      <c r="D349" s="116">
        <v>265778.78999999998</v>
      </c>
      <c r="E349" s="116">
        <v>250096.89</v>
      </c>
      <c r="F349" s="116">
        <v>0</v>
      </c>
      <c r="G349" s="116">
        <v>250096.89</v>
      </c>
      <c r="H349" s="116">
        <v>515875.68</v>
      </c>
      <c r="I349" s="144">
        <f t="shared" si="10"/>
        <v>250.09689</v>
      </c>
      <c r="J349" s="213">
        <f t="shared" si="11"/>
        <v>250</v>
      </c>
    </row>
    <row r="350" spans="1:10" s="144" customFormat="1" x14ac:dyDescent="0.25">
      <c r="A350" t="s">
        <v>733</v>
      </c>
      <c r="B350">
        <v>42412</v>
      </c>
      <c r="C350" t="s">
        <v>216</v>
      </c>
      <c r="D350" s="116">
        <v>64890.59</v>
      </c>
      <c r="E350" s="116">
        <v>32983.050000000003</v>
      </c>
      <c r="F350" s="116">
        <v>0</v>
      </c>
      <c r="G350" s="116">
        <v>32983.050000000003</v>
      </c>
      <c r="H350" s="116">
        <v>97873.64</v>
      </c>
      <c r="I350" s="144">
        <f t="shared" si="10"/>
        <v>32.983050000000006</v>
      </c>
      <c r="J350" s="213">
        <f t="shared" si="11"/>
        <v>33</v>
      </c>
    </row>
    <row r="351" spans="1:10" x14ac:dyDescent="0.25">
      <c r="A351" t="s">
        <v>734</v>
      </c>
      <c r="B351">
        <v>42415</v>
      </c>
      <c r="C351" t="s">
        <v>239</v>
      </c>
      <c r="D351" s="116">
        <v>33686.949999999997</v>
      </c>
      <c r="E351" s="116">
        <v>38153.33</v>
      </c>
      <c r="F351" s="116">
        <v>0</v>
      </c>
      <c r="G351" s="116">
        <v>38153.33</v>
      </c>
      <c r="H351" s="116">
        <v>71840.28</v>
      </c>
      <c r="I351">
        <f t="shared" si="10"/>
        <v>38.153330000000004</v>
      </c>
      <c r="J351" s="128">
        <f t="shared" si="11"/>
        <v>38</v>
      </c>
    </row>
    <row r="352" spans="1:10" x14ac:dyDescent="0.25">
      <c r="A352" t="s">
        <v>735</v>
      </c>
      <c r="B352">
        <v>42416</v>
      </c>
      <c r="C352" t="s">
        <v>240</v>
      </c>
      <c r="D352" s="116">
        <v>158160.74</v>
      </c>
      <c r="E352" s="116">
        <v>177635.93</v>
      </c>
      <c r="F352" s="116">
        <v>0</v>
      </c>
      <c r="G352" s="116">
        <v>177635.93</v>
      </c>
      <c r="H352" s="116">
        <v>335796.67</v>
      </c>
      <c r="I352">
        <f t="shared" si="10"/>
        <v>177.63593</v>
      </c>
      <c r="J352" s="128">
        <f t="shared" si="11"/>
        <v>178</v>
      </c>
    </row>
    <row r="353" spans="1:10" x14ac:dyDescent="0.25">
      <c r="A353" t="s">
        <v>736</v>
      </c>
      <c r="B353">
        <v>424112</v>
      </c>
      <c r="C353" t="s">
        <v>217</v>
      </c>
      <c r="D353" s="116">
        <v>9040.51</v>
      </c>
      <c r="E353" s="116">
        <v>1324.58</v>
      </c>
      <c r="F353" s="116">
        <v>0</v>
      </c>
      <c r="G353" s="116">
        <v>1324.58</v>
      </c>
      <c r="H353" s="116">
        <v>10365.09</v>
      </c>
      <c r="I353">
        <f t="shared" si="10"/>
        <v>1.3245799999999999</v>
      </c>
      <c r="J353" s="128">
        <f t="shared" si="11"/>
        <v>1</v>
      </c>
    </row>
    <row r="354" spans="1:10" x14ac:dyDescent="0.25">
      <c r="A354" t="s">
        <v>737</v>
      </c>
      <c r="B354">
        <v>425</v>
      </c>
      <c r="C354" t="s">
        <v>241</v>
      </c>
      <c r="D354" s="116">
        <v>890684.97</v>
      </c>
      <c r="E354" s="116">
        <v>136941.23000000001</v>
      </c>
      <c r="F354" s="116">
        <v>-256190.48</v>
      </c>
      <c r="G354" s="116">
        <v>-119249.25</v>
      </c>
      <c r="H354" s="116">
        <v>771435.72</v>
      </c>
      <c r="I354">
        <f t="shared" si="10"/>
        <v>-119.24925</v>
      </c>
      <c r="J354" s="128">
        <f t="shared" si="11"/>
        <v>-119</v>
      </c>
    </row>
    <row r="355" spans="1:10" x14ac:dyDescent="0.25">
      <c r="A355" t="s">
        <v>738</v>
      </c>
      <c r="B355">
        <v>4251</v>
      </c>
      <c r="C355" t="s">
        <v>242</v>
      </c>
      <c r="D355" s="116">
        <v>613430</v>
      </c>
      <c r="E355" s="116">
        <v>87073.93</v>
      </c>
      <c r="F355" s="116">
        <v>-199646.04</v>
      </c>
      <c r="G355" s="116">
        <v>-112572.11</v>
      </c>
      <c r="H355" s="116">
        <v>500857.89</v>
      </c>
      <c r="I355">
        <f t="shared" si="10"/>
        <v>-112.57211</v>
      </c>
      <c r="J355" s="128">
        <f t="shared" si="11"/>
        <v>-113</v>
      </c>
    </row>
    <row r="356" spans="1:10" x14ac:dyDescent="0.25">
      <c r="A356" t="s">
        <v>739</v>
      </c>
      <c r="B356">
        <v>42511</v>
      </c>
      <c r="C356" t="s">
        <v>243</v>
      </c>
      <c r="D356" s="116">
        <v>613430</v>
      </c>
      <c r="E356" s="116">
        <v>87073.93</v>
      </c>
      <c r="F356" s="116">
        <v>-199646.04</v>
      </c>
      <c r="G356" s="116">
        <v>-112572.11</v>
      </c>
      <c r="H356" s="116">
        <v>500857.89</v>
      </c>
      <c r="I356">
        <f t="shared" si="10"/>
        <v>-112.57211</v>
      </c>
      <c r="J356" s="128">
        <f t="shared" si="11"/>
        <v>-113</v>
      </c>
    </row>
    <row r="357" spans="1:10" x14ac:dyDescent="0.25">
      <c r="A357" t="s">
        <v>740</v>
      </c>
      <c r="B357">
        <v>4252</v>
      </c>
      <c r="C357" t="s">
        <v>505</v>
      </c>
      <c r="D357" s="116">
        <v>260904.08</v>
      </c>
      <c r="E357" s="116">
        <v>49867.3</v>
      </c>
      <c r="F357" s="116">
        <v>-56544.44</v>
      </c>
      <c r="G357" s="116">
        <v>-6677.14</v>
      </c>
      <c r="H357" s="116">
        <v>254226.94</v>
      </c>
      <c r="I357">
        <f t="shared" si="10"/>
        <v>-6.6771400000000005</v>
      </c>
      <c r="J357" s="128">
        <f t="shared" si="11"/>
        <v>-7</v>
      </c>
    </row>
    <row r="358" spans="1:10" x14ac:dyDescent="0.25">
      <c r="A358" t="s">
        <v>741</v>
      </c>
      <c r="B358">
        <v>42521</v>
      </c>
      <c r="C358" t="s">
        <v>244</v>
      </c>
      <c r="D358" s="116">
        <v>260904.08</v>
      </c>
      <c r="E358" s="116">
        <v>49867.3</v>
      </c>
      <c r="F358" s="116">
        <v>-56544.44</v>
      </c>
      <c r="G358" s="116">
        <v>-6677.14</v>
      </c>
      <c r="H358" s="116">
        <v>254226.94</v>
      </c>
      <c r="I358">
        <f t="shared" si="10"/>
        <v>-6.6771400000000005</v>
      </c>
      <c r="J358" s="128">
        <f t="shared" si="11"/>
        <v>-7</v>
      </c>
    </row>
    <row r="359" spans="1:10" x14ac:dyDescent="0.25">
      <c r="A359" t="s">
        <v>742</v>
      </c>
      <c r="B359">
        <v>4254</v>
      </c>
      <c r="C359" t="s">
        <v>506</v>
      </c>
      <c r="D359" s="116">
        <v>16350.89</v>
      </c>
      <c r="E359" s="116">
        <v>0</v>
      </c>
      <c r="F359" s="116">
        <v>0</v>
      </c>
      <c r="G359" s="116">
        <v>0</v>
      </c>
      <c r="H359" s="116">
        <v>16350.89</v>
      </c>
      <c r="I359">
        <f t="shared" si="10"/>
        <v>0</v>
      </c>
      <c r="J359" s="128">
        <f t="shared" si="11"/>
        <v>0</v>
      </c>
    </row>
    <row r="360" spans="1:10" x14ac:dyDescent="0.25">
      <c r="A360" t="s">
        <v>743</v>
      </c>
      <c r="B360">
        <v>42541</v>
      </c>
      <c r="C360" t="s">
        <v>489</v>
      </c>
      <c r="D360" s="116">
        <v>16350.89</v>
      </c>
      <c r="E360" s="116">
        <v>0</v>
      </c>
      <c r="F360" s="116">
        <v>0</v>
      </c>
      <c r="G360" s="116">
        <v>0</v>
      </c>
      <c r="H360" s="116">
        <v>16350.89</v>
      </c>
      <c r="I360">
        <f t="shared" si="10"/>
        <v>0</v>
      </c>
      <c r="J360" s="128">
        <f t="shared" si="11"/>
        <v>0</v>
      </c>
    </row>
    <row r="361" spans="1:10" x14ac:dyDescent="0.25">
      <c r="A361" t="s">
        <v>744</v>
      </c>
      <c r="B361">
        <v>426</v>
      </c>
      <c r="C361" t="s">
        <v>245</v>
      </c>
      <c r="D361" s="116">
        <v>4271784.01</v>
      </c>
      <c r="E361" s="116">
        <v>2143424.4500000002</v>
      </c>
      <c r="F361" s="116">
        <v>-8627.66</v>
      </c>
      <c r="G361" s="116">
        <v>2134796.79</v>
      </c>
      <c r="H361" s="116">
        <v>6406580.7999999998</v>
      </c>
      <c r="I361">
        <f t="shared" si="10"/>
        <v>2134.7967899999999</v>
      </c>
      <c r="J361" s="128">
        <f t="shared" si="11"/>
        <v>2135</v>
      </c>
    </row>
    <row r="362" spans="1:10" s="144" customFormat="1" x14ac:dyDescent="0.25">
      <c r="A362" t="s">
        <v>745</v>
      </c>
      <c r="B362">
        <v>4261</v>
      </c>
      <c r="C362" t="s">
        <v>507</v>
      </c>
      <c r="D362" s="116">
        <v>2647786.5499999998</v>
      </c>
      <c r="E362" s="116">
        <v>1322867.32</v>
      </c>
      <c r="F362" s="116">
        <v>-411.86</v>
      </c>
      <c r="G362" s="116">
        <v>1322455.46</v>
      </c>
      <c r="H362" s="116">
        <v>3970242.01</v>
      </c>
      <c r="I362" s="144">
        <f t="shared" si="10"/>
        <v>1322.4554599999999</v>
      </c>
      <c r="J362" s="213">
        <f t="shared" si="11"/>
        <v>1322</v>
      </c>
    </row>
    <row r="363" spans="1:10" x14ac:dyDescent="0.25">
      <c r="A363" t="s">
        <v>746</v>
      </c>
      <c r="B363">
        <v>42611</v>
      </c>
      <c r="C363" t="s">
        <v>219</v>
      </c>
      <c r="D363" s="116">
        <v>493288.88</v>
      </c>
      <c r="E363" s="116">
        <v>249939.12</v>
      </c>
      <c r="F363" s="116">
        <v>0</v>
      </c>
      <c r="G363" s="116">
        <v>249939.12</v>
      </c>
      <c r="H363" s="116">
        <v>743228</v>
      </c>
      <c r="I363">
        <f t="shared" si="10"/>
        <v>249.93912</v>
      </c>
      <c r="J363" s="128">
        <f t="shared" si="11"/>
        <v>250</v>
      </c>
    </row>
    <row r="364" spans="1:10" x14ac:dyDescent="0.25">
      <c r="A364" t="s">
        <v>747</v>
      </c>
      <c r="B364">
        <v>42613</v>
      </c>
      <c r="C364" t="s">
        <v>492</v>
      </c>
      <c r="D364" s="116">
        <v>15940.7</v>
      </c>
      <c r="E364" s="116">
        <v>6782.97</v>
      </c>
      <c r="F364" s="116">
        <v>0</v>
      </c>
      <c r="G364" s="116">
        <v>6782.97</v>
      </c>
      <c r="H364" s="116">
        <v>22723.67</v>
      </c>
      <c r="I364">
        <f t="shared" si="10"/>
        <v>6.7829700000000006</v>
      </c>
      <c r="J364" s="128">
        <f t="shared" si="11"/>
        <v>7</v>
      </c>
    </row>
    <row r="365" spans="1:10" x14ac:dyDescent="0.25">
      <c r="A365" t="s">
        <v>748</v>
      </c>
      <c r="B365">
        <v>42614</v>
      </c>
      <c r="C365" t="s">
        <v>220</v>
      </c>
      <c r="D365" s="116">
        <v>132711.06</v>
      </c>
      <c r="E365" s="116">
        <v>54254.64</v>
      </c>
      <c r="F365" s="116">
        <v>0</v>
      </c>
      <c r="G365" s="116">
        <v>54254.64</v>
      </c>
      <c r="H365" s="116">
        <v>186965.7</v>
      </c>
      <c r="I365">
        <f t="shared" si="10"/>
        <v>54.254640000000002</v>
      </c>
      <c r="J365" s="128">
        <f t="shared" si="11"/>
        <v>54</v>
      </c>
    </row>
    <row r="366" spans="1:10" x14ac:dyDescent="0.25">
      <c r="A366" t="s">
        <v>749</v>
      </c>
      <c r="B366">
        <v>42616</v>
      </c>
      <c r="C366" t="s">
        <v>221</v>
      </c>
      <c r="D366" s="116">
        <v>3837.24</v>
      </c>
      <c r="E366" s="116">
        <v>2177.81</v>
      </c>
      <c r="F366" s="116">
        <v>-411.86</v>
      </c>
      <c r="G366" s="116">
        <v>1765.95</v>
      </c>
      <c r="H366" s="116">
        <v>5603.19</v>
      </c>
      <c r="I366">
        <f t="shared" si="10"/>
        <v>1.7659500000000001</v>
      </c>
      <c r="J366" s="128">
        <f t="shared" si="11"/>
        <v>2</v>
      </c>
    </row>
    <row r="367" spans="1:10" x14ac:dyDescent="0.25">
      <c r="A367" t="s">
        <v>750</v>
      </c>
      <c r="B367">
        <v>42617</v>
      </c>
      <c r="C367" t="s">
        <v>222</v>
      </c>
      <c r="D367" s="116">
        <v>1471.4</v>
      </c>
      <c r="E367" s="116">
        <v>221.66</v>
      </c>
      <c r="F367" s="116">
        <v>0</v>
      </c>
      <c r="G367" s="116">
        <v>221.66</v>
      </c>
      <c r="H367" s="116">
        <v>1693.06</v>
      </c>
      <c r="I367">
        <f t="shared" si="10"/>
        <v>0.22166</v>
      </c>
      <c r="J367" s="128">
        <f t="shared" si="11"/>
        <v>0</v>
      </c>
    </row>
    <row r="368" spans="1:10" x14ac:dyDescent="0.25">
      <c r="A368" t="s">
        <v>1250</v>
      </c>
      <c r="B368">
        <v>426110</v>
      </c>
      <c r="C368" t="s">
        <v>1361</v>
      </c>
      <c r="D368" s="116">
        <v>273.52999999999997</v>
      </c>
      <c r="E368" s="116">
        <v>0</v>
      </c>
      <c r="F368" s="116">
        <v>0</v>
      </c>
      <c r="G368" s="116">
        <v>0</v>
      </c>
      <c r="H368" s="116">
        <v>273.52999999999997</v>
      </c>
      <c r="I368">
        <f t="shared" si="10"/>
        <v>0</v>
      </c>
      <c r="J368" s="128">
        <f t="shared" si="11"/>
        <v>0</v>
      </c>
    </row>
    <row r="369" spans="1:10" x14ac:dyDescent="0.25">
      <c r="A369" t="s">
        <v>751</v>
      </c>
      <c r="B369">
        <v>426111</v>
      </c>
      <c r="C369" t="s">
        <v>62</v>
      </c>
      <c r="D369" s="116">
        <v>1611382.94</v>
      </c>
      <c r="E369" s="116">
        <v>809245.56</v>
      </c>
      <c r="F369" s="116">
        <v>0</v>
      </c>
      <c r="G369" s="116">
        <v>809245.56</v>
      </c>
      <c r="H369" s="116">
        <v>2420628.5</v>
      </c>
      <c r="I369">
        <f t="shared" si="10"/>
        <v>809.24556000000007</v>
      </c>
      <c r="J369" s="128">
        <f t="shared" si="11"/>
        <v>809</v>
      </c>
    </row>
    <row r="370" spans="1:10" x14ac:dyDescent="0.25">
      <c r="A370" t="s">
        <v>508</v>
      </c>
      <c r="B370">
        <v>426112</v>
      </c>
      <c r="C370" t="s">
        <v>494</v>
      </c>
      <c r="D370" s="116">
        <v>20045.439999999999</v>
      </c>
      <c r="E370" s="116">
        <v>9922.8700000000008</v>
      </c>
      <c r="F370" s="116">
        <v>0</v>
      </c>
      <c r="G370" s="116">
        <v>9922.8700000000008</v>
      </c>
      <c r="H370" s="116">
        <v>29968.31</v>
      </c>
      <c r="I370">
        <f t="shared" si="10"/>
        <v>9.9228700000000014</v>
      </c>
      <c r="J370" s="128">
        <f t="shared" si="11"/>
        <v>10</v>
      </c>
    </row>
    <row r="371" spans="1:10" x14ac:dyDescent="0.25">
      <c r="A371" t="s">
        <v>752</v>
      </c>
      <c r="B371">
        <v>426114</v>
      </c>
      <c r="C371" t="s">
        <v>223</v>
      </c>
      <c r="D371" s="116">
        <v>114638.31</v>
      </c>
      <c r="E371" s="116">
        <v>59511.89</v>
      </c>
      <c r="F371" s="116">
        <v>0</v>
      </c>
      <c r="G371" s="116">
        <v>59511.89</v>
      </c>
      <c r="H371" s="116">
        <v>174150.2</v>
      </c>
      <c r="I371">
        <f t="shared" si="10"/>
        <v>59.511890000000001</v>
      </c>
      <c r="J371" s="128">
        <f t="shared" si="11"/>
        <v>60</v>
      </c>
    </row>
    <row r="372" spans="1:10" s="144" customFormat="1" x14ac:dyDescent="0.25">
      <c r="A372" t="s">
        <v>753</v>
      </c>
      <c r="B372">
        <v>426116</v>
      </c>
      <c r="C372" t="s">
        <v>224</v>
      </c>
      <c r="D372" s="116">
        <v>186465.32</v>
      </c>
      <c r="E372" s="116">
        <v>92974.21</v>
      </c>
      <c r="F372" s="116">
        <v>0</v>
      </c>
      <c r="G372" s="116">
        <v>92974.21</v>
      </c>
      <c r="H372" s="116">
        <v>279439.53000000003</v>
      </c>
      <c r="I372" s="144">
        <f t="shared" si="10"/>
        <v>92.974209999999999</v>
      </c>
      <c r="J372" s="213">
        <f>ROUND(I372,0)</f>
        <v>93</v>
      </c>
    </row>
    <row r="373" spans="1:10" s="144" customFormat="1" x14ac:dyDescent="0.25">
      <c r="A373" t="s">
        <v>754</v>
      </c>
      <c r="B373">
        <v>426117</v>
      </c>
      <c r="C373" t="s">
        <v>246</v>
      </c>
      <c r="D373" s="116">
        <v>67731.73</v>
      </c>
      <c r="E373" s="116">
        <v>37836.589999999997</v>
      </c>
      <c r="F373" s="116">
        <v>0</v>
      </c>
      <c r="G373" s="116">
        <v>37836.589999999997</v>
      </c>
      <c r="H373" s="116">
        <v>105568.32000000001</v>
      </c>
      <c r="I373" s="144">
        <f t="shared" si="10"/>
        <v>37.836589999999994</v>
      </c>
      <c r="J373" s="213">
        <f t="shared" si="11"/>
        <v>38</v>
      </c>
    </row>
    <row r="374" spans="1:10" x14ac:dyDescent="0.25">
      <c r="A374" t="s">
        <v>755</v>
      </c>
      <c r="B374">
        <v>4262</v>
      </c>
      <c r="C374" t="s">
        <v>247</v>
      </c>
      <c r="D374" s="116">
        <v>1623997.46</v>
      </c>
      <c r="E374" s="116">
        <v>820557.13</v>
      </c>
      <c r="F374" s="116">
        <v>-8215.7999999999993</v>
      </c>
      <c r="G374" s="116">
        <v>812341.33</v>
      </c>
      <c r="H374" s="116">
        <v>2436338.79</v>
      </c>
      <c r="I374">
        <f t="shared" si="10"/>
        <v>812.34132999999997</v>
      </c>
      <c r="J374" s="128">
        <f t="shared" si="11"/>
        <v>812</v>
      </c>
    </row>
    <row r="375" spans="1:10" x14ac:dyDescent="0.25">
      <c r="A375" t="s">
        <v>756</v>
      </c>
      <c r="B375">
        <v>42621</v>
      </c>
      <c r="C375" t="s">
        <v>226</v>
      </c>
      <c r="D375" s="116">
        <v>269547.53000000003</v>
      </c>
      <c r="E375" s="116">
        <v>108711.72</v>
      </c>
      <c r="F375" s="116">
        <v>0</v>
      </c>
      <c r="G375" s="116">
        <v>108711.72</v>
      </c>
      <c r="H375" s="116">
        <v>378259.25</v>
      </c>
      <c r="I375">
        <f t="shared" si="10"/>
        <v>108.71172</v>
      </c>
      <c r="J375" s="128">
        <f t="shared" si="11"/>
        <v>109</v>
      </c>
    </row>
    <row r="376" spans="1:10" s="144" customFormat="1" x14ac:dyDescent="0.25">
      <c r="A376" t="s">
        <v>757</v>
      </c>
      <c r="B376">
        <v>42622</v>
      </c>
      <c r="C376" t="s">
        <v>495</v>
      </c>
      <c r="D376" s="116">
        <v>184507.05</v>
      </c>
      <c r="E376" s="116">
        <v>99104.3</v>
      </c>
      <c r="F376" s="116">
        <v>-52.94</v>
      </c>
      <c r="G376" s="116">
        <v>99051.36</v>
      </c>
      <c r="H376" s="116">
        <v>283558.40999999997</v>
      </c>
      <c r="I376" s="144">
        <f t="shared" si="10"/>
        <v>99.051360000000003</v>
      </c>
      <c r="J376" s="213">
        <f t="shared" si="11"/>
        <v>99</v>
      </c>
    </row>
    <row r="377" spans="1:10" s="144" customFormat="1" x14ac:dyDescent="0.25">
      <c r="A377" t="s">
        <v>758</v>
      </c>
      <c r="B377">
        <v>42624</v>
      </c>
      <c r="C377" t="s">
        <v>509</v>
      </c>
      <c r="D377" s="116">
        <v>172586.82</v>
      </c>
      <c r="E377" s="116">
        <v>88278.71</v>
      </c>
      <c r="F377" s="116">
        <v>0</v>
      </c>
      <c r="G377" s="116">
        <v>88278.71</v>
      </c>
      <c r="H377" s="116">
        <v>260865.53</v>
      </c>
      <c r="I377" s="144">
        <f t="shared" si="10"/>
        <v>88.278710000000004</v>
      </c>
      <c r="J377" s="213">
        <f t="shared" si="11"/>
        <v>88</v>
      </c>
    </row>
    <row r="378" spans="1:10" s="144" customFormat="1" x14ac:dyDescent="0.25">
      <c r="A378" t="s">
        <v>759</v>
      </c>
      <c r="B378">
        <v>42625</v>
      </c>
      <c r="C378" t="s">
        <v>510</v>
      </c>
      <c r="D378" s="116">
        <v>0</v>
      </c>
      <c r="E378" s="116">
        <v>11628.27</v>
      </c>
      <c r="F378" s="116">
        <v>0</v>
      </c>
      <c r="G378" s="116">
        <v>11628.27</v>
      </c>
      <c r="H378" s="116">
        <v>11628.27</v>
      </c>
      <c r="I378" s="144">
        <f t="shared" si="10"/>
        <v>11.628270000000001</v>
      </c>
      <c r="J378" s="213">
        <f t="shared" si="11"/>
        <v>12</v>
      </c>
    </row>
    <row r="379" spans="1:10" x14ac:dyDescent="0.25">
      <c r="A379" t="s">
        <v>760</v>
      </c>
      <c r="B379">
        <v>42626</v>
      </c>
      <c r="C379" t="s">
        <v>248</v>
      </c>
      <c r="D379" s="116">
        <v>51832.08</v>
      </c>
      <c r="E379" s="116">
        <v>36395.9</v>
      </c>
      <c r="F379" s="116">
        <v>-2476.1999999999998</v>
      </c>
      <c r="G379" s="116">
        <v>33919.699999999997</v>
      </c>
      <c r="H379" s="116">
        <v>85751.78</v>
      </c>
      <c r="I379">
        <f t="shared" si="10"/>
        <v>33.919699999999999</v>
      </c>
      <c r="J379" s="128">
        <f t="shared" si="11"/>
        <v>34</v>
      </c>
    </row>
    <row r="380" spans="1:10" x14ac:dyDescent="0.25">
      <c r="A380" t="s">
        <v>761</v>
      </c>
      <c r="B380">
        <v>42627</v>
      </c>
      <c r="C380" t="s">
        <v>511</v>
      </c>
      <c r="D380" s="116">
        <v>738686.67</v>
      </c>
      <c r="E380" s="116">
        <v>377884.25</v>
      </c>
      <c r="F380" s="116">
        <v>0</v>
      </c>
      <c r="G380" s="116">
        <v>377884.25</v>
      </c>
      <c r="H380" s="116">
        <v>1116570.92</v>
      </c>
      <c r="I380">
        <f t="shared" si="10"/>
        <v>377.88425000000001</v>
      </c>
      <c r="J380" s="128">
        <f t="shared" si="11"/>
        <v>378</v>
      </c>
    </row>
    <row r="381" spans="1:10" x14ac:dyDescent="0.25">
      <c r="A381" t="s">
        <v>762</v>
      </c>
      <c r="B381">
        <v>42629</v>
      </c>
      <c r="C381" t="s">
        <v>249</v>
      </c>
      <c r="D381" s="116">
        <v>9340.24</v>
      </c>
      <c r="E381" s="116">
        <v>0</v>
      </c>
      <c r="F381" s="116">
        <v>0</v>
      </c>
      <c r="G381" s="116">
        <v>0</v>
      </c>
      <c r="H381" s="116">
        <v>9340.24</v>
      </c>
      <c r="I381">
        <f t="shared" si="10"/>
        <v>0</v>
      </c>
      <c r="J381" s="128">
        <f t="shared" si="11"/>
        <v>0</v>
      </c>
    </row>
    <row r="382" spans="1:10" x14ac:dyDescent="0.25">
      <c r="A382" t="s">
        <v>763</v>
      </c>
      <c r="B382">
        <v>426210</v>
      </c>
      <c r="C382" t="s">
        <v>512</v>
      </c>
      <c r="D382" s="116">
        <v>34780.519999999997</v>
      </c>
      <c r="E382" s="116">
        <v>14970.61</v>
      </c>
      <c r="F382" s="116">
        <v>-5686.66</v>
      </c>
      <c r="G382" s="116">
        <v>9283.9500000000007</v>
      </c>
      <c r="H382" s="116">
        <v>44064.47</v>
      </c>
      <c r="I382">
        <f t="shared" si="10"/>
        <v>9.2839500000000008</v>
      </c>
      <c r="J382" s="128">
        <f t="shared" si="11"/>
        <v>9</v>
      </c>
    </row>
    <row r="383" spans="1:10" s="144" customFormat="1" x14ac:dyDescent="0.25">
      <c r="A383" t="s">
        <v>765</v>
      </c>
      <c r="B383">
        <v>426214</v>
      </c>
      <c r="C383" t="s">
        <v>513</v>
      </c>
      <c r="D383" s="116">
        <v>66190.5</v>
      </c>
      <c r="E383" s="116">
        <v>34520.400000000001</v>
      </c>
      <c r="F383" s="116">
        <v>0</v>
      </c>
      <c r="G383" s="116">
        <v>34520.400000000001</v>
      </c>
      <c r="H383" s="116">
        <v>100710.9</v>
      </c>
      <c r="I383" s="144">
        <f t="shared" si="10"/>
        <v>34.520400000000002</v>
      </c>
      <c r="J383" s="213">
        <f t="shared" si="11"/>
        <v>35</v>
      </c>
    </row>
    <row r="384" spans="1:10" x14ac:dyDescent="0.25">
      <c r="A384" t="s">
        <v>766</v>
      </c>
      <c r="B384">
        <v>426215</v>
      </c>
      <c r="C384" t="s">
        <v>251</v>
      </c>
      <c r="D384" s="116">
        <v>96526.05</v>
      </c>
      <c r="E384" s="116">
        <v>49062.97</v>
      </c>
      <c r="F384" s="116">
        <v>0</v>
      </c>
      <c r="G384" s="116">
        <v>49062.97</v>
      </c>
      <c r="H384" s="116">
        <v>145589.01999999999</v>
      </c>
      <c r="I384">
        <f t="shared" si="10"/>
        <v>49.06297</v>
      </c>
      <c r="J384" s="128">
        <f t="shared" si="11"/>
        <v>49</v>
      </c>
    </row>
    <row r="385" spans="1:10" x14ac:dyDescent="0.25">
      <c r="A385" t="s">
        <v>767</v>
      </c>
      <c r="B385">
        <v>427</v>
      </c>
      <c r="C385" t="s">
        <v>45</v>
      </c>
      <c r="D385" s="116">
        <v>962867.07</v>
      </c>
      <c r="E385" s="116">
        <v>700837.97</v>
      </c>
      <c r="F385" s="116">
        <v>-46.54</v>
      </c>
      <c r="G385" s="116">
        <v>700791.43</v>
      </c>
      <c r="H385" s="116">
        <v>1663658.5</v>
      </c>
      <c r="I385">
        <f t="shared" si="10"/>
        <v>700.7914300000001</v>
      </c>
      <c r="J385" s="128">
        <f t="shared" si="11"/>
        <v>701</v>
      </c>
    </row>
    <row r="386" spans="1:10" x14ac:dyDescent="0.25">
      <c r="A386" t="s">
        <v>768</v>
      </c>
      <c r="B386">
        <v>42701</v>
      </c>
      <c r="C386" t="s">
        <v>45</v>
      </c>
      <c r="D386" s="116">
        <v>962867.07</v>
      </c>
      <c r="E386" s="116">
        <v>700837.97</v>
      </c>
      <c r="F386" s="116">
        <v>-46.54</v>
      </c>
      <c r="G386" s="116">
        <v>700791.43</v>
      </c>
      <c r="H386" s="116">
        <v>1663658.5</v>
      </c>
      <c r="I386">
        <f t="shared" si="10"/>
        <v>700.7914300000001</v>
      </c>
      <c r="J386" s="128">
        <f t="shared" si="11"/>
        <v>701</v>
      </c>
    </row>
    <row r="387" spans="1:10" x14ac:dyDescent="0.25">
      <c r="A387" t="s">
        <v>1118</v>
      </c>
      <c r="B387">
        <v>42711</v>
      </c>
      <c r="C387" t="s">
        <v>252</v>
      </c>
      <c r="D387" s="116">
        <v>501</v>
      </c>
      <c r="E387" s="116">
        <v>0</v>
      </c>
      <c r="F387" s="116">
        <v>0</v>
      </c>
      <c r="G387" s="116">
        <v>0</v>
      </c>
      <c r="H387" s="116">
        <v>501</v>
      </c>
      <c r="I387">
        <f t="shared" si="10"/>
        <v>0</v>
      </c>
      <c r="J387" s="128">
        <f t="shared" si="11"/>
        <v>0</v>
      </c>
    </row>
    <row r="388" spans="1:10" x14ac:dyDescent="0.25">
      <c r="A388" t="s">
        <v>769</v>
      </c>
      <c r="B388">
        <v>42720</v>
      </c>
      <c r="C388" t="s">
        <v>514</v>
      </c>
      <c r="D388" s="116">
        <v>962366.07</v>
      </c>
      <c r="E388" s="116">
        <v>700837.97</v>
      </c>
      <c r="F388" s="116">
        <v>-46.54</v>
      </c>
      <c r="G388" s="116">
        <v>700791.43</v>
      </c>
      <c r="H388" s="116">
        <v>1663157.5</v>
      </c>
      <c r="I388">
        <f t="shared" si="10"/>
        <v>700.7914300000001</v>
      </c>
      <c r="J388" s="128">
        <f t="shared" si="11"/>
        <v>701</v>
      </c>
    </row>
    <row r="389" spans="1:10" x14ac:dyDescent="0.25">
      <c r="A389">
        <v>5</v>
      </c>
      <c r="B389">
        <v>5</v>
      </c>
      <c r="C389" t="s">
        <v>254</v>
      </c>
      <c r="D389" s="116">
        <v>2200592.6</v>
      </c>
      <c r="E389" s="116">
        <v>46287.54</v>
      </c>
      <c r="F389" s="116">
        <v>-812746.65</v>
      </c>
      <c r="G389" s="116">
        <v>-766459.11</v>
      </c>
      <c r="H389" s="116">
        <v>1434133.49</v>
      </c>
      <c r="I389">
        <f t="shared" si="10"/>
        <v>-766.45911000000001</v>
      </c>
      <c r="J389" s="128">
        <f t="shared" si="11"/>
        <v>-766</v>
      </c>
    </row>
    <row r="390" spans="1:10" x14ac:dyDescent="0.25">
      <c r="A390" t="s">
        <v>770</v>
      </c>
      <c r="B390">
        <v>51</v>
      </c>
      <c r="C390" t="s">
        <v>254</v>
      </c>
      <c r="D390" s="116">
        <v>2200592.6</v>
      </c>
      <c r="E390" s="116">
        <v>46287.54</v>
      </c>
      <c r="F390" s="116">
        <v>-812746.65</v>
      </c>
      <c r="G390" s="116">
        <v>-766459.11</v>
      </c>
      <c r="H390" s="116">
        <v>1434133.49</v>
      </c>
      <c r="I390">
        <f t="shared" si="10"/>
        <v>-766.45911000000001</v>
      </c>
      <c r="J390" s="128">
        <f t="shared" si="11"/>
        <v>-766</v>
      </c>
    </row>
    <row r="391" spans="1:10" x14ac:dyDescent="0.25">
      <c r="A391" t="s">
        <v>771</v>
      </c>
      <c r="B391">
        <v>511</v>
      </c>
      <c r="C391" t="s">
        <v>255</v>
      </c>
      <c r="D391" s="116">
        <v>4914444.7699999996</v>
      </c>
      <c r="E391" s="116">
        <v>46287.54</v>
      </c>
      <c r="F391" s="116">
        <v>0</v>
      </c>
      <c r="G391" s="116">
        <v>46287.54</v>
      </c>
      <c r="H391" s="116">
        <v>4960732.3099999996</v>
      </c>
      <c r="I391">
        <f t="shared" si="10"/>
        <v>46.28754</v>
      </c>
      <c r="J391" s="128">
        <f t="shared" si="11"/>
        <v>46</v>
      </c>
    </row>
    <row r="392" spans="1:10" x14ac:dyDescent="0.25">
      <c r="A392" t="s">
        <v>772</v>
      </c>
      <c r="B392">
        <v>5111</v>
      </c>
      <c r="C392" t="s">
        <v>256</v>
      </c>
      <c r="D392" s="116">
        <v>1198297.77</v>
      </c>
      <c r="E392" s="116">
        <v>0</v>
      </c>
      <c r="F392" s="116">
        <v>0</v>
      </c>
      <c r="G392" s="116">
        <v>0</v>
      </c>
      <c r="H392" s="116">
        <v>1198297.77</v>
      </c>
      <c r="I392">
        <f t="shared" si="10"/>
        <v>0</v>
      </c>
      <c r="J392" s="128">
        <f t="shared" si="11"/>
        <v>0</v>
      </c>
    </row>
    <row r="393" spans="1:10" x14ac:dyDescent="0.25">
      <c r="A393" t="s">
        <v>773</v>
      </c>
      <c r="B393">
        <v>5112</v>
      </c>
      <c r="C393" t="s">
        <v>258</v>
      </c>
      <c r="D393" s="116">
        <v>1804659.7</v>
      </c>
      <c r="E393" s="116">
        <v>0</v>
      </c>
      <c r="F393" s="116">
        <v>0</v>
      </c>
      <c r="G393" s="116">
        <v>0</v>
      </c>
      <c r="H393" s="116">
        <v>1804659.7</v>
      </c>
      <c r="I393">
        <f t="shared" ref="I393:I401" si="12">G393/1000</f>
        <v>0</v>
      </c>
      <c r="J393" s="128">
        <f t="shared" ref="J393:J401" si="13">ROUND(I393,0)</f>
        <v>0</v>
      </c>
    </row>
    <row r="394" spans="1:10" x14ac:dyDescent="0.25">
      <c r="A394" t="s">
        <v>516</v>
      </c>
      <c r="B394">
        <v>5114</v>
      </c>
      <c r="C394" t="s">
        <v>260</v>
      </c>
      <c r="D394" s="116">
        <v>430516.94</v>
      </c>
      <c r="E394" s="116">
        <v>0</v>
      </c>
      <c r="F394" s="116">
        <v>0</v>
      </c>
      <c r="G394" s="116">
        <v>0</v>
      </c>
      <c r="H394" s="116">
        <v>430516.94</v>
      </c>
      <c r="I394">
        <f t="shared" si="12"/>
        <v>0</v>
      </c>
      <c r="J394" s="128">
        <f t="shared" si="13"/>
        <v>0</v>
      </c>
    </row>
    <row r="395" spans="1:10" x14ac:dyDescent="0.25">
      <c r="A395" t="s">
        <v>1252</v>
      </c>
      <c r="B395">
        <v>5116</v>
      </c>
      <c r="C395" t="s">
        <v>262</v>
      </c>
      <c r="D395" s="116">
        <v>1480970.36</v>
      </c>
      <c r="E395" s="116">
        <v>0</v>
      </c>
      <c r="F395" s="116">
        <v>0</v>
      </c>
      <c r="G395" s="116">
        <v>0</v>
      </c>
      <c r="H395" s="116">
        <v>1480970.36</v>
      </c>
      <c r="I395">
        <f t="shared" si="12"/>
        <v>0</v>
      </c>
      <c r="J395" s="128">
        <f t="shared" si="13"/>
        <v>0</v>
      </c>
    </row>
    <row r="396" spans="1:10" x14ac:dyDescent="0.25">
      <c r="A396" t="s">
        <v>1253</v>
      </c>
      <c r="B396">
        <v>5119</v>
      </c>
      <c r="C396" t="s">
        <v>265</v>
      </c>
      <c r="D396" s="116">
        <v>0</v>
      </c>
      <c r="E396" s="116">
        <v>46287.54</v>
      </c>
      <c r="F396" s="116">
        <v>0</v>
      </c>
      <c r="G396" s="116">
        <v>46287.54</v>
      </c>
      <c r="H396" s="116">
        <v>46287.54</v>
      </c>
      <c r="I396">
        <f t="shared" si="12"/>
        <v>46.28754</v>
      </c>
      <c r="J396" s="128">
        <f t="shared" si="13"/>
        <v>46</v>
      </c>
    </row>
    <row r="397" spans="1:10" x14ac:dyDescent="0.25">
      <c r="A397" t="s">
        <v>774</v>
      </c>
      <c r="B397">
        <v>512</v>
      </c>
      <c r="C397" t="s">
        <v>257</v>
      </c>
      <c r="D397" s="116">
        <v>-2713852.17</v>
      </c>
      <c r="E397" s="116">
        <v>0</v>
      </c>
      <c r="F397" s="116">
        <v>-812746.65</v>
      </c>
      <c r="G397" s="116">
        <v>-812746.65</v>
      </c>
      <c r="H397" s="116">
        <v>-3526598.82</v>
      </c>
      <c r="I397">
        <f t="shared" si="12"/>
        <v>-812.74665000000005</v>
      </c>
      <c r="J397" s="128">
        <f t="shared" si="13"/>
        <v>-813</v>
      </c>
    </row>
    <row r="398" spans="1:10" x14ac:dyDescent="0.25">
      <c r="A398" t="s">
        <v>775</v>
      </c>
      <c r="B398">
        <v>5123</v>
      </c>
      <c r="C398" t="s">
        <v>259</v>
      </c>
      <c r="D398" s="116">
        <v>-903438.85</v>
      </c>
      <c r="E398" s="116">
        <v>0</v>
      </c>
      <c r="F398" s="116">
        <v>0</v>
      </c>
      <c r="G398" s="116">
        <v>0</v>
      </c>
      <c r="H398" s="116">
        <v>-903438.85</v>
      </c>
      <c r="I398">
        <f t="shared" si="12"/>
        <v>0</v>
      </c>
      <c r="J398" s="128">
        <f t="shared" si="13"/>
        <v>0</v>
      </c>
    </row>
    <row r="399" spans="1:10" x14ac:dyDescent="0.25">
      <c r="A399" t="s">
        <v>517</v>
      </c>
      <c r="B399">
        <v>5125</v>
      </c>
      <c r="C399" t="s">
        <v>261</v>
      </c>
      <c r="D399" s="116">
        <v>-1810413.32</v>
      </c>
      <c r="E399" s="116">
        <v>0</v>
      </c>
      <c r="F399" s="116">
        <v>0</v>
      </c>
      <c r="G399" s="116">
        <v>0</v>
      </c>
      <c r="H399" s="116">
        <v>-1810413.32</v>
      </c>
      <c r="I399">
        <f t="shared" si="12"/>
        <v>0</v>
      </c>
      <c r="J399" s="128">
        <f t="shared" si="13"/>
        <v>0</v>
      </c>
    </row>
    <row r="400" spans="1:10" x14ac:dyDescent="0.25">
      <c r="A400" t="s">
        <v>1254</v>
      </c>
      <c r="B400">
        <v>5127</v>
      </c>
      <c r="C400" t="s">
        <v>263</v>
      </c>
      <c r="D400" s="116">
        <v>0</v>
      </c>
      <c r="E400" s="116">
        <v>0</v>
      </c>
      <c r="F400" s="116">
        <v>-795077.21</v>
      </c>
      <c r="G400" s="116">
        <v>-795077.21</v>
      </c>
      <c r="H400" s="116">
        <v>-795077.21</v>
      </c>
      <c r="I400">
        <f t="shared" si="12"/>
        <v>-795.07720999999992</v>
      </c>
      <c r="J400" s="128">
        <f t="shared" si="13"/>
        <v>-795</v>
      </c>
    </row>
    <row r="401" spans="1:10" x14ac:dyDescent="0.25">
      <c r="A401" t="s">
        <v>518</v>
      </c>
      <c r="B401">
        <v>5128</v>
      </c>
      <c r="C401" t="s">
        <v>264</v>
      </c>
      <c r="D401" s="116">
        <v>0</v>
      </c>
      <c r="E401" s="116">
        <v>0</v>
      </c>
      <c r="F401" s="116">
        <v>-17669.439999999999</v>
      </c>
      <c r="G401" s="116">
        <v>-17669.439999999999</v>
      </c>
      <c r="H401" s="116">
        <v>-17669.439999999999</v>
      </c>
      <c r="I401">
        <f t="shared" si="12"/>
        <v>-17.669439999999998</v>
      </c>
      <c r="J401" s="128">
        <f t="shared" si="13"/>
        <v>-18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7"/>
  <sheetViews>
    <sheetView topLeftCell="D1" zoomScale="90" zoomScaleNormal="90" workbookViewId="0">
      <selection activeCell="D3" sqref="D3"/>
    </sheetView>
  </sheetViews>
  <sheetFormatPr defaultColWidth="9.140625" defaultRowHeight="18.75" x14ac:dyDescent="0.3"/>
  <cols>
    <col min="1" max="1" width="20.28515625" style="118" customWidth="1"/>
    <col min="2" max="2" width="19.5703125" style="97" bestFit="1" customWidth="1"/>
    <col min="3" max="3" width="19.28515625" style="97" bestFit="1" customWidth="1"/>
    <col min="4" max="4" width="72.42578125" style="97" bestFit="1" customWidth="1"/>
    <col min="5" max="5" width="18.28515625" style="97" bestFit="1" customWidth="1"/>
    <col min="6" max="6" width="19.140625" style="97" bestFit="1" customWidth="1"/>
    <col min="7" max="7" width="18.85546875" style="97" bestFit="1" customWidth="1"/>
    <col min="8" max="8" width="17" style="138" customWidth="1"/>
    <col min="9" max="9" width="15" style="143" bestFit="1" customWidth="1"/>
    <col min="10" max="10" width="21.5703125" style="97" bestFit="1" customWidth="1"/>
    <col min="11" max="11" width="17.7109375" style="97" bestFit="1" customWidth="1"/>
    <col min="12" max="16384" width="9.140625" style="97"/>
  </cols>
  <sheetData>
    <row r="1" spans="1:11" customFormat="1" ht="15" x14ac:dyDescent="0.25">
      <c r="A1" s="145" t="s">
        <v>834</v>
      </c>
      <c r="B1" s="145" t="s">
        <v>1519</v>
      </c>
      <c r="C1" t="s">
        <v>836</v>
      </c>
      <c r="D1" s="128" t="s">
        <v>837</v>
      </c>
      <c r="E1" s="128" t="s">
        <v>838</v>
      </c>
      <c r="F1" s="128" t="s">
        <v>839</v>
      </c>
      <c r="G1" s="128" t="s">
        <v>840</v>
      </c>
      <c r="H1" s="128" t="s">
        <v>841</v>
      </c>
    </row>
    <row r="2" spans="1:11" customFormat="1" ht="15" x14ac:dyDescent="0.25">
      <c r="A2" s="145" t="s">
        <v>843</v>
      </c>
      <c r="B2" s="145"/>
      <c r="D2" s="128"/>
      <c r="E2" s="128"/>
      <c r="F2" s="128"/>
      <c r="G2" s="128"/>
      <c r="H2" s="128"/>
    </row>
    <row r="3" spans="1:11" customFormat="1" ht="15" x14ac:dyDescent="0.25">
      <c r="A3" s="145"/>
      <c r="B3" s="145"/>
      <c r="D3" s="128"/>
      <c r="E3" s="128"/>
      <c r="F3" s="128"/>
      <c r="G3" s="128"/>
      <c r="H3" s="128"/>
    </row>
    <row r="4" spans="1:11" customFormat="1" ht="15" x14ac:dyDescent="0.25">
      <c r="A4" s="145" t="s">
        <v>1566</v>
      </c>
      <c r="B4" s="145"/>
      <c r="D4" s="128"/>
      <c r="E4" s="128"/>
      <c r="F4" s="128"/>
      <c r="G4" s="128"/>
      <c r="H4" s="128"/>
    </row>
    <row r="5" spans="1:11" customFormat="1" ht="15" x14ac:dyDescent="0.25">
      <c r="A5" s="145" t="s">
        <v>1535</v>
      </c>
      <c r="B5" s="145"/>
      <c r="D5" s="128"/>
      <c r="E5" s="128"/>
      <c r="F5" s="128"/>
      <c r="G5" s="128"/>
      <c r="H5" s="128"/>
    </row>
    <row r="6" spans="1:11" customFormat="1" ht="15" x14ac:dyDescent="0.25">
      <c r="A6" s="145"/>
      <c r="B6" s="145"/>
      <c r="D6" s="128"/>
      <c r="E6" s="128"/>
      <c r="F6" s="128"/>
      <c r="G6" s="128"/>
      <c r="H6" s="128"/>
    </row>
    <row r="7" spans="1:11" s="144" customFormat="1" ht="15" x14ac:dyDescent="0.25">
      <c r="A7" s="149" t="s">
        <v>1520</v>
      </c>
      <c r="B7" s="149" t="s">
        <v>1520</v>
      </c>
      <c r="C7" s="149" t="s">
        <v>1521</v>
      </c>
      <c r="D7" s="144" t="s">
        <v>266</v>
      </c>
      <c r="E7" s="213" t="s">
        <v>1522</v>
      </c>
      <c r="F7" s="213" t="s">
        <v>811</v>
      </c>
      <c r="G7" s="213" t="s">
        <v>812</v>
      </c>
      <c r="H7" s="213" t="s">
        <v>1523</v>
      </c>
      <c r="I7" s="213" t="s">
        <v>813</v>
      </c>
      <c r="J7" s="213" t="s">
        <v>1567</v>
      </c>
      <c r="K7" s="213" t="s">
        <v>1568</v>
      </c>
    </row>
    <row r="8" spans="1:11" s="143" customFormat="1" x14ac:dyDescent="0.3">
      <c r="A8" s="149">
        <v>1</v>
      </c>
      <c r="B8" s="149">
        <v>1</v>
      </c>
      <c r="C8" s="149">
        <v>1</v>
      </c>
      <c r="D8" s="144" t="s">
        <v>305</v>
      </c>
      <c r="E8" s="213">
        <v>51373399.5</v>
      </c>
      <c r="F8" s="213">
        <v>147327602.90000001</v>
      </c>
      <c r="G8" s="213">
        <v>-138860658.93000001</v>
      </c>
      <c r="H8" s="213">
        <v>8466943.9700000007</v>
      </c>
      <c r="I8" s="213">
        <v>59840343.469999999</v>
      </c>
      <c r="J8" s="569">
        <f>I8/1000</f>
        <v>59840.34347</v>
      </c>
      <c r="K8" s="569">
        <f>ROUND(J8,0)</f>
        <v>59840</v>
      </c>
    </row>
    <row r="9" spans="1:11" s="143" customFormat="1" x14ac:dyDescent="0.3">
      <c r="A9" s="149" t="s">
        <v>523</v>
      </c>
      <c r="B9" s="149" t="s">
        <v>523</v>
      </c>
      <c r="C9" s="149">
        <v>11</v>
      </c>
      <c r="D9" s="144" t="s">
        <v>4</v>
      </c>
      <c r="E9" s="213">
        <v>35519718.270000003</v>
      </c>
      <c r="F9" s="213">
        <v>146520446.91</v>
      </c>
      <c r="G9" s="213">
        <v>-135904374.59999999</v>
      </c>
      <c r="H9" s="213">
        <v>10616072.310000001</v>
      </c>
      <c r="I9" s="213">
        <v>46135790.579999998</v>
      </c>
      <c r="J9" s="569">
        <f t="shared" ref="J9:J72" si="0">I9/1000</f>
        <v>46135.790580000001</v>
      </c>
      <c r="K9" s="569">
        <f t="shared" ref="K9:K72" si="1">ROUND(J9,0)</f>
        <v>46136</v>
      </c>
    </row>
    <row r="10" spans="1:11" s="143" customFormat="1" x14ac:dyDescent="0.3">
      <c r="A10" s="149" t="s">
        <v>524</v>
      </c>
      <c r="B10" s="149" t="s">
        <v>524</v>
      </c>
      <c r="C10" s="149">
        <v>111</v>
      </c>
      <c r="D10" s="144" t="s">
        <v>92</v>
      </c>
      <c r="E10" s="213">
        <v>30622515.34</v>
      </c>
      <c r="F10" s="213">
        <v>127094909.76000001</v>
      </c>
      <c r="G10" s="213">
        <v>-119599466.75</v>
      </c>
      <c r="H10" s="213">
        <v>7495443.0099999998</v>
      </c>
      <c r="I10" s="213">
        <v>38117958.350000001</v>
      </c>
      <c r="J10" s="569">
        <f t="shared" si="0"/>
        <v>38117.958350000001</v>
      </c>
      <c r="K10" s="569">
        <f t="shared" si="1"/>
        <v>38118</v>
      </c>
    </row>
    <row r="11" spans="1:11" s="144" customFormat="1" x14ac:dyDescent="0.3">
      <c r="A11" s="149" t="s">
        <v>525</v>
      </c>
      <c r="B11" s="149" t="s">
        <v>525</v>
      </c>
      <c r="C11" s="149">
        <v>1112</v>
      </c>
      <c r="D11" s="144" t="s">
        <v>93</v>
      </c>
      <c r="E11" s="213">
        <v>30622515.34</v>
      </c>
      <c r="F11" s="213">
        <v>127094909.76000001</v>
      </c>
      <c r="G11" s="213">
        <v>-119599466.75</v>
      </c>
      <c r="H11" s="213">
        <v>7495443.0099999998</v>
      </c>
      <c r="I11" s="213">
        <v>38117958.350000001</v>
      </c>
      <c r="J11" s="569">
        <f t="shared" si="0"/>
        <v>38117.958350000001</v>
      </c>
      <c r="K11" s="569">
        <f t="shared" si="1"/>
        <v>38118</v>
      </c>
    </row>
    <row r="12" spans="1:11" customFormat="1" x14ac:dyDescent="0.3">
      <c r="A12" s="145" t="s">
        <v>526</v>
      </c>
      <c r="B12" s="145" t="s">
        <v>526</v>
      </c>
      <c r="C12" s="145" t="s">
        <v>94</v>
      </c>
      <c r="D12" t="s">
        <v>306</v>
      </c>
      <c r="E12" s="128">
        <v>30622515.34</v>
      </c>
      <c r="F12" s="128">
        <v>0</v>
      </c>
      <c r="G12" s="128">
        <v>-30622515.34</v>
      </c>
      <c r="H12" s="128">
        <v>-30622515.34</v>
      </c>
      <c r="I12" s="128">
        <v>0</v>
      </c>
      <c r="J12" s="569">
        <f t="shared" si="0"/>
        <v>0</v>
      </c>
      <c r="K12" s="569">
        <f t="shared" si="1"/>
        <v>0</v>
      </c>
    </row>
    <row r="13" spans="1:11" customFormat="1" x14ac:dyDescent="0.3">
      <c r="A13" s="145" t="s">
        <v>307</v>
      </c>
      <c r="B13" s="145" t="s">
        <v>307</v>
      </c>
      <c r="C13" s="145" t="s">
        <v>95</v>
      </c>
      <c r="D13" t="s">
        <v>96</v>
      </c>
      <c r="E13" s="128">
        <v>0</v>
      </c>
      <c r="F13" s="128">
        <v>24742908.739999998</v>
      </c>
      <c r="G13" s="128">
        <v>-24742908.739999998</v>
      </c>
      <c r="H13" s="128">
        <v>0</v>
      </c>
      <c r="I13" s="128">
        <v>0</v>
      </c>
      <c r="J13" s="569">
        <f t="shared" si="0"/>
        <v>0</v>
      </c>
      <c r="K13" s="569">
        <f t="shared" si="1"/>
        <v>0</v>
      </c>
    </row>
    <row r="14" spans="1:11" s="143" customFormat="1" x14ac:dyDescent="0.3">
      <c r="A14" s="145" t="s">
        <v>1161</v>
      </c>
      <c r="B14" s="145" t="s">
        <v>1161</v>
      </c>
      <c r="C14" s="145" t="s">
        <v>1162</v>
      </c>
      <c r="D14" t="s">
        <v>1163</v>
      </c>
      <c r="E14" s="128">
        <v>0</v>
      </c>
      <c r="F14" s="128">
        <v>71490262.560000002</v>
      </c>
      <c r="G14" s="128">
        <v>-62746664.07</v>
      </c>
      <c r="H14" s="128">
        <v>8743598.4900000002</v>
      </c>
      <c r="I14" s="128">
        <v>8743598.4900000002</v>
      </c>
      <c r="J14" s="569">
        <f t="shared" si="0"/>
        <v>8743.5984900000003</v>
      </c>
      <c r="K14" s="569">
        <f t="shared" si="1"/>
        <v>8744</v>
      </c>
    </row>
    <row r="15" spans="1:11" s="143" customFormat="1" x14ac:dyDescent="0.3">
      <c r="A15" s="145" t="s">
        <v>1164</v>
      </c>
      <c r="B15" s="145" t="s">
        <v>1164</v>
      </c>
      <c r="C15" s="145" t="s">
        <v>1165</v>
      </c>
      <c r="D15" t="s">
        <v>1166</v>
      </c>
      <c r="E15" s="128">
        <v>0</v>
      </c>
      <c r="F15" s="128">
        <v>30861738.460000001</v>
      </c>
      <c r="G15" s="128">
        <v>-1487378.6</v>
      </c>
      <c r="H15" s="128">
        <v>29374359.859999999</v>
      </c>
      <c r="I15" s="128">
        <v>29374359.859999999</v>
      </c>
      <c r="J15" s="569">
        <f t="shared" si="0"/>
        <v>29374.35986</v>
      </c>
      <c r="K15" s="569">
        <f t="shared" si="1"/>
        <v>29374</v>
      </c>
    </row>
    <row r="16" spans="1:11" s="144" customFormat="1" x14ac:dyDescent="0.3">
      <c r="A16" s="149" t="s">
        <v>527</v>
      </c>
      <c r="B16" s="149" t="s">
        <v>527</v>
      </c>
      <c r="C16" s="149">
        <v>112</v>
      </c>
      <c r="D16" s="144" t="s">
        <v>97</v>
      </c>
      <c r="E16" s="213">
        <v>2317758.71</v>
      </c>
      <c r="F16" s="213">
        <v>14649128.65</v>
      </c>
      <c r="G16" s="213">
        <v>-11676211.449999999</v>
      </c>
      <c r="H16" s="213">
        <v>2972917.2</v>
      </c>
      <c r="I16" s="213">
        <v>5290675.91</v>
      </c>
      <c r="J16" s="568">
        <f>I16/1000</f>
        <v>5290.6759099999999</v>
      </c>
      <c r="K16" s="568">
        <f>K17+K30+K35</f>
        <v>5290</v>
      </c>
    </row>
    <row r="17" spans="1:11" s="143" customFormat="1" x14ac:dyDescent="0.3">
      <c r="A17" s="149" t="s">
        <v>528</v>
      </c>
      <c r="B17" s="149" t="s">
        <v>528</v>
      </c>
      <c r="C17" s="149">
        <v>1123</v>
      </c>
      <c r="D17" s="144" t="s">
        <v>308</v>
      </c>
      <c r="E17" s="213">
        <v>1526087.55</v>
      </c>
      <c r="F17" s="213">
        <v>2786723.43</v>
      </c>
      <c r="G17" s="213">
        <v>-1515516.95</v>
      </c>
      <c r="H17" s="213">
        <v>1271206.48</v>
      </c>
      <c r="I17" s="213">
        <v>2797294.03</v>
      </c>
      <c r="J17" s="568">
        <f t="shared" si="0"/>
        <v>2797.29403</v>
      </c>
      <c r="K17" s="568">
        <f t="shared" si="1"/>
        <v>2797</v>
      </c>
    </row>
    <row r="18" spans="1:11" s="144" customFormat="1" x14ac:dyDescent="0.3">
      <c r="A18" s="145" t="s">
        <v>529</v>
      </c>
      <c r="B18" s="145" t="s">
        <v>529</v>
      </c>
      <c r="C18" s="145">
        <v>11239</v>
      </c>
      <c r="D18" t="s">
        <v>98</v>
      </c>
      <c r="E18" s="128">
        <v>1487.38</v>
      </c>
      <c r="F18" s="128">
        <v>111.14</v>
      </c>
      <c r="G18" s="128">
        <v>-7.24</v>
      </c>
      <c r="H18" s="128">
        <v>103.9</v>
      </c>
      <c r="I18" s="128">
        <v>1591.28</v>
      </c>
      <c r="J18" s="569">
        <f t="shared" si="0"/>
        <v>1.59128</v>
      </c>
      <c r="K18" s="569">
        <f t="shared" si="1"/>
        <v>2</v>
      </c>
    </row>
    <row r="19" spans="1:11" s="144" customFormat="1" x14ac:dyDescent="0.3">
      <c r="A19" s="145" t="s">
        <v>309</v>
      </c>
      <c r="B19" s="145" t="s">
        <v>309</v>
      </c>
      <c r="C19" s="145">
        <v>112316</v>
      </c>
      <c r="D19" t="s">
        <v>310</v>
      </c>
      <c r="E19" s="128">
        <v>668444.49</v>
      </c>
      <c r="F19" s="128">
        <v>615232.9</v>
      </c>
      <c r="G19" s="128">
        <v>-942531.05</v>
      </c>
      <c r="H19" s="128">
        <v>-327298.15000000002</v>
      </c>
      <c r="I19" s="128">
        <v>341146.34</v>
      </c>
      <c r="J19" s="569">
        <f t="shared" si="0"/>
        <v>341.14634000000001</v>
      </c>
      <c r="K19" s="569">
        <f t="shared" si="1"/>
        <v>341</v>
      </c>
    </row>
    <row r="20" spans="1:11" customFormat="1" x14ac:dyDescent="0.3">
      <c r="A20" s="145" t="s">
        <v>311</v>
      </c>
      <c r="B20" s="145" t="s">
        <v>311</v>
      </c>
      <c r="C20" s="145">
        <v>112317</v>
      </c>
      <c r="D20" t="s">
        <v>312</v>
      </c>
      <c r="E20" s="128">
        <v>267519.28000000003</v>
      </c>
      <c r="F20" s="128">
        <v>203053.6</v>
      </c>
      <c r="G20" s="128">
        <v>-389525.36</v>
      </c>
      <c r="H20" s="128">
        <v>-186471.76</v>
      </c>
      <c r="I20" s="128">
        <v>81047.520000000004</v>
      </c>
      <c r="J20" s="569">
        <f t="shared" si="0"/>
        <v>81.047520000000006</v>
      </c>
      <c r="K20" s="569">
        <f t="shared" si="1"/>
        <v>81</v>
      </c>
    </row>
    <row r="21" spans="1:11" customFormat="1" x14ac:dyDescent="0.3">
      <c r="A21" s="145" t="s">
        <v>313</v>
      </c>
      <c r="B21" s="145" t="s">
        <v>313</v>
      </c>
      <c r="C21" s="145">
        <v>112321</v>
      </c>
      <c r="D21" t="s">
        <v>99</v>
      </c>
      <c r="E21" s="128">
        <v>160515.44</v>
      </c>
      <c r="F21" s="128">
        <v>22937.86</v>
      </c>
      <c r="G21" s="128">
        <v>-183453.3</v>
      </c>
      <c r="H21" s="128">
        <v>-160515.44</v>
      </c>
      <c r="I21" s="128">
        <v>0</v>
      </c>
      <c r="J21" s="569">
        <f t="shared" si="0"/>
        <v>0</v>
      </c>
      <c r="K21" s="569">
        <f t="shared" si="1"/>
        <v>0</v>
      </c>
    </row>
    <row r="22" spans="1:11" customFormat="1" x14ac:dyDescent="0.3">
      <c r="A22" s="145" t="s">
        <v>530</v>
      </c>
      <c r="B22" s="145" t="s">
        <v>530</v>
      </c>
      <c r="C22" s="145">
        <v>112323</v>
      </c>
      <c r="D22" t="s">
        <v>100</v>
      </c>
      <c r="E22" s="128">
        <v>6209.59</v>
      </c>
      <c r="F22" s="128">
        <v>881407.2</v>
      </c>
      <c r="G22" s="128">
        <v>0</v>
      </c>
      <c r="H22" s="128">
        <v>881407.2</v>
      </c>
      <c r="I22" s="128">
        <v>887616.79</v>
      </c>
      <c r="J22" s="569">
        <f t="shared" si="0"/>
        <v>887.61679000000004</v>
      </c>
      <c r="K22" s="569">
        <f t="shared" si="1"/>
        <v>888</v>
      </c>
    </row>
    <row r="23" spans="1:11" s="144" customFormat="1" x14ac:dyDescent="0.3">
      <c r="A23" s="145" t="s">
        <v>314</v>
      </c>
      <c r="B23" s="145" t="s">
        <v>314</v>
      </c>
      <c r="C23" s="145">
        <v>112325</v>
      </c>
      <c r="D23" t="s">
        <v>315</v>
      </c>
      <c r="E23" s="128">
        <v>0</v>
      </c>
      <c r="F23" s="128">
        <v>3212.81</v>
      </c>
      <c r="G23" s="128">
        <v>0</v>
      </c>
      <c r="H23" s="128">
        <v>3212.81</v>
      </c>
      <c r="I23" s="128">
        <v>3212.81</v>
      </c>
      <c r="J23" s="569">
        <f t="shared" si="0"/>
        <v>3.2128100000000002</v>
      </c>
      <c r="K23" s="569">
        <f t="shared" si="1"/>
        <v>3</v>
      </c>
    </row>
    <row r="24" spans="1:11" customFormat="1" x14ac:dyDescent="0.3">
      <c r="A24" s="145" t="s">
        <v>316</v>
      </c>
      <c r="B24" s="145" t="s">
        <v>316</v>
      </c>
      <c r="C24" s="145">
        <v>112327</v>
      </c>
      <c r="D24" t="s">
        <v>101</v>
      </c>
      <c r="E24" s="128">
        <v>239.03</v>
      </c>
      <c r="F24" s="128">
        <v>19.559999999999999</v>
      </c>
      <c r="G24" s="128">
        <v>0</v>
      </c>
      <c r="H24" s="128">
        <v>19.559999999999999</v>
      </c>
      <c r="I24" s="128">
        <v>258.58999999999997</v>
      </c>
      <c r="J24" s="569">
        <f t="shared" si="0"/>
        <v>0.25858999999999999</v>
      </c>
      <c r="K24" s="569">
        <f t="shared" si="1"/>
        <v>0</v>
      </c>
    </row>
    <row r="25" spans="1:11" customFormat="1" x14ac:dyDescent="0.3">
      <c r="A25" s="145" t="s">
        <v>797</v>
      </c>
      <c r="B25" s="145" t="s">
        <v>797</v>
      </c>
      <c r="C25" s="145">
        <v>112332</v>
      </c>
      <c r="D25" t="s">
        <v>1167</v>
      </c>
      <c r="E25" s="128">
        <v>303457.43</v>
      </c>
      <c r="F25" s="128">
        <v>25801.89</v>
      </c>
      <c r="G25" s="128">
        <v>0</v>
      </c>
      <c r="H25" s="128">
        <v>25801.89</v>
      </c>
      <c r="I25" s="128">
        <v>329259.32</v>
      </c>
      <c r="J25" s="569">
        <f t="shared" si="0"/>
        <v>329.25932</v>
      </c>
      <c r="K25" s="569">
        <f t="shared" si="1"/>
        <v>329</v>
      </c>
    </row>
    <row r="26" spans="1:11" s="143" customFormat="1" x14ac:dyDescent="0.3">
      <c r="A26" s="145" t="s">
        <v>799</v>
      </c>
      <c r="B26" s="145" t="s">
        <v>799</v>
      </c>
      <c r="C26" s="145">
        <v>112333</v>
      </c>
      <c r="D26" t="s">
        <v>1168</v>
      </c>
      <c r="E26" s="128">
        <v>116319.94</v>
      </c>
      <c r="F26" s="128">
        <v>9890.26</v>
      </c>
      <c r="G26" s="128">
        <v>0</v>
      </c>
      <c r="H26" s="128">
        <v>9890.26</v>
      </c>
      <c r="I26" s="128">
        <v>126210.2</v>
      </c>
      <c r="J26" s="569">
        <f t="shared" si="0"/>
        <v>126.2102</v>
      </c>
      <c r="K26" s="569">
        <f t="shared" si="1"/>
        <v>126</v>
      </c>
    </row>
    <row r="27" spans="1:11" customFormat="1" x14ac:dyDescent="0.3">
      <c r="A27" s="145" t="s">
        <v>801</v>
      </c>
      <c r="B27" s="145" t="s">
        <v>801</v>
      </c>
      <c r="C27" s="145">
        <v>112334</v>
      </c>
      <c r="D27" t="s">
        <v>802</v>
      </c>
      <c r="E27" s="128">
        <v>1894.97</v>
      </c>
      <c r="F27" s="128">
        <v>175.88</v>
      </c>
      <c r="G27" s="128">
        <v>0</v>
      </c>
      <c r="H27" s="128">
        <v>175.88</v>
      </c>
      <c r="I27" s="128">
        <v>2070.85</v>
      </c>
      <c r="J27" s="569">
        <f t="shared" si="0"/>
        <v>2.0708500000000001</v>
      </c>
      <c r="K27" s="569">
        <f t="shared" si="1"/>
        <v>2</v>
      </c>
    </row>
    <row r="28" spans="1:11" s="144" customFormat="1" x14ac:dyDescent="0.3">
      <c r="A28" s="145" t="s">
        <v>1169</v>
      </c>
      <c r="B28" s="145" t="s">
        <v>1169</v>
      </c>
      <c r="C28" s="145">
        <v>112336</v>
      </c>
      <c r="D28" t="s">
        <v>1170</v>
      </c>
      <c r="E28" s="128">
        <v>0</v>
      </c>
      <c r="F28" s="128">
        <v>731946.72</v>
      </c>
      <c r="G28" s="128">
        <v>0</v>
      </c>
      <c r="H28" s="128">
        <v>731946.72</v>
      </c>
      <c r="I28" s="128">
        <v>731946.72</v>
      </c>
      <c r="J28" s="569">
        <f t="shared" si="0"/>
        <v>731.94672000000003</v>
      </c>
      <c r="K28" s="569">
        <f t="shared" si="1"/>
        <v>732</v>
      </c>
    </row>
    <row r="29" spans="1:11" customFormat="1" x14ac:dyDescent="0.3">
      <c r="A29" s="145" t="s">
        <v>1171</v>
      </c>
      <c r="B29" s="145" t="s">
        <v>1171</v>
      </c>
      <c r="C29" s="145">
        <v>112337</v>
      </c>
      <c r="D29" t="s">
        <v>1172</v>
      </c>
      <c r="E29" s="128">
        <v>0</v>
      </c>
      <c r="F29" s="128">
        <v>292933.61</v>
      </c>
      <c r="G29" s="128">
        <v>0</v>
      </c>
      <c r="H29" s="128">
        <v>292933.61</v>
      </c>
      <c r="I29" s="128">
        <v>292933.61</v>
      </c>
      <c r="J29" s="569">
        <f t="shared" si="0"/>
        <v>292.93360999999999</v>
      </c>
      <c r="K29" s="569">
        <f t="shared" si="1"/>
        <v>293</v>
      </c>
    </row>
    <row r="30" spans="1:11" s="144" customFormat="1" x14ac:dyDescent="0.3">
      <c r="A30" s="149" t="s">
        <v>531</v>
      </c>
      <c r="B30" s="149" t="s">
        <v>531</v>
      </c>
      <c r="C30" s="149">
        <v>1124</v>
      </c>
      <c r="D30" s="144" t="s">
        <v>102</v>
      </c>
      <c r="E30" s="213">
        <v>791539.18</v>
      </c>
      <c r="F30" s="213">
        <v>6967420.1699999999</v>
      </c>
      <c r="G30" s="213">
        <v>-5292938.53</v>
      </c>
      <c r="H30" s="213">
        <v>1674481.64</v>
      </c>
      <c r="I30" s="213">
        <v>2466020.8199999998</v>
      </c>
      <c r="J30" s="568">
        <f t="shared" si="0"/>
        <v>2466.0208199999997</v>
      </c>
      <c r="K30" s="568">
        <f t="shared" si="1"/>
        <v>2466</v>
      </c>
    </row>
    <row r="31" spans="1:11" s="144" customFormat="1" x14ac:dyDescent="0.3">
      <c r="A31" s="145" t="s">
        <v>532</v>
      </c>
      <c r="B31" s="145" t="s">
        <v>532</v>
      </c>
      <c r="C31" s="145">
        <v>11241</v>
      </c>
      <c r="D31" t="s">
        <v>103</v>
      </c>
      <c r="E31" s="128">
        <v>791539.18</v>
      </c>
      <c r="F31" s="128">
        <v>3973975.53</v>
      </c>
      <c r="G31" s="128">
        <v>-4615176.91</v>
      </c>
      <c r="H31" s="128">
        <v>-641201.38</v>
      </c>
      <c r="I31" s="128">
        <v>150337.79999999999</v>
      </c>
      <c r="J31" s="569">
        <f t="shared" si="0"/>
        <v>150.33779999999999</v>
      </c>
      <c r="K31" s="569">
        <f t="shared" si="1"/>
        <v>150</v>
      </c>
    </row>
    <row r="32" spans="1:11" customFormat="1" x14ac:dyDescent="0.3">
      <c r="A32" s="145" t="s">
        <v>533</v>
      </c>
      <c r="B32" s="145" t="s">
        <v>533</v>
      </c>
      <c r="C32" s="145">
        <v>11242</v>
      </c>
      <c r="D32" t="s">
        <v>104</v>
      </c>
      <c r="E32" s="128">
        <v>0</v>
      </c>
      <c r="F32" s="128">
        <v>2373741.42</v>
      </c>
      <c r="G32" s="128">
        <v>-58058.400000000001</v>
      </c>
      <c r="H32" s="128">
        <v>2315683.02</v>
      </c>
      <c r="I32" s="128">
        <v>2315683.02</v>
      </c>
      <c r="J32" s="569">
        <f t="shared" si="0"/>
        <v>2315.6830199999999</v>
      </c>
      <c r="K32" s="569">
        <f t="shared" si="1"/>
        <v>2316</v>
      </c>
    </row>
    <row r="33" spans="1:11" s="144" customFormat="1" x14ac:dyDescent="0.3">
      <c r="A33" s="145" t="s">
        <v>320</v>
      </c>
      <c r="B33" s="145" t="s">
        <v>320</v>
      </c>
      <c r="C33" s="145">
        <v>112424</v>
      </c>
      <c r="D33" t="s">
        <v>105</v>
      </c>
      <c r="E33" s="128">
        <v>0</v>
      </c>
      <c r="F33" s="128">
        <v>573452.39</v>
      </c>
      <c r="G33" s="128">
        <v>-573452.39</v>
      </c>
      <c r="H33" s="128">
        <v>0</v>
      </c>
      <c r="I33" s="128">
        <v>0</v>
      </c>
      <c r="J33" s="569">
        <f t="shared" si="0"/>
        <v>0</v>
      </c>
      <c r="K33" s="569">
        <f t="shared" si="1"/>
        <v>0</v>
      </c>
    </row>
    <row r="34" spans="1:11" customFormat="1" x14ac:dyDescent="0.3">
      <c r="A34" s="145" t="s">
        <v>321</v>
      </c>
      <c r="B34" s="145" t="s">
        <v>321</v>
      </c>
      <c r="C34" s="145">
        <v>112425</v>
      </c>
      <c r="D34" t="s">
        <v>106</v>
      </c>
      <c r="E34" s="128">
        <v>0</v>
      </c>
      <c r="F34" s="128">
        <v>46250.83</v>
      </c>
      <c r="G34" s="128">
        <v>-46250.83</v>
      </c>
      <c r="H34" s="128">
        <v>0</v>
      </c>
      <c r="I34" s="128">
        <v>0</v>
      </c>
      <c r="J34" s="569">
        <f t="shared" si="0"/>
        <v>0</v>
      </c>
      <c r="K34" s="569">
        <f t="shared" si="1"/>
        <v>0</v>
      </c>
    </row>
    <row r="35" spans="1:11" s="143" customFormat="1" x14ac:dyDescent="0.3">
      <c r="A35" s="149" t="s">
        <v>322</v>
      </c>
      <c r="B35" s="149" t="s">
        <v>322</v>
      </c>
      <c r="C35" s="149">
        <v>1125</v>
      </c>
      <c r="D35" s="144" t="s">
        <v>1173</v>
      </c>
      <c r="E35" s="213">
        <v>0</v>
      </c>
      <c r="F35" s="213">
        <v>116900</v>
      </c>
      <c r="G35" s="213">
        <v>-90000</v>
      </c>
      <c r="H35" s="213">
        <v>26900</v>
      </c>
      <c r="I35" s="213">
        <v>26900</v>
      </c>
      <c r="J35" s="568">
        <f t="shared" si="0"/>
        <v>26.9</v>
      </c>
      <c r="K35" s="568">
        <f t="shared" si="1"/>
        <v>27</v>
      </c>
    </row>
    <row r="36" spans="1:11" s="144" customFormat="1" x14ac:dyDescent="0.3">
      <c r="A36" s="145" t="s">
        <v>323</v>
      </c>
      <c r="B36" s="145" t="s">
        <v>323</v>
      </c>
      <c r="C36" s="145">
        <v>11254</v>
      </c>
      <c r="D36" t="s">
        <v>1174</v>
      </c>
      <c r="E36" s="128">
        <v>0</v>
      </c>
      <c r="F36" s="128">
        <v>116900</v>
      </c>
      <c r="G36" s="128">
        <v>-90000</v>
      </c>
      <c r="H36" s="128">
        <v>26900</v>
      </c>
      <c r="I36" s="128">
        <v>26900</v>
      </c>
      <c r="J36" s="569">
        <f t="shared" si="0"/>
        <v>26.9</v>
      </c>
      <c r="K36" s="569">
        <f t="shared" si="1"/>
        <v>27</v>
      </c>
    </row>
    <row r="37" spans="1:11" s="144" customFormat="1" x14ac:dyDescent="0.3">
      <c r="A37" s="149" t="s">
        <v>326</v>
      </c>
      <c r="B37" s="149" t="s">
        <v>326</v>
      </c>
      <c r="C37" s="149">
        <v>1129</v>
      </c>
      <c r="D37" s="144" t="s">
        <v>6</v>
      </c>
      <c r="E37" s="213">
        <v>0</v>
      </c>
      <c r="F37" s="213">
        <v>4288331.72</v>
      </c>
      <c r="G37" s="213">
        <v>-4288331.72</v>
      </c>
      <c r="H37" s="213">
        <v>0</v>
      </c>
      <c r="I37" s="213">
        <v>0</v>
      </c>
      <c r="J37" s="568">
        <f t="shared" si="0"/>
        <v>0</v>
      </c>
      <c r="K37" s="568">
        <f t="shared" si="1"/>
        <v>0</v>
      </c>
    </row>
    <row r="38" spans="1:11" customFormat="1" x14ac:dyDescent="0.3">
      <c r="A38" s="145" t="s">
        <v>327</v>
      </c>
      <c r="B38" s="145" t="s">
        <v>327</v>
      </c>
      <c r="C38" s="145">
        <v>11291</v>
      </c>
      <c r="D38" t="s">
        <v>1090</v>
      </c>
      <c r="E38" s="128">
        <v>0</v>
      </c>
      <c r="F38" s="128">
        <v>4288331.72</v>
      </c>
      <c r="G38" s="128">
        <v>-4288331.72</v>
      </c>
      <c r="H38" s="128">
        <v>0</v>
      </c>
      <c r="I38" s="128">
        <v>0</v>
      </c>
      <c r="J38" s="569">
        <f t="shared" si="0"/>
        <v>0</v>
      </c>
      <c r="K38" s="569">
        <f t="shared" si="1"/>
        <v>0</v>
      </c>
    </row>
    <row r="39" spans="1:11" s="144" customFormat="1" x14ac:dyDescent="0.3">
      <c r="A39" s="149" t="s">
        <v>328</v>
      </c>
      <c r="B39" s="149" t="s">
        <v>328</v>
      </c>
      <c r="C39" s="149">
        <v>11299</v>
      </c>
      <c r="D39" s="144" t="s">
        <v>107</v>
      </c>
      <c r="E39" s="213">
        <v>131.97999999999999</v>
      </c>
      <c r="F39" s="213">
        <v>489753.33</v>
      </c>
      <c r="G39" s="213">
        <v>-489424.25</v>
      </c>
      <c r="H39" s="213">
        <v>329.08</v>
      </c>
      <c r="I39" s="213">
        <v>461.06</v>
      </c>
      <c r="J39" s="568">
        <f t="shared" si="0"/>
        <v>0.46106000000000003</v>
      </c>
      <c r="K39" s="568">
        <f t="shared" si="1"/>
        <v>0</v>
      </c>
    </row>
    <row r="40" spans="1:11" customFormat="1" x14ac:dyDescent="0.3">
      <c r="A40" s="145" t="s">
        <v>329</v>
      </c>
      <c r="B40" s="145" t="s">
        <v>329</v>
      </c>
      <c r="C40" s="145">
        <v>112995</v>
      </c>
      <c r="D40" t="s">
        <v>330</v>
      </c>
      <c r="E40" s="128">
        <v>0</v>
      </c>
      <c r="F40" s="128">
        <v>489424.25</v>
      </c>
      <c r="G40" s="128">
        <v>-489424.25</v>
      </c>
      <c r="H40" s="128">
        <v>0</v>
      </c>
      <c r="I40" s="128">
        <v>0</v>
      </c>
      <c r="J40" s="569">
        <f t="shared" si="0"/>
        <v>0</v>
      </c>
      <c r="K40" s="569">
        <f t="shared" si="1"/>
        <v>0</v>
      </c>
    </row>
    <row r="41" spans="1:11" customFormat="1" x14ac:dyDescent="0.3">
      <c r="A41" s="145" t="s">
        <v>331</v>
      </c>
      <c r="B41" s="145" t="s">
        <v>331</v>
      </c>
      <c r="C41" s="145">
        <v>11299999</v>
      </c>
      <c r="D41" t="s">
        <v>108</v>
      </c>
      <c r="E41" s="128">
        <v>131.97999999999999</v>
      </c>
      <c r="F41" s="128">
        <v>329.08</v>
      </c>
      <c r="G41" s="128">
        <v>0</v>
      </c>
      <c r="H41" s="128">
        <v>329.08</v>
      </c>
      <c r="I41" s="128">
        <v>461.06</v>
      </c>
      <c r="J41" s="569">
        <f t="shared" si="0"/>
        <v>0.46106000000000003</v>
      </c>
      <c r="K41" s="569">
        <f t="shared" si="1"/>
        <v>0</v>
      </c>
    </row>
    <row r="42" spans="1:11" s="144" customFormat="1" x14ac:dyDescent="0.3">
      <c r="A42" s="149" t="s">
        <v>534</v>
      </c>
      <c r="B42" s="149" t="s">
        <v>534</v>
      </c>
      <c r="C42" s="149">
        <v>113</v>
      </c>
      <c r="D42" s="144" t="s">
        <v>86</v>
      </c>
      <c r="E42" s="213">
        <v>2579444.2200000002</v>
      </c>
      <c r="F42" s="213">
        <v>4776408.5</v>
      </c>
      <c r="G42" s="213">
        <v>-4628696.4000000004</v>
      </c>
      <c r="H42" s="213">
        <v>147712.1</v>
      </c>
      <c r="I42" s="213">
        <v>2727156.32</v>
      </c>
      <c r="J42" s="568">
        <f t="shared" si="0"/>
        <v>2727.1563200000001</v>
      </c>
      <c r="K42" s="568">
        <f t="shared" si="1"/>
        <v>2727</v>
      </c>
    </row>
    <row r="43" spans="1:11" s="144" customFormat="1" x14ac:dyDescent="0.3">
      <c r="A43" s="149" t="s">
        <v>535</v>
      </c>
      <c r="B43" s="149" t="s">
        <v>535</v>
      </c>
      <c r="C43" s="149">
        <v>1131</v>
      </c>
      <c r="D43" s="144" t="s">
        <v>86</v>
      </c>
      <c r="E43" s="213">
        <v>2579444.2200000002</v>
      </c>
      <c r="F43" s="213">
        <v>4776408.5</v>
      </c>
      <c r="G43" s="213">
        <v>-4628696.4000000004</v>
      </c>
      <c r="H43" s="213">
        <v>147712.1</v>
      </c>
      <c r="I43" s="213">
        <v>2727156.32</v>
      </c>
      <c r="J43" s="568">
        <f t="shared" si="0"/>
        <v>2727.1563200000001</v>
      </c>
      <c r="K43" s="568">
        <f t="shared" si="1"/>
        <v>2727</v>
      </c>
    </row>
    <row r="44" spans="1:11" customFormat="1" x14ac:dyDescent="0.3">
      <c r="A44" s="145" t="s">
        <v>536</v>
      </c>
      <c r="B44" s="145" t="s">
        <v>536</v>
      </c>
      <c r="C44" s="145">
        <v>11311</v>
      </c>
      <c r="D44" t="s">
        <v>332</v>
      </c>
      <c r="E44" s="128">
        <v>182386.24</v>
      </c>
      <c r="F44" s="128">
        <v>0</v>
      </c>
      <c r="G44" s="128">
        <v>-145589.01999999999</v>
      </c>
      <c r="H44" s="128">
        <v>-145589.01999999999</v>
      </c>
      <c r="I44" s="128">
        <v>36797.22</v>
      </c>
      <c r="J44" s="569">
        <f t="shared" si="0"/>
        <v>36.797220000000003</v>
      </c>
      <c r="K44" s="569">
        <f>ROUND(J44,0)</f>
        <v>37</v>
      </c>
    </row>
    <row r="45" spans="1:11" customFormat="1" x14ac:dyDescent="0.3">
      <c r="A45" s="145" t="s">
        <v>537</v>
      </c>
      <c r="B45" s="145" t="s">
        <v>537</v>
      </c>
      <c r="C45" s="145">
        <v>11312</v>
      </c>
      <c r="D45" t="s">
        <v>109</v>
      </c>
      <c r="E45" s="128">
        <v>997373.59</v>
      </c>
      <c r="F45" s="128">
        <v>1497554.82</v>
      </c>
      <c r="G45" s="128">
        <v>-1502789.06</v>
      </c>
      <c r="H45" s="128">
        <v>-5234.24</v>
      </c>
      <c r="I45" s="128">
        <v>992139.35</v>
      </c>
      <c r="J45" s="569">
        <f t="shared" si="0"/>
        <v>992.13934999999992</v>
      </c>
      <c r="K45" s="569">
        <f t="shared" si="1"/>
        <v>992</v>
      </c>
    </row>
    <row r="46" spans="1:11" s="144" customFormat="1" x14ac:dyDescent="0.3">
      <c r="A46" s="145" t="s">
        <v>538</v>
      </c>
      <c r="B46" s="145" t="s">
        <v>538</v>
      </c>
      <c r="C46" s="145">
        <v>11313</v>
      </c>
      <c r="D46" t="s">
        <v>110</v>
      </c>
      <c r="E46" s="128">
        <v>122487.05</v>
      </c>
      <c r="F46" s="128">
        <v>289211.71000000002</v>
      </c>
      <c r="G46" s="128">
        <v>-203892.03</v>
      </c>
      <c r="H46" s="128">
        <v>85319.679999999993</v>
      </c>
      <c r="I46" s="128">
        <v>207806.73</v>
      </c>
      <c r="J46" s="569">
        <f t="shared" si="0"/>
        <v>207.80673000000002</v>
      </c>
      <c r="K46" s="569">
        <f t="shared" si="1"/>
        <v>208</v>
      </c>
    </row>
    <row r="47" spans="1:11" customFormat="1" x14ac:dyDescent="0.3">
      <c r="A47" s="145" t="s">
        <v>539</v>
      </c>
      <c r="B47" s="145" t="s">
        <v>539</v>
      </c>
      <c r="C47" s="145">
        <v>11315</v>
      </c>
      <c r="D47" t="s">
        <v>333</v>
      </c>
      <c r="E47" s="128">
        <v>0</v>
      </c>
      <c r="F47" s="128">
        <v>447067.74</v>
      </c>
      <c r="G47" s="128">
        <v>-334382.17</v>
      </c>
      <c r="H47" s="128">
        <v>112685.57</v>
      </c>
      <c r="I47" s="128">
        <v>112685.57</v>
      </c>
      <c r="J47" s="569">
        <f t="shared" si="0"/>
        <v>112.68557000000001</v>
      </c>
      <c r="K47" s="569">
        <f>ROUND(J47,0)-1</f>
        <v>112</v>
      </c>
    </row>
    <row r="48" spans="1:11" customFormat="1" x14ac:dyDescent="0.3">
      <c r="A48" s="145" t="s">
        <v>540</v>
      </c>
      <c r="B48" s="145" t="s">
        <v>540</v>
      </c>
      <c r="C48" s="145">
        <v>11316</v>
      </c>
      <c r="D48" t="s">
        <v>111</v>
      </c>
      <c r="E48" s="128">
        <v>1277197.3400000001</v>
      </c>
      <c r="F48" s="128">
        <v>2542574.23</v>
      </c>
      <c r="G48" s="128">
        <v>-2442044.12</v>
      </c>
      <c r="H48" s="128">
        <v>100530.11</v>
      </c>
      <c r="I48" s="128">
        <v>1377727.45</v>
      </c>
      <c r="J48" s="569">
        <f t="shared" si="0"/>
        <v>1377.7274499999999</v>
      </c>
      <c r="K48" s="569">
        <f t="shared" si="1"/>
        <v>1378</v>
      </c>
    </row>
    <row r="49" spans="1:11" s="143" customFormat="1" x14ac:dyDescent="0.3">
      <c r="A49" s="149" t="s">
        <v>541</v>
      </c>
      <c r="B49" s="149" t="s">
        <v>541</v>
      </c>
      <c r="C49" s="149">
        <v>12</v>
      </c>
      <c r="D49" s="144" t="s">
        <v>112</v>
      </c>
      <c r="E49" s="213">
        <v>15853681.23</v>
      </c>
      <c r="F49" s="213">
        <v>807155.99</v>
      </c>
      <c r="G49" s="213">
        <v>-2956284.33</v>
      </c>
      <c r="H49" s="213">
        <v>-2149128.34</v>
      </c>
      <c r="I49" s="213">
        <v>13704552.890000001</v>
      </c>
      <c r="J49" s="568">
        <f t="shared" si="0"/>
        <v>13704.552890000001</v>
      </c>
      <c r="K49" s="568">
        <f t="shared" si="1"/>
        <v>13705</v>
      </c>
    </row>
    <row r="50" spans="1:11" s="144" customFormat="1" x14ac:dyDescent="0.3">
      <c r="A50" s="149" t="s">
        <v>542</v>
      </c>
      <c r="B50" s="149" t="s">
        <v>542</v>
      </c>
      <c r="C50" s="149">
        <v>121</v>
      </c>
      <c r="D50" s="144" t="s">
        <v>113</v>
      </c>
      <c r="E50" s="213">
        <v>4843914.13</v>
      </c>
      <c r="F50" s="213">
        <v>317759.99</v>
      </c>
      <c r="G50" s="213">
        <v>-309207.83</v>
      </c>
      <c r="H50" s="213">
        <v>8552.16</v>
      </c>
      <c r="I50" s="213">
        <v>4852466.29</v>
      </c>
      <c r="J50" s="568">
        <f t="shared" si="0"/>
        <v>4852.4662900000003</v>
      </c>
      <c r="K50" s="568">
        <f t="shared" si="1"/>
        <v>4852</v>
      </c>
    </row>
    <row r="51" spans="1:11" s="144" customFormat="1" x14ac:dyDescent="0.3">
      <c r="A51" s="149" t="s">
        <v>543</v>
      </c>
      <c r="B51" s="149" t="s">
        <v>543</v>
      </c>
      <c r="C51" s="149">
        <v>1213</v>
      </c>
      <c r="D51" s="144" t="s">
        <v>308</v>
      </c>
      <c r="E51" s="213">
        <v>163736.13</v>
      </c>
      <c r="F51" s="213">
        <v>12835.22</v>
      </c>
      <c r="G51" s="213">
        <v>0</v>
      </c>
      <c r="H51" s="213">
        <v>12835.22</v>
      </c>
      <c r="I51" s="213">
        <v>176571.35</v>
      </c>
      <c r="J51" s="568">
        <f t="shared" si="0"/>
        <v>176.57135</v>
      </c>
      <c r="K51" s="568">
        <f t="shared" si="1"/>
        <v>177</v>
      </c>
    </row>
    <row r="52" spans="1:11" customFormat="1" x14ac:dyDescent="0.3">
      <c r="A52" s="145" t="s">
        <v>544</v>
      </c>
      <c r="B52" s="145" t="s">
        <v>544</v>
      </c>
      <c r="C52" s="145">
        <v>12131</v>
      </c>
      <c r="D52" t="s">
        <v>114</v>
      </c>
      <c r="E52" s="128">
        <v>21320.17</v>
      </c>
      <c r="F52" s="128">
        <v>1644.02</v>
      </c>
      <c r="G52" s="128">
        <v>0</v>
      </c>
      <c r="H52" s="128">
        <v>1644.02</v>
      </c>
      <c r="I52" s="128">
        <v>22964.19</v>
      </c>
      <c r="J52" s="569">
        <f t="shared" si="0"/>
        <v>22.964189999999999</v>
      </c>
      <c r="K52" s="569">
        <f t="shared" si="1"/>
        <v>23</v>
      </c>
    </row>
    <row r="53" spans="1:11" s="143" customFormat="1" x14ac:dyDescent="0.3">
      <c r="A53" s="145" t="s">
        <v>545</v>
      </c>
      <c r="B53" s="145" t="s">
        <v>545</v>
      </c>
      <c r="C53" s="145">
        <v>12134</v>
      </c>
      <c r="D53" t="s">
        <v>115</v>
      </c>
      <c r="E53" s="128">
        <v>4640.58</v>
      </c>
      <c r="F53" s="128">
        <v>0</v>
      </c>
      <c r="G53" s="128">
        <v>0</v>
      </c>
      <c r="H53" s="128">
        <v>0</v>
      </c>
      <c r="I53" s="128">
        <v>4640.58</v>
      </c>
      <c r="J53" s="569">
        <f t="shared" si="0"/>
        <v>4.6405799999999999</v>
      </c>
      <c r="K53" s="569">
        <f t="shared" si="1"/>
        <v>5</v>
      </c>
    </row>
    <row r="54" spans="1:11" customFormat="1" x14ac:dyDescent="0.3">
      <c r="A54" s="145" t="s">
        <v>546</v>
      </c>
      <c r="B54" s="145" t="s">
        <v>546</v>
      </c>
      <c r="C54" s="145">
        <v>12135</v>
      </c>
      <c r="D54" t="s">
        <v>116</v>
      </c>
      <c r="E54" s="128">
        <v>137775.38</v>
      </c>
      <c r="F54" s="128">
        <v>11191.2</v>
      </c>
      <c r="G54" s="128">
        <v>0</v>
      </c>
      <c r="H54" s="128">
        <v>11191.2</v>
      </c>
      <c r="I54" s="128">
        <v>148966.57999999999</v>
      </c>
      <c r="J54" s="569">
        <f t="shared" si="0"/>
        <v>148.96657999999999</v>
      </c>
      <c r="K54" s="569">
        <f t="shared" si="1"/>
        <v>149</v>
      </c>
    </row>
    <row r="55" spans="1:11" s="144" customFormat="1" x14ac:dyDescent="0.3">
      <c r="A55" s="149" t="s">
        <v>334</v>
      </c>
      <c r="B55" s="149" t="s">
        <v>334</v>
      </c>
      <c r="C55" s="149">
        <v>1216</v>
      </c>
      <c r="D55" s="144" t="s">
        <v>86</v>
      </c>
      <c r="E55" s="213">
        <v>281071.57</v>
      </c>
      <c r="F55" s="213">
        <v>0</v>
      </c>
      <c r="G55" s="213">
        <v>-281071.57</v>
      </c>
      <c r="H55" s="213">
        <v>-281071.57</v>
      </c>
      <c r="I55" s="213">
        <v>0</v>
      </c>
      <c r="J55" s="568">
        <f t="shared" si="0"/>
        <v>0</v>
      </c>
      <c r="K55" s="568">
        <f t="shared" si="1"/>
        <v>0</v>
      </c>
    </row>
    <row r="56" spans="1:11" customFormat="1" x14ac:dyDescent="0.3">
      <c r="A56" s="145" t="s">
        <v>1089</v>
      </c>
      <c r="B56" s="145" t="s">
        <v>1089</v>
      </c>
      <c r="C56" s="145">
        <v>12165</v>
      </c>
      <c r="D56" t="s">
        <v>111</v>
      </c>
      <c r="E56" s="128">
        <v>281071.57</v>
      </c>
      <c r="F56" s="128">
        <v>0</v>
      </c>
      <c r="G56" s="128">
        <v>-281071.57</v>
      </c>
      <c r="H56" s="128">
        <v>-281071.57</v>
      </c>
      <c r="I56" s="128">
        <v>0</v>
      </c>
      <c r="J56" s="569">
        <f t="shared" si="0"/>
        <v>0</v>
      </c>
      <c r="K56" s="569">
        <f t="shared" si="1"/>
        <v>0</v>
      </c>
    </row>
    <row r="57" spans="1:11" s="144" customFormat="1" x14ac:dyDescent="0.3">
      <c r="A57" s="149" t="s">
        <v>335</v>
      </c>
      <c r="B57" s="149" t="s">
        <v>335</v>
      </c>
      <c r="C57" s="149">
        <v>1217</v>
      </c>
      <c r="D57" s="144" t="s">
        <v>117</v>
      </c>
      <c r="E57" s="213">
        <v>147.28</v>
      </c>
      <c r="F57" s="213">
        <v>27.6</v>
      </c>
      <c r="G57" s="213">
        <v>0</v>
      </c>
      <c r="H57" s="213">
        <v>27.6</v>
      </c>
      <c r="I57" s="213">
        <v>174.88</v>
      </c>
      <c r="J57" s="568">
        <f t="shared" si="0"/>
        <v>0.17488000000000001</v>
      </c>
      <c r="K57" s="568">
        <f t="shared" si="1"/>
        <v>0</v>
      </c>
    </row>
    <row r="58" spans="1:11" customFormat="1" x14ac:dyDescent="0.3">
      <c r="A58" s="145" t="s">
        <v>336</v>
      </c>
      <c r="B58" s="145" t="s">
        <v>336</v>
      </c>
      <c r="C58" s="145">
        <v>12171</v>
      </c>
      <c r="D58" t="s">
        <v>118</v>
      </c>
      <c r="E58" s="128">
        <v>147.28</v>
      </c>
      <c r="F58" s="128">
        <v>27.6</v>
      </c>
      <c r="G58" s="128">
        <v>0</v>
      </c>
      <c r="H58" s="128">
        <v>27.6</v>
      </c>
      <c r="I58" s="128">
        <v>174.88</v>
      </c>
      <c r="J58" s="569">
        <f t="shared" si="0"/>
        <v>0.17488000000000001</v>
      </c>
      <c r="K58" s="569">
        <f t="shared" si="1"/>
        <v>0</v>
      </c>
    </row>
    <row r="59" spans="1:11" s="144" customFormat="1" x14ac:dyDescent="0.3">
      <c r="A59" s="149" t="s">
        <v>547</v>
      </c>
      <c r="B59" s="149" t="s">
        <v>547</v>
      </c>
      <c r="C59" s="149">
        <v>1218</v>
      </c>
      <c r="D59" s="144" t="s">
        <v>282</v>
      </c>
      <c r="E59" s="213">
        <v>4398959.1500000004</v>
      </c>
      <c r="F59" s="213">
        <v>304897.17</v>
      </c>
      <c r="G59" s="213">
        <v>-28136.26</v>
      </c>
      <c r="H59" s="213">
        <v>276760.90999999997</v>
      </c>
      <c r="I59" s="213">
        <v>4675720.0599999996</v>
      </c>
      <c r="J59" s="568">
        <f t="shared" si="0"/>
        <v>4675.7200599999996</v>
      </c>
      <c r="K59" s="568">
        <f t="shared" si="1"/>
        <v>4676</v>
      </c>
    </row>
    <row r="60" spans="1:11" customFormat="1" x14ac:dyDescent="0.3">
      <c r="A60" s="145" t="s">
        <v>548</v>
      </c>
      <c r="B60" s="145" t="s">
        <v>548</v>
      </c>
      <c r="C60" s="145">
        <v>12181</v>
      </c>
      <c r="D60" t="s">
        <v>324</v>
      </c>
      <c r="E60" s="128">
        <v>3928358.17</v>
      </c>
      <c r="F60" s="128">
        <v>161824.1</v>
      </c>
      <c r="G60" s="128">
        <v>-15003.62</v>
      </c>
      <c r="H60" s="128">
        <v>146820.48000000001</v>
      </c>
      <c r="I60" s="128">
        <v>4075178.65</v>
      </c>
      <c r="J60" s="569">
        <f t="shared" si="0"/>
        <v>4075.1786499999998</v>
      </c>
      <c r="K60" s="569">
        <f t="shared" si="1"/>
        <v>4075</v>
      </c>
    </row>
    <row r="61" spans="1:11" customFormat="1" x14ac:dyDescent="0.3">
      <c r="A61" s="145" t="s">
        <v>549</v>
      </c>
      <c r="B61" s="145" t="s">
        <v>549</v>
      </c>
      <c r="C61" s="145">
        <v>12182</v>
      </c>
      <c r="D61" t="s">
        <v>325</v>
      </c>
      <c r="E61" s="128">
        <v>309419.75</v>
      </c>
      <c r="F61" s="128">
        <v>134703.15</v>
      </c>
      <c r="G61" s="128">
        <v>-10352.64</v>
      </c>
      <c r="H61" s="128">
        <v>124350.51</v>
      </c>
      <c r="I61" s="128">
        <v>433770.26</v>
      </c>
      <c r="J61" s="569">
        <f t="shared" si="0"/>
        <v>433.77026000000001</v>
      </c>
      <c r="K61" s="569">
        <f t="shared" si="1"/>
        <v>434</v>
      </c>
    </row>
    <row r="62" spans="1:11" customFormat="1" x14ac:dyDescent="0.3">
      <c r="A62" s="145" t="s">
        <v>550</v>
      </c>
      <c r="B62" s="145" t="s">
        <v>550</v>
      </c>
      <c r="C62" s="145">
        <v>12183</v>
      </c>
      <c r="D62" t="s">
        <v>119</v>
      </c>
      <c r="E62" s="128">
        <v>161181.23000000001</v>
      </c>
      <c r="F62" s="128">
        <v>8369.92</v>
      </c>
      <c r="G62" s="128">
        <v>-2780</v>
      </c>
      <c r="H62" s="128">
        <v>5589.92</v>
      </c>
      <c r="I62" s="128">
        <v>166771.15</v>
      </c>
      <c r="J62" s="569">
        <f t="shared" si="0"/>
        <v>166.77115000000001</v>
      </c>
      <c r="K62" s="569">
        <f t="shared" si="1"/>
        <v>167</v>
      </c>
    </row>
    <row r="63" spans="1:11" s="143" customFormat="1" x14ac:dyDescent="0.3">
      <c r="A63" s="149" t="s">
        <v>551</v>
      </c>
      <c r="B63" s="149" t="s">
        <v>551</v>
      </c>
      <c r="C63" s="149">
        <v>123</v>
      </c>
      <c r="D63" s="144" t="s">
        <v>120</v>
      </c>
      <c r="E63" s="213">
        <v>6830589.3200000003</v>
      </c>
      <c r="F63" s="213">
        <v>489396</v>
      </c>
      <c r="G63" s="213">
        <v>-1512407.82</v>
      </c>
      <c r="H63" s="213">
        <v>-1023011.82</v>
      </c>
      <c r="I63" s="213">
        <v>5807577.5</v>
      </c>
      <c r="J63" s="568">
        <f t="shared" si="0"/>
        <v>5807.5775000000003</v>
      </c>
      <c r="K63" s="568">
        <f t="shared" si="1"/>
        <v>5808</v>
      </c>
    </row>
    <row r="64" spans="1:11" s="143" customFormat="1" x14ac:dyDescent="0.3">
      <c r="A64" s="149" t="s">
        <v>552</v>
      </c>
      <c r="B64" s="149" t="s">
        <v>552</v>
      </c>
      <c r="C64" s="149">
        <v>1231</v>
      </c>
      <c r="D64" s="144" t="s">
        <v>121</v>
      </c>
      <c r="E64" s="213">
        <v>16839721.48</v>
      </c>
      <c r="F64" s="213">
        <v>489396</v>
      </c>
      <c r="G64" s="213">
        <v>-226448</v>
      </c>
      <c r="H64" s="213">
        <v>262948</v>
      </c>
      <c r="I64" s="213">
        <v>17102669.48</v>
      </c>
      <c r="J64" s="568">
        <f t="shared" si="0"/>
        <v>17102.66948</v>
      </c>
      <c r="K64" s="568">
        <f t="shared" si="1"/>
        <v>17103</v>
      </c>
    </row>
    <row r="65" spans="1:11" x14ac:dyDescent="0.3">
      <c r="A65" s="145" t="s">
        <v>553</v>
      </c>
      <c r="B65" s="145" t="s">
        <v>553</v>
      </c>
      <c r="C65" s="145">
        <v>12313</v>
      </c>
      <c r="D65" t="s">
        <v>122</v>
      </c>
      <c r="E65" s="128">
        <v>2400056.5099999998</v>
      </c>
      <c r="F65" s="128">
        <v>0</v>
      </c>
      <c r="G65" s="128">
        <v>0</v>
      </c>
      <c r="H65" s="128">
        <v>0</v>
      </c>
      <c r="I65" s="128">
        <v>2400056.5099999998</v>
      </c>
      <c r="J65" s="569">
        <f t="shared" si="0"/>
        <v>2400.0565099999999</v>
      </c>
      <c r="K65" s="569">
        <f t="shared" si="1"/>
        <v>2400</v>
      </c>
    </row>
    <row r="66" spans="1:11" customFormat="1" x14ac:dyDescent="0.3">
      <c r="A66" s="145" t="s">
        <v>554</v>
      </c>
      <c r="B66" s="145" t="s">
        <v>554</v>
      </c>
      <c r="C66" s="145">
        <v>12314</v>
      </c>
      <c r="D66" t="s">
        <v>123</v>
      </c>
      <c r="E66" s="128">
        <v>791662.23</v>
      </c>
      <c r="F66" s="128">
        <v>0</v>
      </c>
      <c r="G66" s="128">
        <v>0</v>
      </c>
      <c r="H66" s="128">
        <v>0</v>
      </c>
      <c r="I66" s="128">
        <v>791662.23</v>
      </c>
      <c r="J66" s="569">
        <f t="shared" si="0"/>
        <v>791.66223000000002</v>
      </c>
      <c r="K66" s="569">
        <f t="shared" si="1"/>
        <v>792</v>
      </c>
    </row>
    <row r="67" spans="1:11" s="144" customFormat="1" x14ac:dyDescent="0.3">
      <c r="A67" s="145" t="s">
        <v>555</v>
      </c>
      <c r="B67" s="145" t="s">
        <v>555</v>
      </c>
      <c r="C67" s="145">
        <v>12315</v>
      </c>
      <c r="D67" t="s">
        <v>124</v>
      </c>
      <c r="E67" s="128">
        <v>11462174.43</v>
      </c>
      <c r="F67" s="128">
        <v>456656</v>
      </c>
      <c r="G67" s="128">
        <v>-210078</v>
      </c>
      <c r="H67" s="128">
        <v>246578</v>
      </c>
      <c r="I67" s="128">
        <v>11708752.43</v>
      </c>
      <c r="J67" s="569">
        <f t="shared" si="0"/>
        <v>11708.75243</v>
      </c>
      <c r="K67" s="569">
        <f t="shared" si="1"/>
        <v>11709</v>
      </c>
    </row>
    <row r="68" spans="1:11" customFormat="1" x14ac:dyDescent="0.3">
      <c r="A68" s="145" t="s">
        <v>556</v>
      </c>
      <c r="B68" s="145" t="s">
        <v>556</v>
      </c>
      <c r="C68" s="145">
        <v>12317</v>
      </c>
      <c r="D68" t="s">
        <v>125</v>
      </c>
      <c r="E68" s="128">
        <v>2185828.31</v>
      </c>
      <c r="F68" s="128">
        <v>32740</v>
      </c>
      <c r="G68" s="128">
        <v>-16370</v>
      </c>
      <c r="H68" s="128">
        <v>16370</v>
      </c>
      <c r="I68" s="128">
        <v>2202198.31</v>
      </c>
      <c r="J68" s="569">
        <f t="shared" si="0"/>
        <v>2202.1983100000002</v>
      </c>
      <c r="K68" s="569">
        <f t="shared" si="1"/>
        <v>2202</v>
      </c>
    </row>
    <row r="69" spans="1:11" s="144" customFormat="1" x14ac:dyDescent="0.3">
      <c r="A69" s="149" t="s">
        <v>557</v>
      </c>
      <c r="B69" s="149" t="s">
        <v>557</v>
      </c>
      <c r="C69" s="149">
        <v>12398</v>
      </c>
      <c r="D69" s="144" t="s">
        <v>337</v>
      </c>
      <c r="E69" s="213">
        <v>-10009132.16</v>
      </c>
      <c r="F69" s="213">
        <v>0</v>
      </c>
      <c r="G69" s="213">
        <v>-1285959.82</v>
      </c>
      <c r="H69" s="213">
        <v>-1285959.82</v>
      </c>
      <c r="I69" s="213">
        <v>-11295091.98</v>
      </c>
      <c r="J69" s="568">
        <f t="shared" si="0"/>
        <v>-11295.091980000001</v>
      </c>
      <c r="K69" s="568">
        <f t="shared" si="1"/>
        <v>-11295</v>
      </c>
    </row>
    <row r="70" spans="1:11" customFormat="1" x14ac:dyDescent="0.3">
      <c r="A70" s="145" t="s">
        <v>558</v>
      </c>
      <c r="B70" s="145" t="s">
        <v>558</v>
      </c>
      <c r="C70" s="145">
        <v>123982</v>
      </c>
      <c r="D70" t="s">
        <v>126</v>
      </c>
      <c r="E70" s="128">
        <v>-479210.73</v>
      </c>
      <c r="F70" s="128">
        <v>0</v>
      </c>
      <c r="G70" s="128">
        <v>-180004.14</v>
      </c>
      <c r="H70" s="128">
        <v>-180004.14</v>
      </c>
      <c r="I70" s="128">
        <v>-659214.87</v>
      </c>
      <c r="J70" s="569">
        <f t="shared" si="0"/>
        <v>-659.21487000000002</v>
      </c>
      <c r="K70" s="569">
        <f t="shared" si="1"/>
        <v>-659</v>
      </c>
    </row>
    <row r="71" spans="1:11" customFormat="1" x14ac:dyDescent="0.3">
      <c r="A71" s="145" t="s">
        <v>559</v>
      </c>
      <c r="B71" s="145" t="s">
        <v>559</v>
      </c>
      <c r="C71" s="145">
        <v>123983</v>
      </c>
      <c r="D71" t="s">
        <v>127</v>
      </c>
      <c r="E71" s="128">
        <v>-715192.57</v>
      </c>
      <c r="F71" s="128">
        <v>0</v>
      </c>
      <c r="G71" s="128">
        <v>-15869.29</v>
      </c>
      <c r="H71" s="128">
        <v>-15869.29</v>
      </c>
      <c r="I71" s="128">
        <v>-731061.86</v>
      </c>
      <c r="J71" s="569">
        <f t="shared" si="0"/>
        <v>-731.06186000000002</v>
      </c>
      <c r="K71" s="569">
        <f t="shared" si="1"/>
        <v>-731</v>
      </c>
    </row>
    <row r="72" spans="1:11" customFormat="1" x14ac:dyDescent="0.3">
      <c r="A72" s="145" t="s">
        <v>560</v>
      </c>
      <c r="B72" s="145" t="s">
        <v>560</v>
      </c>
      <c r="C72" s="145">
        <v>123984</v>
      </c>
      <c r="D72" t="s">
        <v>128</v>
      </c>
      <c r="E72" s="128">
        <v>-6818386.9199999999</v>
      </c>
      <c r="F72" s="128">
        <v>0</v>
      </c>
      <c r="G72" s="128">
        <v>-1059535.78</v>
      </c>
      <c r="H72" s="128">
        <v>-1059535.78</v>
      </c>
      <c r="I72" s="128">
        <v>-7877922.7000000002</v>
      </c>
      <c r="J72" s="569">
        <f t="shared" si="0"/>
        <v>-7877.9227000000001</v>
      </c>
      <c r="K72" s="569">
        <f t="shared" si="1"/>
        <v>-7878</v>
      </c>
    </row>
    <row r="73" spans="1:11" customFormat="1" x14ac:dyDescent="0.3">
      <c r="A73" s="145" t="s">
        <v>561</v>
      </c>
      <c r="B73" s="145" t="s">
        <v>561</v>
      </c>
      <c r="C73" s="145">
        <v>123986</v>
      </c>
      <c r="D73" t="s">
        <v>129</v>
      </c>
      <c r="E73" s="128">
        <v>-1996341.94</v>
      </c>
      <c r="F73" s="128">
        <v>0</v>
      </c>
      <c r="G73" s="128">
        <v>-30550.61</v>
      </c>
      <c r="H73" s="128">
        <v>-30550.61</v>
      </c>
      <c r="I73" s="128">
        <v>-2026892.55</v>
      </c>
      <c r="J73" s="569">
        <f t="shared" ref="J73:J136" si="2">I73/1000</f>
        <v>-2026.89255</v>
      </c>
      <c r="K73" s="569">
        <f t="shared" ref="K73:K136" si="3">ROUND(J73,0)</f>
        <v>-2027</v>
      </c>
    </row>
    <row r="74" spans="1:11" s="144" customFormat="1" x14ac:dyDescent="0.3">
      <c r="A74" s="149" t="s">
        <v>562</v>
      </c>
      <c r="B74" s="149" t="s">
        <v>562</v>
      </c>
      <c r="C74" s="149">
        <v>124</v>
      </c>
      <c r="D74" s="144" t="s">
        <v>130</v>
      </c>
      <c r="E74" s="213">
        <v>4179177.78</v>
      </c>
      <c r="F74" s="213">
        <v>0</v>
      </c>
      <c r="G74" s="213">
        <v>-1134668.68</v>
      </c>
      <c r="H74" s="213">
        <v>-1134668.68</v>
      </c>
      <c r="I74" s="213">
        <v>3044509.1</v>
      </c>
      <c r="J74" s="568">
        <f>I74/1000-1</f>
        <v>3043.5091000000002</v>
      </c>
      <c r="K74" s="568">
        <f t="shared" si="3"/>
        <v>3044</v>
      </c>
    </row>
    <row r="75" spans="1:11" s="144" customFormat="1" x14ac:dyDescent="0.3">
      <c r="A75" s="149" t="s">
        <v>563</v>
      </c>
      <c r="B75" s="149" t="s">
        <v>563</v>
      </c>
      <c r="C75" s="149">
        <v>1241</v>
      </c>
      <c r="D75" s="144" t="s">
        <v>131</v>
      </c>
      <c r="E75" s="213">
        <v>12791215.48</v>
      </c>
      <c r="F75" s="213">
        <v>0</v>
      </c>
      <c r="G75" s="213">
        <v>0</v>
      </c>
      <c r="H75" s="213">
        <v>0</v>
      </c>
      <c r="I75" s="213">
        <v>12791215.48</v>
      </c>
      <c r="J75" s="568">
        <f t="shared" si="2"/>
        <v>12791.215480000001</v>
      </c>
      <c r="K75" s="568">
        <f t="shared" si="3"/>
        <v>12791</v>
      </c>
    </row>
    <row r="76" spans="1:11" s="144" customFormat="1" x14ac:dyDescent="0.3">
      <c r="A76" s="145" t="s">
        <v>564</v>
      </c>
      <c r="B76" s="145" t="s">
        <v>564</v>
      </c>
      <c r="C76" s="145">
        <v>124101</v>
      </c>
      <c r="D76" t="s">
        <v>131</v>
      </c>
      <c r="E76" s="128">
        <v>12791215.48</v>
      </c>
      <c r="F76" s="128">
        <v>0</v>
      </c>
      <c r="G76" s="128">
        <v>0</v>
      </c>
      <c r="H76" s="128">
        <v>0</v>
      </c>
      <c r="I76" s="128">
        <v>12791215.48</v>
      </c>
      <c r="J76" s="569">
        <f t="shared" si="2"/>
        <v>12791.215480000001</v>
      </c>
      <c r="K76" s="569">
        <f t="shared" si="3"/>
        <v>12791</v>
      </c>
    </row>
    <row r="77" spans="1:11" s="144" customFormat="1" x14ac:dyDescent="0.3">
      <c r="A77" s="149" t="s">
        <v>565</v>
      </c>
      <c r="B77" s="149" t="s">
        <v>565</v>
      </c>
      <c r="C77" s="149">
        <v>12498</v>
      </c>
      <c r="D77" s="144" t="s">
        <v>132</v>
      </c>
      <c r="E77" s="213">
        <v>-8612037.6999999993</v>
      </c>
      <c r="F77" s="213">
        <v>0</v>
      </c>
      <c r="G77" s="213">
        <v>-1134668.68</v>
      </c>
      <c r="H77" s="213">
        <v>-1134668.68</v>
      </c>
      <c r="I77" s="213">
        <v>-9746706.3800000008</v>
      </c>
      <c r="J77" s="568">
        <f t="shared" si="2"/>
        <v>-9746.7063800000014</v>
      </c>
      <c r="K77" s="568">
        <f t="shared" si="3"/>
        <v>-9747</v>
      </c>
    </row>
    <row r="78" spans="1:11" s="144" customFormat="1" x14ac:dyDescent="0.3">
      <c r="A78" s="145" t="s">
        <v>566</v>
      </c>
      <c r="B78" s="145" t="s">
        <v>566</v>
      </c>
      <c r="C78" s="145">
        <v>1242</v>
      </c>
      <c r="D78" t="s">
        <v>133</v>
      </c>
      <c r="E78" s="128">
        <v>-8612037.6999999993</v>
      </c>
      <c r="F78" s="128">
        <v>0</v>
      </c>
      <c r="G78" s="128">
        <v>-1134668.68</v>
      </c>
      <c r="H78" s="128">
        <v>-1134668.68</v>
      </c>
      <c r="I78" s="128">
        <v>-9746706.3800000008</v>
      </c>
      <c r="J78" s="569">
        <f t="shared" si="2"/>
        <v>-9746.7063800000014</v>
      </c>
      <c r="K78" s="569">
        <f t="shared" si="3"/>
        <v>-9747</v>
      </c>
    </row>
    <row r="79" spans="1:11" s="144" customFormat="1" x14ac:dyDescent="0.3">
      <c r="A79" s="149">
        <v>2</v>
      </c>
      <c r="B79" s="149">
        <v>2</v>
      </c>
      <c r="C79" s="149">
        <v>2</v>
      </c>
      <c r="D79" s="144" t="s">
        <v>134</v>
      </c>
      <c r="E79" s="213">
        <v>-51373399.5</v>
      </c>
      <c r="F79" s="213">
        <v>121915575.88</v>
      </c>
      <c r="G79" s="213">
        <v>-130382519.84999999</v>
      </c>
      <c r="H79" s="213">
        <v>-8466943.9700000007</v>
      </c>
      <c r="I79" s="213">
        <v>-59840343.469999999</v>
      </c>
      <c r="J79" s="568">
        <f t="shared" si="2"/>
        <v>-59840.34347</v>
      </c>
      <c r="K79" s="568">
        <f t="shared" si="3"/>
        <v>-59840</v>
      </c>
    </row>
    <row r="80" spans="1:11" s="144" customFormat="1" x14ac:dyDescent="0.3">
      <c r="A80" s="149" t="s">
        <v>567</v>
      </c>
      <c r="B80" s="149" t="s">
        <v>567</v>
      </c>
      <c r="C80" s="149">
        <v>21</v>
      </c>
      <c r="D80" s="144" t="s">
        <v>4</v>
      </c>
      <c r="E80" s="213">
        <v>-19124740.949999999</v>
      </c>
      <c r="F80" s="213">
        <v>112732325.93000001</v>
      </c>
      <c r="G80" s="213">
        <v>-115026512.48</v>
      </c>
      <c r="H80" s="213">
        <v>-2294186.5499999998</v>
      </c>
      <c r="I80" s="213">
        <v>-21418927.5</v>
      </c>
      <c r="J80" s="568">
        <f t="shared" si="2"/>
        <v>-21418.927500000002</v>
      </c>
      <c r="K80" s="568">
        <f t="shared" si="3"/>
        <v>-21419</v>
      </c>
    </row>
    <row r="81" spans="1:11" s="144" customFormat="1" x14ac:dyDescent="0.3">
      <c r="A81" s="149" t="s">
        <v>568</v>
      </c>
      <c r="B81" s="149" t="s">
        <v>568</v>
      </c>
      <c r="C81" s="149">
        <v>211</v>
      </c>
      <c r="D81" s="144" t="s">
        <v>135</v>
      </c>
      <c r="E81" s="213">
        <v>-19124740.949999999</v>
      </c>
      <c r="F81" s="213">
        <v>112732325.93000001</v>
      </c>
      <c r="G81" s="213">
        <v>-115026512.48</v>
      </c>
      <c r="H81" s="213">
        <v>-2294186.5499999998</v>
      </c>
      <c r="I81" s="213">
        <v>-21418927.5</v>
      </c>
      <c r="J81" s="568">
        <f t="shared" si="2"/>
        <v>-21418.927500000002</v>
      </c>
      <c r="K81" s="568">
        <f t="shared" si="3"/>
        <v>-21419</v>
      </c>
    </row>
    <row r="82" spans="1:11" s="144" customFormat="1" x14ac:dyDescent="0.3">
      <c r="A82" s="149" t="s">
        <v>569</v>
      </c>
      <c r="B82" s="149" t="s">
        <v>569</v>
      </c>
      <c r="C82" s="149">
        <v>2114</v>
      </c>
      <c r="D82" s="144" t="s">
        <v>136</v>
      </c>
      <c r="E82" s="213">
        <v>-305576.36</v>
      </c>
      <c r="F82" s="213">
        <v>20157497.100000001</v>
      </c>
      <c r="G82" s="213">
        <v>-20657230.32</v>
      </c>
      <c r="H82" s="213">
        <v>-499733.22</v>
      </c>
      <c r="I82" s="213">
        <v>-805309.58</v>
      </c>
      <c r="J82" s="568">
        <f t="shared" si="2"/>
        <v>-805.30957999999998</v>
      </c>
      <c r="K82" s="568">
        <f t="shared" si="3"/>
        <v>-805</v>
      </c>
    </row>
    <row r="83" spans="1:11" customFormat="1" x14ac:dyDescent="0.3">
      <c r="A83" s="145" t="s">
        <v>570</v>
      </c>
      <c r="B83" s="145" t="s">
        <v>570</v>
      </c>
      <c r="C83" s="567">
        <v>60444400000000</v>
      </c>
      <c r="D83" t="s">
        <v>338</v>
      </c>
      <c r="E83" s="128">
        <v>0</v>
      </c>
      <c r="F83" s="128">
        <v>349910.83</v>
      </c>
      <c r="G83" s="128">
        <v>-379910.83</v>
      </c>
      <c r="H83" s="128">
        <v>-30000</v>
      </c>
      <c r="I83" s="128">
        <v>-30000</v>
      </c>
      <c r="J83" s="569">
        <f t="shared" si="2"/>
        <v>-30</v>
      </c>
      <c r="K83" s="569">
        <f t="shared" si="3"/>
        <v>-30</v>
      </c>
    </row>
    <row r="84" spans="1:11" customFormat="1" x14ac:dyDescent="0.3">
      <c r="A84" s="145" t="s">
        <v>339</v>
      </c>
      <c r="B84" s="145" t="s">
        <v>339</v>
      </c>
      <c r="C84" s="567">
        <v>57143000000000</v>
      </c>
      <c r="D84" t="s">
        <v>1091</v>
      </c>
      <c r="E84" s="128">
        <v>0</v>
      </c>
      <c r="F84" s="128">
        <v>961206.28</v>
      </c>
      <c r="G84" s="128">
        <v>-979232.83</v>
      </c>
      <c r="H84" s="128">
        <v>-18026.55</v>
      </c>
      <c r="I84" s="128">
        <v>-18026.55</v>
      </c>
      <c r="J84" s="569">
        <f t="shared" si="2"/>
        <v>-18.02655</v>
      </c>
      <c r="K84" s="569">
        <f t="shared" si="3"/>
        <v>-18</v>
      </c>
    </row>
    <row r="85" spans="1:11" s="144" customFormat="1" x14ac:dyDescent="0.3">
      <c r="A85" s="145" t="s">
        <v>340</v>
      </c>
      <c r="B85" s="145" t="s">
        <v>340</v>
      </c>
      <c r="C85" s="567">
        <v>34028300000000</v>
      </c>
      <c r="D85" t="s">
        <v>341</v>
      </c>
      <c r="E85" s="128">
        <v>0</v>
      </c>
      <c r="F85" s="128">
        <v>1693.06</v>
      </c>
      <c r="G85" s="128">
        <v>-1693.06</v>
      </c>
      <c r="H85" s="128">
        <v>0</v>
      </c>
      <c r="I85" s="128">
        <v>0</v>
      </c>
      <c r="J85" s="569">
        <f t="shared" si="2"/>
        <v>0</v>
      </c>
      <c r="K85" s="569">
        <f t="shared" si="3"/>
        <v>0</v>
      </c>
    </row>
    <row r="86" spans="1:11" customFormat="1" x14ac:dyDescent="0.3">
      <c r="A86" s="145" t="s">
        <v>342</v>
      </c>
      <c r="B86" s="145" t="s">
        <v>342</v>
      </c>
      <c r="C86" s="145" t="s">
        <v>1175</v>
      </c>
      <c r="D86" t="s">
        <v>1176</v>
      </c>
      <c r="E86" s="128">
        <v>0</v>
      </c>
      <c r="F86" s="128">
        <v>24000</v>
      </c>
      <c r="G86" s="128">
        <v>-24000</v>
      </c>
      <c r="H86" s="128">
        <v>0</v>
      </c>
      <c r="I86" s="128">
        <v>0</v>
      </c>
      <c r="J86" s="569">
        <f t="shared" si="2"/>
        <v>0</v>
      </c>
      <c r="K86" s="569">
        <f t="shared" si="3"/>
        <v>0</v>
      </c>
    </row>
    <row r="87" spans="1:11" customFormat="1" x14ac:dyDescent="0.3">
      <c r="A87" s="145" t="s">
        <v>343</v>
      </c>
      <c r="B87" s="145" t="s">
        <v>343</v>
      </c>
      <c r="C87" s="145" t="s">
        <v>1177</v>
      </c>
      <c r="D87" t="s">
        <v>1178</v>
      </c>
      <c r="E87" s="128">
        <v>0</v>
      </c>
      <c r="F87" s="128">
        <v>55289.86</v>
      </c>
      <c r="G87" s="128">
        <v>-55289.86</v>
      </c>
      <c r="H87" s="128">
        <v>0</v>
      </c>
      <c r="I87" s="128">
        <v>0</v>
      </c>
      <c r="J87" s="569">
        <f t="shared" si="2"/>
        <v>0</v>
      </c>
      <c r="K87" s="569">
        <f t="shared" si="3"/>
        <v>0</v>
      </c>
    </row>
    <row r="88" spans="1:11" customFormat="1" x14ac:dyDescent="0.3">
      <c r="A88" s="145" t="s">
        <v>571</v>
      </c>
      <c r="B88" s="145" t="s">
        <v>571</v>
      </c>
      <c r="C88" s="145" t="s">
        <v>344</v>
      </c>
      <c r="D88" t="s">
        <v>137</v>
      </c>
      <c r="E88" s="128">
        <v>-980</v>
      </c>
      <c r="F88" s="128">
        <v>659805.73</v>
      </c>
      <c r="G88" s="128">
        <v>-665874.30000000005</v>
      </c>
      <c r="H88" s="128">
        <v>-6068.57</v>
      </c>
      <c r="I88" s="128">
        <v>-7048.57</v>
      </c>
      <c r="J88" s="569">
        <f t="shared" si="2"/>
        <v>-7.0485699999999998</v>
      </c>
      <c r="K88" s="569">
        <f t="shared" si="3"/>
        <v>-7</v>
      </c>
    </row>
    <row r="89" spans="1:11" s="144" customFormat="1" x14ac:dyDescent="0.3">
      <c r="A89" s="145" t="s">
        <v>345</v>
      </c>
      <c r="B89" s="145" t="s">
        <v>345</v>
      </c>
      <c r="C89" s="145" t="s">
        <v>346</v>
      </c>
      <c r="D89" t="s">
        <v>347</v>
      </c>
      <c r="E89" s="128">
        <v>0</v>
      </c>
      <c r="F89" s="128">
        <v>54679.38</v>
      </c>
      <c r="G89" s="128">
        <v>-54679.38</v>
      </c>
      <c r="H89" s="128">
        <v>0</v>
      </c>
      <c r="I89" s="128">
        <v>0</v>
      </c>
      <c r="J89" s="569">
        <f t="shared" si="2"/>
        <v>0</v>
      </c>
      <c r="K89" s="569">
        <f t="shared" si="3"/>
        <v>0</v>
      </c>
    </row>
    <row r="90" spans="1:11" customFormat="1" x14ac:dyDescent="0.3">
      <c r="A90" s="145" t="s">
        <v>348</v>
      </c>
      <c r="B90" s="145" t="s">
        <v>348</v>
      </c>
      <c r="C90" s="145" t="s">
        <v>349</v>
      </c>
      <c r="D90" t="s">
        <v>350</v>
      </c>
      <c r="E90" s="128">
        <v>0</v>
      </c>
      <c r="F90" s="128">
        <v>1800181.29</v>
      </c>
      <c r="G90" s="128">
        <v>-1800181.29</v>
      </c>
      <c r="H90" s="128">
        <v>0</v>
      </c>
      <c r="I90" s="128">
        <v>0</v>
      </c>
      <c r="J90" s="569">
        <f t="shared" si="2"/>
        <v>0</v>
      </c>
      <c r="K90" s="569">
        <f t="shared" si="3"/>
        <v>0</v>
      </c>
    </row>
    <row r="91" spans="1:11" customFormat="1" x14ac:dyDescent="0.3">
      <c r="A91" s="145" t="s">
        <v>351</v>
      </c>
      <c r="B91" s="145" t="s">
        <v>351</v>
      </c>
      <c r="C91" s="145" t="s">
        <v>352</v>
      </c>
      <c r="D91" t="s">
        <v>138</v>
      </c>
      <c r="E91" s="128">
        <v>0</v>
      </c>
      <c r="F91" s="128">
        <v>523858.32</v>
      </c>
      <c r="G91" s="128">
        <v>-523858.32</v>
      </c>
      <c r="H91" s="128">
        <v>0</v>
      </c>
      <c r="I91" s="128">
        <v>0</v>
      </c>
      <c r="J91" s="569">
        <f t="shared" si="2"/>
        <v>0</v>
      </c>
      <c r="K91" s="569">
        <f t="shared" si="3"/>
        <v>0</v>
      </c>
    </row>
    <row r="92" spans="1:11" x14ac:dyDescent="0.3">
      <c r="A92" s="145" t="s">
        <v>572</v>
      </c>
      <c r="B92" s="145" t="s">
        <v>572</v>
      </c>
      <c r="C92" s="145" t="s">
        <v>353</v>
      </c>
      <c r="D92" t="s">
        <v>354</v>
      </c>
      <c r="E92" s="128">
        <v>0</v>
      </c>
      <c r="F92" s="128">
        <v>59178.84</v>
      </c>
      <c r="G92" s="128">
        <v>-67632.960000000006</v>
      </c>
      <c r="H92" s="128">
        <v>-8454.1200000000008</v>
      </c>
      <c r="I92" s="128">
        <v>-8454.1200000000008</v>
      </c>
      <c r="J92" s="569">
        <f t="shared" si="2"/>
        <v>-8.4541200000000014</v>
      </c>
      <c r="K92" s="569">
        <f t="shared" si="3"/>
        <v>-8</v>
      </c>
    </row>
    <row r="93" spans="1:11" customFormat="1" x14ac:dyDescent="0.3">
      <c r="A93" s="145" t="s">
        <v>573</v>
      </c>
      <c r="B93" s="145" t="s">
        <v>573</v>
      </c>
      <c r="C93" s="145" t="s">
        <v>355</v>
      </c>
      <c r="D93" t="s">
        <v>356</v>
      </c>
      <c r="E93" s="128">
        <v>0</v>
      </c>
      <c r="F93" s="128">
        <v>26100</v>
      </c>
      <c r="G93" s="128">
        <v>-26100</v>
      </c>
      <c r="H93" s="128">
        <v>0</v>
      </c>
      <c r="I93" s="128">
        <v>0</v>
      </c>
      <c r="J93" s="569">
        <f t="shared" si="2"/>
        <v>0</v>
      </c>
      <c r="K93" s="569">
        <f t="shared" si="3"/>
        <v>0</v>
      </c>
    </row>
    <row r="94" spans="1:11" s="144" customFormat="1" x14ac:dyDescent="0.3">
      <c r="A94" s="145" t="s">
        <v>574</v>
      </c>
      <c r="B94" s="145" t="s">
        <v>574</v>
      </c>
      <c r="C94" s="145" t="s">
        <v>357</v>
      </c>
      <c r="D94" t="s">
        <v>139</v>
      </c>
      <c r="E94" s="128">
        <v>-2241.17</v>
      </c>
      <c r="F94" s="128">
        <v>9963.49</v>
      </c>
      <c r="G94" s="128">
        <v>-7909.99</v>
      </c>
      <c r="H94" s="128">
        <v>2053.5</v>
      </c>
      <c r="I94" s="128">
        <v>-187.67</v>
      </c>
      <c r="J94" s="569">
        <f t="shared" si="2"/>
        <v>-0.18766999999999998</v>
      </c>
      <c r="K94" s="569">
        <f t="shared" si="3"/>
        <v>0</v>
      </c>
    </row>
    <row r="95" spans="1:11" customFormat="1" x14ac:dyDescent="0.3">
      <c r="A95" s="145" t="s">
        <v>358</v>
      </c>
      <c r="B95" s="145" t="s">
        <v>358</v>
      </c>
      <c r="C95" s="145" t="s">
        <v>1179</v>
      </c>
      <c r="D95" t="s">
        <v>1180</v>
      </c>
      <c r="E95" s="128">
        <v>0</v>
      </c>
      <c r="F95" s="128">
        <v>790</v>
      </c>
      <c r="G95" s="128">
        <v>-790</v>
      </c>
      <c r="H95" s="128">
        <v>0</v>
      </c>
      <c r="I95" s="128">
        <v>0</v>
      </c>
      <c r="J95" s="569">
        <f t="shared" si="2"/>
        <v>0</v>
      </c>
      <c r="K95" s="569">
        <f t="shared" si="3"/>
        <v>0</v>
      </c>
    </row>
    <row r="96" spans="1:11" s="144" customFormat="1" x14ac:dyDescent="0.3">
      <c r="A96" s="145" t="s">
        <v>359</v>
      </c>
      <c r="B96" s="145" t="s">
        <v>359</v>
      </c>
      <c r="C96" s="145" t="s">
        <v>360</v>
      </c>
      <c r="D96" t="s">
        <v>140</v>
      </c>
      <c r="E96" s="128">
        <v>0</v>
      </c>
      <c r="F96" s="128">
        <v>790</v>
      </c>
      <c r="G96" s="128">
        <v>-790</v>
      </c>
      <c r="H96" s="128">
        <v>0</v>
      </c>
      <c r="I96" s="128">
        <v>0</v>
      </c>
      <c r="J96" s="569">
        <f t="shared" si="2"/>
        <v>0</v>
      </c>
      <c r="K96" s="569">
        <f t="shared" si="3"/>
        <v>0</v>
      </c>
    </row>
    <row r="97" spans="1:11" customFormat="1" x14ac:dyDescent="0.3">
      <c r="A97" s="145" t="s">
        <v>361</v>
      </c>
      <c r="B97" s="145" t="s">
        <v>361</v>
      </c>
      <c r="C97" s="145" t="s">
        <v>1181</v>
      </c>
      <c r="D97" t="s">
        <v>1182</v>
      </c>
      <c r="E97" s="128">
        <v>0</v>
      </c>
      <c r="F97" s="128">
        <v>11560</v>
      </c>
      <c r="G97" s="128">
        <v>-11560</v>
      </c>
      <c r="H97" s="128">
        <v>0</v>
      </c>
      <c r="I97" s="128">
        <v>0</v>
      </c>
      <c r="J97" s="569">
        <f t="shared" si="2"/>
        <v>0</v>
      </c>
      <c r="K97" s="569">
        <f t="shared" si="3"/>
        <v>0</v>
      </c>
    </row>
    <row r="98" spans="1:11" x14ac:dyDescent="0.3">
      <c r="A98" s="145" t="s">
        <v>362</v>
      </c>
      <c r="B98" s="145" t="s">
        <v>362</v>
      </c>
      <c r="C98" s="567">
        <v>33634300000000</v>
      </c>
      <c r="D98" t="s">
        <v>363</v>
      </c>
      <c r="E98" s="128">
        <v>0</v>
      </c>
      <c r="F98" s="128">
        <v>79548.759999999995</v>
      </c>
      <c r="G98" s="128">
        <v>-79548.759999999995</v>
      </c>
      <c r="H98" s="128">
        <v>0</v>
      </c>
      <c r="I98" s="128">
        <v>0</v>
      </c>
      <c r="J98" s="569">
        <f t="shared" si="2"/>
        <v>0</v>
      </c>
      <c r="K98" s="569">
        <f t="shared" si="3"/>
        <v>0</v>
      </c>
    </row>
    <row r="99" spans="1:11" s="143" customFormat="1" x14ac:dyDescent="0.3">
      <c r="A99" s="145" t="s">
        <v>364</v>
      </c>
      <c r="B99" s="145" t="s">
        <v>364</v>
      </c>
      <c r="C99" s="145" t="s">
        <v>365</v>
      </c>
      <c r="D99" t="s">
        <v>366</v>
      </c>
      <c r="E99" s="128">
        <v>0</v>
      </c>
      <c r="F99" s="128">
        <v>11666.64</v>
      </c>
      <c r="G99" s="128">
        <v>-13124.97</v>
      </c>
      <c r="H99" s="128">
        <v>-1458.33</v>
      </c>
      <c r="I99" s="128">
        <v>-1458.33</v>
      </c>
      <c r="J99" s="569">
        <f t="shared" si="2"/>
        <v>-1.4583299999999999</v>
      </c>
      <c r="K99" s="569">
        <f t="shared" si="3"/>
        <v>-1</v>
      </c>
    </row>
    <row r="100" spans="1:11" s="143" customFormat="1" x14ac:dyDescent="0.3">
      <c r="A100" s="145" t="s">
        <v>367</v>
      </c>
      <c r="B100" s="145" t="s">
        <v>367</v>
      </c>
      <c r="C100" s="567">
        <v>30033800000000</v>
      </c>
      <c r="D100" t="s">
        <v>368</v>
      </c>
      <c r="E100" s="128">
        <v>0</v>
      </c>
      <c r="F100" s="128">
        <v>6510</v>
      </c>
      <c r="G100" s="128">
        <v>-6510</v>
      </c>
      <c r="H100" s="128">
        <v>0</v>
      </c>
      <c r="I100" s="128">
        <v>0</v>
      </c>
      <c r="J100" s="569">
        <f t="shared" si="2"/>
        <v>0</v>
      </c>
      <c r="K100" s="569">
        <f t="shared" si="3"/>
        <v>0</v>
      </c>
    </row>
    <row r="101" spans="1:11" x14ac:dyDescent="0.3">
      <c r="A101" s="145" t="s">
        <v>369</v>
      </c>
      <c r="B101" s="145" t="s">
        <v>369</v>
      </c>
      <c r="C101" s="145" t="s">
        <v>1092</v>
      </c>
      <c r="D101" t="s">
        <v>1093</v>
      </c>
      <c r="E101" s="128">
        <v>0</v>
      </c>
      <c r="F101" s="128">
        <v>655.5</v>
      </c>
      <c r="G101" s="128">
        <v>-655.5</v>
      </c>
      <c r="H101" s="128">
        <v>0</v>
      </c>
      <c r="I101" s="128">
        <v>0</v>
      </c>
      <c r="J101" s="569">
        <f t="shared" si="2"/>
        <v>0</v>
      </c>
      <c r="K101" s="569">
        <f t="shared" si="3"/>
        <v>0</v>
      </c>
    </row>
    <row r="102" spans="1:11" x14ac:dyDescent="0.3">
      <c r="A102" s="145" t="s">
        <v>575</v>
      </c>
      <c r="B102" s="145" t="s">
        <v>575</v>
      </c>
      <c r="C102" s="145" t="s">
        <v>370</v>
      </c>
      <c r="D102" t="s">
        <v>371</v>
      </c>
      <c r="E102" s="128">
        <v>0</v>
      </c>
      <c r="F102" s="128">
        <v>558691.13</v>
      </c>
      <c r="G102" s="128">
        <v>-558691.13</v>
      </c>
      <c r="H102" s="128">
        <v>0</v>
      </c>
      <c r="I102" s="128">
        <v>0</v>
      </c>
      <c r="J102" s="569">
        <f t="shared" si="2"/>
        <v>0</v>
      </c>
      <c r="K102" s="569">
        <f t="shared" si="3"/>
        <v>0</v>
      </c>
    </row>
    <row r="103" spans="1:11" s="143" customFormat="1" x14ac:dyDescent="0.3">
      <c r="A103" s="145" t="s">
        <v>1183</v>
      </c>
      <c r="B103" s="145" t="s">
        <v>1183</v>
      </c>
      <c r="C103" s="145" t="s">
        <v>1184</v>
      </c>
      <c r="D103" t="s">
        <v>1185</v>
      </c>
      <c r="E103" s="128">
        <v>0</v>
      </c>
      <c r="F103" s="128">
        <v>33000</v>
      </c>
      <c r="G103" s="128">
        <v>-36000</v>
      </c>
      <c r="H103" s="128">
        <v>-3000</v>
      </c>
      <c r="I103" s="128">
        <v>-3000</v>
      </c>
      <c r="J103" s="569">
        <f t="shared" si="2"/>
        <v>-3</v>
      </c>
      <c r="K103" s="569">
        <f t="shared" si="3"/>
        <v>-3</v>
      </c>
    </row>
    <row r="104" spans="1:11" s="144" customFormat="1" x14ac:dyDescent="0.3">
      <c r="A104" s="145" t="s">
        <v>372</v>
      </c>
      <c r="B104" s="145" t="s">
        <v>372</v>
      </c>
      <c r="C104" s="145" t="s">
        <v>373</v>
      </c>
      <c r="D104" t="s">
        <v>141</v>
      </c>
      <c r="E104" s="128">
        <v>-9179.42</v>
      </c>
      <c r="F104" s="128">
        <v>159642.26999999999</v>
      </c>
      <c r="G104" s="128">
        <v>-150462.85</v>
      </c>
      <c r="H104" s="128">
        <v>9179.42</v>
      </c>
      <c r="I104" s="128">
        <v>0</v>
      </c>
      <c r="J104" s="569">
        <f t="shared" si="2"/>
        <v>0</v>
      </c>
      <c r="K104" s="569">
        <f t="shared" si="3"/>
        <v>0</v>
      </c>
    </row>
    <row r="105" spans="1:11" x14ac:dyDescent="0.3">
      <c r="A105" s="145" t="s">
        <v>374</v>
      </c>
      <c r="B105" s="145" t="s">
        <v>374</v>
      </c>
      <c r="C105" s="145" t="s">
        <v>375</v>
      </c>
      <c r="D105" t="s">
        <v>376</v>
      </c>
      <c r="E105" s="128">
        <v>0</v>
      </c>
      <c r="F105" s="128">
        <v>75000</v>
      </c>
      <c r="G105" s="128">
        <v>-75000</v>
      </c>
      <c r="H105" s="128">
        <v>0</v>
      </c>
      <c r="I105" s="128">
        <v>0</v>
      </c>
      <c r="J105" s="569">
        <f t="shared" si="2"/>
        <v>0</v>
      </c>
      <c r="K105" s="569">
        <f t="shared" si="3"/>
        <v>0</v>
      </c>
    </row>
    <row r="106" spans="1:11" x14ac:dyDescent="0.3">
      <c r="A106" s="145" t="s">
        <v>377</v>
      </c>
      <c r="B106" s="145" t="s">
        <v>377</v>
      </c>
      <c r="C106" s="145" t="s">
        <v>378</v>
      </c>
      <c r="D106" t="s">
        <v>379</v>
      </c>
      <c r="E106" s="128">
        <v>0</v>
      </c>
      <c r="F106" s="128">
        <v>11127.8</v>
      </c>
      <c r="G106" s="128">
        <v>-11127.8</v>
      </c>
      <c r="H106" s="128">
        <v>0</v>
      </c>
      <c r="I106" s="128">
        <v>0</v>
      </c>
      <c r="J106" s="569">
        <f t="shared" si="2"/>
        <v>0</v>
      </c>
      <c r="K106" s="569">
        <f t="shared" si="3"/>
        <v>0</v>
      </c>
    </row>
    <row r="107" spans="1:11" customFormat="1" x14ac:dyDescent="0.3">
      <c r="A107" s="145" t="s">
        <v>1186</v>
      </c>
      <c r="B107" s="145" t="s">
        <v>1186</v>
      </c>
      <c r="C107" s="145" t="s">
        <v>1187</v>
      </c>
      <c r="D107" t="s">
        <v>1188</v>
      </c>
      <c r="E107" s="128">
        <v>0</v>
      </c>
      <c r="F107" s="128">
        <v>23556</v>
      </c>
      <c r="G107" s="128">
        <v>-23556</v>
      </c>
      <c r="H107" s="128">
        <v>0</v>
      </c>
      <c r="I107" s="128">
        <v>0</v>
      </c>
      <c r="J107" s="569">
        <f t="shared" si="2"/>
        <v>0</v>
      </c>
      <c r="K107" s="569">
        <f t="shared" si="3"/>
        <v>0</v>
      </c>
    </row>
    <row r="108" spans="1:11" x14ac:dyDescent="0.3">
      <c r="A108" s="145" t="s">
        <v>380</v>
      </c>
      <c r="B108" s="145" t="s">
        <v>380</v>
      </c>
      <c r="C108" s="145" t="s">
        <v>381</v>
      </c>
      <c r="D108" t="s">
        <v>382</v>
      </c>
      <c r="E108" s="128">
        <v>0</v>
      </c>
      <c r="F108" s="128">
        <v>36225</v>
      </c>
      <c r="G108" s="128">
        <v>-36225</v>
      </c>
      <c r="H108" s="128">
        <v>0</v>
      </c>
      <c r="I108" s="128">
        <v>0</v>
      </c>
      <c r="J108" s="569">
        <f t="shared" si="2"/>
        <v>0</v>
      </c>
      <c r="K108" s="569">
        <f t="shared" si="3"/>
        <v>0</v>
      </c>
    </row>
    <row r="109" spans="1:11" x14ac:dyDescent="0.3">
      <c r="A109" s="145" t="s">
        <v>576</v>
      </c>
      <c r="B109" s="145" t="s">
        <v>576</v>
      </c>
      <c r="C109" s="145" t="s">
        <v>383</v>
      </c>
      <c r="D109" t="s">
        <v>142</v>
      </c>
      <c r="E109" s="128">
        <v>0</v>
      </c>
      <c r="F109" s="128">
        <v>10800</v>
      </c>
      <c r="G109" s="128">
        <v>-12150</v>
      </c>
      <c r="H109" s="128">
        <v>-1350</v>
      </c>
      <c r="I109" s="128">
        <v>-1350</v>
      </c>
      <c r="J109" s="569">
        <f t="shared" si="2"/>
        <v>-1.35</v>
      </c>
      <c r="K109" s="569">
        <f t="shared" si="3"/>
        <v>-1</v>
      </c>
    </row>
    <row r="110" spans="1:11" customFormat="1" x14ac:dyDescent="0.3">
      <c r="A110" s="145" t="s">
        <v>1094</v>
      </c>
      <c r="B110" s="145" t="s">
        <v>1094</v>
      </c>
      <c r="C110" s="145" t="s">
        <v>1095</v>
      </c>
      <c r="D110" t="s">
        <v>1096</v>
      </c>
      <c r="E110" s="128">
        <v>0</v>
      </c>
      <c r="F110" s="128">
        <v>1090</v>
      </c>
      <c r="G110" s="128">
        <v>-1090</v>
      </c>
      <c r="H110" s="128">
        <v>0</v>
      </c>
      <c r="I110" s="128">
        <v>0</v>
      </c>
      <c r="J110" s="569">
        <f t="shared" si="2"/>
        <v>0</v>
      </c>
      <c r="K110" s="569">
        <f t="shared" si="3"/>
        <v>0</v>
      </c>
    </row>
    <row r="111" spans="1:11" customFormat="1" x14ac:dyDescent="0.3">
      <c r="A111" s="145" t="s">
        <v>384</v>
      </c>
      <c r="B111" s="145" t="s">
        <v>384</v>
      </c>
      <c r="C111" s="145" t="s">
        <v>385</v>
      </c>
      <c r="D111" t="s">
        <v>386</v>
      </c>
      <c r="E111" s="128">
        <v>0</v>
      </c>
      <c r="F111" s="128">
        <v>166391.85</v>
      </c>
      <c r="G111" s="128">
        <v>-166391.85</v>
      </c>
      <c r="H111" s="128">
        <v>0</v>
      </c>
      <c r="I111" s="128">
        <v>0</v>
      </c>
      <c r="J111" s="569">
        <f t="shared" si="2"/>
        <v>0</v>
      </c>
      <c r="K111" s="569">
        <f t="shared" si="3"/>
        <v>0</v>
      </c>
    </row>
    <row r="112" spans="1:11" s="144" customFormat="1" x14ac:dyDescent="0.3">
      <c r="A112" s="145" t="s">
        <v>387</v>
      </c>
      <c r="B112" s="145" t="s">
        <v>387</v>
      </c>
      <c r="C112" s="145" t="s">
        <v>388</v>
      </c>
      <c r="D112" t="s">
        <v>389</v>
      </c>
      <c r="E112" s="128">
        <v>0</v>
      </c>
      <c r="F112" s="128">
        <v>30000</v>
      </c>
      <c r="G112" s="128">
        <v>-30000</v>
      </c>
      <c r="H112" s="128">
        <v>0</v>
      </c>
      <c r="I112" s="128">
        <v>0</v>
      </c>
      <c r="J112" s="569">
        <f t="shared" si="2"/>
        <v>0</v>
      </c>
      <c r="K112" s="569">
        <f t="shared" si="3"/>
        <v>0</v>
      </c>
    </row>
    <row r="113" spans="1:11" s="144" customFormat="1" x14ac:dyDescent="0.3">
      <c r="A113" s="145" t="s">
        <v>390</v>
      </c>
      <c r="B113" s="145" t="s">
        <v>390</v>
      </c>
      <c r="C113" s="145" t="s">
        <v>391</v>
      </c>
      <c r="D113" t="s">
        <v>392</v>
      </c>
      <c r="E113" s="128">
        <v>-84229.6</v>
      </c>
      <c r="F113" s="128">
        <v>0</v>
      </c>
      <c r="G113" s="128">
        <v>0</v>
      </c>
      <c r="H113" s="128">
        <v>0</v>
      </c>
      <c r="I113" s="128">
        <v>-84229.6</v>
      </c>
      <c r="J113" s="569">
        <f t="shared" si="2"/>
        <v>-84.229600000000005</v>
      </c>
      <c r="K113" s="569">
        <f t="shared" si="3"/>
        <v>-84</v>
      </c>
    </row>
    <row r="114" spans="1:11" customFormat="1" x14ac:dyDescent="0.3">
      <c r="A114" s="145" t="s">
        <v>577</v>
      </c>
      <c r="B114" s="145" t="s">
        <v>577</v>
      </c>
      <c r="C114" s="567">
        <v>33754500000000</v>
      </c>
      <c r="D114" t="s">
        <v>393</v>
      </c>
      <c r="E114" s="128">
        <v>0</v>
      </c>
      <c r="F114" s="128">
        <v>2975832.24</v>
      </c>
      <c r="G114" s="128">
        <v>-2975832.24</v>
      </c>
      <c r="H114" s="128">
        <v>0</v>
      </c>
      <c r="I114" s="128">
        <v>0</v>
      </c>
      <c r="J114" s="569">
        <f t="shared" si="2"/>
        <v>0</v>
      </c>
      <c r="K114" s="569">
        <f t="shared" si="3"/>
        <v>0</v>
      </c>
    </row>
    <row r="115" spans="1:11" customFormat="1" x14ac:dyDescent="0.3">
      <c r="A115" s="145" t="s">
        <v>1097</v>
      </c>
      <c r="B115" s="145" t="s">
        <v>1097</v>
      </c>
      <c r="C115" s="567">
        <v>23056200000000</v>
      </c>
      <c r="D115" t="s">
        <v>1098</v>
      </c>
      <c r="E115" s="128">
        <v>0</v>
      </c>
      <c r="F115" s="128">
        <v>1000</v>
      </c>
      <c r="G115" s="128">
        <v>-1000</v>
      </c>
      <c r="H115" s="128">
        <v>0</v>
      </c>
      <c r="I115" s="128">
        <v>0</v>
      </c>
      <c r="J115" s="569">
        <f t="shared" si="2"/>
        <v>0</v>
      </c>
      <c r="K115" s="569">
        <f t="shared" si="3"/>
        <v>0</v>
      </c>
    </row>
    <row r="116" spans="1:11" customFormat="1" x14ac:dyDescent="0.3">
      <c r="A116" s="145" t="s">
        <v>578</v>
      </c>
      <c r="B116" s="145" t="s">
        <v>578</v>
      </c>
      <c r="C116" s="567">
        <v>3017430000000</v>
      </c>
      <c r="D116" t="s">
        <v>143</v>
      </c>
      <c r="E116" s="128">
        <v>-15090</v>
      </c>
      <c r="F116" s="128">
        <v>95582</v>
      </c>
      <c r="G116" s="128">
        <v>-80892</v>
      </c>
      <c r="H116" s="128">
        <v>14690</v>
      </c>
      <c r="I116" s="128">
        <v>-400</v>
      </c>
      <c r="J116" s="569">
        <f t="shared" si="2"/>
        <v>-0.4</v>
      </c>
      <c r="K116" s="569">
        <f t="shared" si="3"/>
        <v>0</v>
      </c>
    </row>
    <row r="117" spans="1:11" customFormat="1" x14ac:dyDescent="0.3">
      <c r="A117" s="145" t="s">
        <v>1189</v>
      </c>
      <c r="B117" s="145" t="s">
        <v>1189</v>
      </c>
      <c r="C117" s="567">
        <v>10499000000000</v>
      </c>
      <c r="D117" t="s">
        <v>1190</v>
      </c>
      <c r="E117" s="128">
        <v>0</v>
      </c>
      <c r="F117" s="128">
        <v>9826</v>
      </c>
      <c r="G117" s="128">
        <v>-9826</v>
      </c>
      <c r="H117" s="128">
        <v>0</v>
      </c>
      <c r="I117" s="128">
        <v>0</v>
      </c>
      <c r="J117" s="569">
        <f t="shared" si="2"/>
        <v>0</v>
      </c>
      <c r="K117" s="569">
        <f t="shared" si="3"/>
        <v>0</v>
      </c>
    </row>
    <row r="118" spans="1:11" s="143" customFormat="1" x14ac:dyDescent="0.3">
      <c r="A118" s="145" t="s">
        <v>1099</v>
      </c>
      <c r="B118" s="145" t="s">
        <v>1099</v>
      </c>
      <c r="C118" s="567">
        <v>33555900000000</v>
      </c>
      <c r="D118" t="s">
        <v>1100</v>
      </c>
      <c r="E118" s="128">
        <v>0</v>
      </c>
      <c r="F118" s="128">
        <v>16876</v>
      </c>
      <c r="G118" s="128">
        <v>-16876</v>
      </c>
      <c r="H118" s="128">
        <v>0</v>
      </c>
      <c r="I118" s="128">
        <v>0</v>
      </c>
      <c r="J118" s="569">
        <f t="shared" si="2"/>
        <v>0</v>
      </c>
      <c r="K118" s="569">
        <f t="shared" si="3"/>
        <v>0</v>
      </c>
    </row>
    <row r="119" spans="1:11" x14ac:dyDescent="0.3">
      <c r="A119" s="145" t="s">
        <v>1101</v>
      </c>
      <c r="B119" s="145" t="s">
        <v>1101</v>
      </c>
      <c r="C119" s="567">
        <v>482998000000</v>
      </c>
      <c r="D119" t="s">
        <v>1102</v>
      </c>
      <c r="E119" s="128">
        <v>0</v>
      </c>
      <c r="F119" s="128">
        <v>379.63</v>
      </c>
      <c r="G119" s="128">
        <v>-379.63</v>
      </c>
      <c r="H119" s="128">
        <v>0</v>
      </c>
      <c r="I119" s="128">
        <v>0</v>
      </c>
      <c r="J119" s="569">
        <f t="shared" si="2"/>
        <v>0</v>
      </c>
      <c r="K119" s="569">
        <f t="shared" si="3"/>
        <v>0</v>
      </c>
    </row>
    <row r="120" spans="1:11" customFormat="1" x14ac:dyDescent="0.3">
      <c r="A120" s="145" t="s">
        <v>1191</v>
      </c>
      <c r="B120" s="145" t="s">
        <v>1191</v>
      </c>
      <c r="C120" s="567">
        <v>24521900000000</v>
      </c>
      <c r="D120" t="s">
        <v>1192</v>
      </c>
      <c r="E120" s="128">
        <v>0</v>
      </c>
      <c r="F120" s="128">
        <v>9000</v>
      </c>
      <c r="G120" s="128">
        <v>-9000</v>
      </c>
      <c r="H120" s="128">
        <v>0</v>
      </c>
      <c r="I120" s="128">
        <v>0</v>
      </c>
      <c r="J120" s="569">
        <f t="shared" si="2"/>
        <v>0</v>
      </c>
      <c r="K120" s="569">
        <f t="shared" si="3"/>
        <v>0</v>
      </c>
    </row>
    <row r="121" spans="1:11" customFormat="1" x14ac:dyDescent="0.3">
      <c r="A121" s="145" t="s">
        <v>394</v>
      </c>
      <c r="B121" s="145" t="s">
        <v>394</v>
      </c>
      <c r="C121" s="567">
        <v>16727400000000</v>
      </c>
      <c r="D121" t="s">
        <v>395</v>
      </c>
      <c r="E121" s="128">
        <v>-484.69</v>
      </c>
      <c r="F121" s="128">
        <v>31899.19</v>
      </c>
      <c r="G121" s="128">
        <v>-35088.15</v>
      </c>
      <c r="H121" s="128">
        <v>-3188.96</v>
      </c>
      <c r="I121" s="128">
        <v>-3673.65</v>
      </c>
      <c r="J121" s="569">
        <f t="shared" si="2"/>
        <v>-3.6736500000000003</v>
      </c>
      <c r="K121" s="569">
        <f t="shared" si="3"/>
        <v>-4</v>
      </c>
    </row>
    <row r="122" spans="1:11" s="143" customFormat="1" x14ac:dyDescent="0.3">
      <c r="A122" s="145" t="s">
        <v>396</v>
      </c>
      <c r="B122" s="145" t="s">
        <v>396</v>
      </c>
      <c r="C122" s="567">
        <v>3535900000000</v>
      </c>
      <c r="D122" t="s">
        <v>397</v>
      </c>
      <c r="E122" s="128">
        <v>0</v>
      </c>
      <c r="F122" s="128">
        <v>225466.88</v>
      </c>
      <c r="G122" s="128">
        <v>-225466.88</v>
      </c>
      <c r="H122" s="128">
        <v>0</v>
      </c>
      <c r="I122" s="128">
        <v>0</v>
      </c>
      <c r="J122" s="569">
        <f t="shared" si="2"/>
        <v>0</v>
      </c>
      <c r="K122" s="569">
        <f t="shared" si="3"/>
        <v>0</v>
      </c>
    </row>
    <row r="123" spans="1:11" x14ac:dyDescent="0.3">
      <c r="A123" s="145" t="s">
        <v>1193</v>
      </c>
      <c r="B123" s="145" t="s">
        <v>1193</v>
      </c>
      <c r="C123" s="145">
        <v>18324158</v>
      </c>
      <c r="D123" t="s">
        <v>1194</v>
      </c>
      <c r="E123" s="128">
        <v>0</v>
      </c>
      <c r="F123" s="128">
        <v>840</v>
      </c>
      <c r="G123" s="128">
        <v>-840</v>
      </c>
      <c r="H123" s="128">
        <v>0</v>
      </c>
      <c r="I123" s="128">
        <v>0</v>
      </c>
      <c r="J123" s="569">
        <f t="shared" si="2"/>
        <v>0</v>
      </c>
      <c r="K123" s="569">
        <f t="shared" si="3"/>
        <v>0</v>
      </c>
    </row>
    <row r="124" spans="1:11" customFormat="1" x14ac:dyDescent="0.3">
      <c r="A124" s="145" t="s">
        <v>1195</v>
      </c>
      <c r="B124" s="145" t="s">
        <v>1195</v>
      </c>
      <c r="C124" s="567">
        <v>854137000000</v>
      </c>
      <c r="D124" t="s">
        <v>1196</v>
      </c>
      <c r="E124" s="128">
        <v>0</v>
      </c>
      <c r="F124" s="128">
        <v>3825</v>
      </c>
      <c r="G124" s="128">
        <v>-3825</v>
      </c>
      <c r="H124" s="128">
        <v>0</v>
      </c>
      <c r="I124" s="128">
        <v>0</v>
      </c>
      <c r="J124" s="569">
        <f t="shared" si="2"/>
        <v>0</v>
      </c>
      <c r="K124" s="569">
        <f t="shared" si="3"/>
        <v>0</v>
      </c>
    </row>
    <row r="125" spans="1:11" customFormat="1" x14ac:dyDescent="0.3">
      <c r="A125" s="145" t="s">
        <v>398</v>
      </c>
      <c r="B125" s="145" t="s">
        <v>398</v>
      </c>
      <c r="C125" s="567">
        <v>5555380000000</v>
      </c>
      <c r="D125" t="s">
        <v>144</v>
      </c>
      <c r="E125" s="128">
        <v>-99.6</v>
      </c>
      <c r="F125" s="128">
        <v>1089.5999999999999</v>
      </c>
      <c r="G125" s="128">
        <v>-990</v>
      </c>
      <c r="H125" s="128">
        <v>99.6</v>
      </c>
      <c r="I125" s="128">
        <v>0</v>
      </c>
      <c r="J125" s="569">
        <f t="shared" si="2"/>
        <v>0</v>
      </c>
      <c r="K125" s="569">
        <f t="shared" si="3"/>
        <v>0</v>
      </c>
    </row>
    <row r="126" spans="1:11" customFormat="1" x14ac:dyDescent="0.3">
      <c r="A126" s="145" t="s">
        <v>1103</v>
      </c>
      <c r="B126" s="145" t="s">
        <v>1103</v>
      </c>
      <c r="C126" s="567">
        <v>26464900000000</v>
      </c>
      <c r="D126" t="s">
        <v>1104</v>
      </c>
      <c r="E126" s="128">
        <v>0</v>
      </c>
      <c r="F126" s="128">
        <v>360</v>
      </c>
      <c r="G126" s="128">
        <v>-360</v>
      </c>
      <c r="H126" s="128">
        <v>0</v>
      </c>
      <c r="I126" s="128">
        <v>0</v>
      </c>
      <c r="J126" s="569">
        <f t="shared" si="2"/>
        <v>0</v>
      </c>
      <c r="K126" s="569">
        <f t="shared" si="3"/>
        <v>0</v>
      </c>
    </row>
    <row r="127" spans="1:11" customFormat="1" x14ac:dyDescent="0.3">
      <c r="A127" s="145" t="s">
        <v>399</v>
      </c>
      <c r="B127" s="145" t="s">
        <v>399</v>
      </c>
      <c r="C127" s="145">
        <v>3200400001</v>
      </c>
      <c r="D127" t="s">
        <v>400</v>
      </c>
      <c r="E127" s="128">
        <v>-2176.25</v>
      </c>
      <c r="F127" s="128">
        <v>2176.25</v>
      </c>
      <c r="G127" s="128">
        <v>0</v>
      </c>
      <c r="H127" s="128">
        <v>2176.25</v>
      </c>
      <c r="I127" s="128">
        <v>0</v>
      </c>
      <c r="J127" s="569">
        <f t="shared" si="2"/>
        <v>0</v>
      </c>
      <c r="K127" s="569">
        <f t="shared" si="3"/>
        <v>0</v>
      </c>
    </row>
    <row r="128" spans="1:11" customFormat="1" x14ac:dyDescent="0.3">
      <c r="A128" s="145" t="s">
        <v>1197</v>
      </c>
      <c r="B128" s="145" t="s">
        <v>1197</v>
      </c>
      <c r="C128" s="567">
        <v>307049000000</v>
      </c>
      <c r="D128" t="s">
        <v>1198</v>
      </c>
      <c r="E128" s="128">
        <v>0</v>
      </c>
      <c r="F128" s="128">
        <v>0</v>
      </c>
      <c r="G128" s="128">
        <v>-1219</v>
      </c>
      <c r="H128" s="128">
        <v>-1219</v>
      </c>
      <c r="I128" s="128">
        <v>-1219</v>
      </c>
      <c r="J128" s="569">
        <f t="shared" si="2"/>
        <v>-1.2190000000000001</v>
      </c>
      <c r="K128" s="569">
        <f t="shared" si="3"/>
        <v>-1</v>
      </c>
    </row>
    <row r="129" spans="1:11" customFormat="1" x14ac:dyDescent="0.3">
      <c r="A129" s="145" t="s">
        <v>401</v>
      </c>
      <c r="B129" s="145" t="s">
        <v>401</v>
      </c>
      <c r="C129" s="567">
        <v>67632200000000</v>
      </c>
      <c r="D129" t="s">
        <v>402</v>
      </c>
      <c r="E129" s="128">
        <v>0</v>
      </c>
      <c r="F129" s="128">
        <v>854441.93</v>
      </c>
      <c r="G129" s="128">
        <v>-854441.93</v>
      </c>
      <c r="H129" s="128">
        <v>0</v>
      </c>
      <c r="I129" s="128">
        <v>0</v>
      </c>
      <c r="J129" s="569">
        <f t="shared" si="2"/>
        <v>0</v>
      </c>
      <c r="K129" s="569">
        <f t="shared" si="3"/>
        <v>0</v>
      </c>
    </row>
    <row r="130" spans="1:11" customFormat="1" x14ac:dyDescent="0.3">
      <c r="A130" s="145" t="s">
        <v>403</v>
      </c>
      <c r="B130" s="145" t="s">
        <v>403</v>
      </c>
      <c r="C130" s="567">
        <v>5761750000000</v>
      </c>
      <c r="D130" t="s">
        <v>404</v>
      </c>
      <c r="E130" s="128">
        <v>0</v>
      </c>
      <c r="F130" s="128">
        <v>979124.44</v>
      </c>
      <c r="G130" s="128">
        <v>-979124.44</v>
      </c>
      <c r="H130" s="128">
        <v>0</v>
      </c>
      <c r="I130" s="128">
        <v>0</v>
      </c>
      <c r="J130" s="569">
        <f t="shared" si="2"/>
        <v>0</v>
      </c>
      <c r="K130" s="569">
        <f t="shared" si="3"/>
        <v>0</v>
      </c>
    </row>
    <row r="131" spans="1:11" customFormat="1" x14ac:dyDescent="0.3">
      <c r="A131" s="145" t="s">
        <v>405</v>
      </c>
      <c r="B131" s="145" t="s">
        <v>405</v>
      </c>
      <c r="C131" s="567">
        <v>10348300000000</v>
      </c>
      <c r="D131" t="s">
        <v>406</v>
      </c>
      <c r="E131" s="128">
        <v>0</v>
      </c>
      <c r="F131" s="128">
        <v>7965.56</v>
      </c>
      <c r="G131" s="128">
        <v>-19593.830000000002</v>
      </c>
      <c r="H131" s="128">
        <v>-11628.27</v>
      </c>
      <c r="I131" s="128">
        <v>-11628.27</v>
      </c>
      <c r="J131" s="569">
        <f t="shared" si="2"/>
        <v>-11.628270000000001</v>
      </c>
      <c r="K131" s="569">
        <f t="shared" si="3"/>
        <v>-12</v>
      </c>
    </row>
    <row r="132" spans="1:11" customFormat="1" x14ac:dyDescent="0.3">
      <c r="A132" s="145" t="s">
        <v>1199</v>
      </c>
      <c r="B132" s="145" t="s">
        <v>1199</v>
      </c>
      <c r="C132" s="567">
        <v>16457800000000</v>
      </c>
      <c r="D132" t="s">
        <v>1200</v>
      </c>
      <c r="E132" s="128">
        <v>0</v>
      </c>
      <c r="F132" s="128">
        <v>4496.5</v>
      </c>
      <c r="G132" s="128">
        <v>-4496.5</v>
      </c>
      <c r="H132" s="128">
        <v>0</v>
      </c>
      <c r="I132" s="128">
        <v>0</v>
      </c>
      <c r="J132" s="569">
        <f t="shared" si="2"/>
        <v>0</v>
      </c>
      <c r="K132" s="569">
        <f t="shared" si="3"/>
        <v>0</v>
      </c>
    </row>
    <row r="133" spans="1:11" customFormat="1" x14ac:dyDescent="0.3">
      <c r="A133" s="145" t="s">
        <v>579</v>
      </c>
      <c r="B133" s="145" t="s">
        <v>579</v>
      </c>
      <c r="C133" s="567">
        <v>8896750000000</v>
      </c>
      <c r="D133" t="s">
        <v>407</v>
      </c>
      <c r="E133" s="128">
        <v>0</v>
      </c>
      <c r="F133" s="128">
        <v>820533.77</v>
      </c>
      <c r="G133" s="128">
        <v>-980177.98</v>
      </c>
      <c r="H133" s="128">
        <v>-159644.21</v>
      </c>
      <c r="I133" s="128">
        <v>-159644.21</v>
      </c>
      <c r="J133" s="569">
        <f t="shared" si="2"/>
        <v>-159.64420999999999</v>
      </c>
      <c r="K133" s="569">
        <f t="shared" si="3"/>
        <v>-160</v>
      </c>
    </row>
    <row r="134" spans="1:11" s="144" customFormat="1" x14ac:dyDescent="0.3">
      <c r="A134" s="145" t="s">
        <v>580</v>
      </c>
      <c r="B134" s="145" t="s">
        <v>580</v>
      </c>
      <c r="C134" s="567">
        <v>23458500000000</v>
      </c>
      <c r="D134" t="s">
        <v>408</v>
      </c>
      <c r="E134" s="128">
        <v>-10564.17</v>
      </c>
      <c r="F134" s="128">
        <v>103897.53</v>
      </c>
      <c r="G134" s="128">
        <v>-93333.36</v>
      </c>
      <c r="H134" s="128">
        <v>10564.17</v>
      </c>
      <c r="I134" s="128">
        <v>0</v>
      </c>
      <c r="J134" s="569">
        <f t="shared" si="2"/>
        <v>0</v>
      </c>
      <c r="K134" s="569">
        <f t="shared" si="3"/>
        <v>0</v>
      </c>
    </row>
    <row r="135" spans="1:11" customFormat="1" x14ac:dyDescent="0.3">
      <c r="A135" s="145" t="s">
        <v>409</v>
      </c>
      <c r="B135" s="145" t="s">
        <v>409</v>
      </c>
      <c r="C135" s="567">
        <v>52618100000000</v>
      </c>
      <c r="D135" t="s">
        <v>145</v>
      </c>
      <c r="E135" s="128">
        <v>0</v>
      </c>
      <c r="F135" s="128">
        <v>3341.95</v>
      </c>
      <c r="G135" s="128">
        <v>-3341.95</v>
      </c>
      <c r="H135" s="128">
        <v>0</v>
      </c>
      <c r="I135" s="128">
        <v>0</v>
      </c>
      <c r="J135" s="569">
        <f t="shared" si="2"/>
        <v>0</v>
      </c>
      <c r="K135" s="569">
        <f t="shared" si="3"/>
        <v>0</v>
      </c>
    </row>
    <row r="136" spans="1:11" s="144" customFormat="1" x14ac:dyDescent="0.3">
      <c r="A136" s="145" t="s">
        <v>410</v>
      </c>
      <c r="B136" s="145" t="s">
        <v>410</v>
      </c>
      <c r="C136" s="567">
        <v>2593170000000</v>
      </c>
      <c r="D136" t="s">
        <v>411</v>
      </c>
      <c r="E136" s="128">
        <v>0</v>
      </c>
      <c r="F136" s="128">
        <v>275000</v>
      </c>
      <c r="G136" s="128">
        <v>-330000</v>
      </c>
      <c r="H136" s="128">
        <v>-55000</v>
      </c>
      <c r="I136" s="128">
        <v>-55000</v>
      </c>
      <c r="J136" s="569">
        <f t="shared" si="2"/>
        <v>-55</v>
      </c>
      <c r="K136" s="569">
        <f t="shared" si="3"/>
        <v>-55</v>
      </c>
    </row>
    <row r="137" spans="1:11" customFormat="1" x14ac:dyDescent="0.3">
      <c r="A137" s="145" t="s">
        <v>1201</v>
      </c>
      <c r="B137" s="145" t="s">
        <v>1201</v>
      </c>
      <c r="C137" s="567">
        <v>3598920000000</v>
      </c>
      <c r="D137" t="s">
        <v>1202</v>
      </c>
      <c r="E137" s="128">
        <v>0</v>
      </c>
      <c r="F137" s="128">
        <v>4960</v>
      </c>
      <c r="G137" s="128">
        <v>-6200</v>
      </c>
      <c r="H137" s="128">
        <v>-1240</v>
      </c>
      <c r="I137" s="128">
        <v>-1240</v>
      </c>
      <c r="J137" s="569">
        <f t="shared" ref="J137:J200" si="4">I137/1000</f>
        <v>-1.24</v>
      </c>
      <c r="K137" s="569">
        <f t="shared" ref="K137:K200" si="5">ROUND(J137,0)</f>
        <v>-1</v>
      </c>
    </row>
    <row r="138" spans="1:11" s="144" customFormat="1" x14ac:dyDescent="0.3">
      <c r="A138" s="145" t="s">
        <v>1203</v>
      </c>
      <c r="B138" s="145" t="s">
        <v>1203</v>
      </c>
      <c r="C138" s="567">
        <v>5533020000000</v>
      </c>
      <c r="D138" t="s">
        <v>1204</v>
      </c>
      <c r="E138" s="128">
        <v>0</v>
      </c>
      <c r="F138" s="128">
        <v>0</v>
      </c>
      <c r="G138" s="128">
        <v>-1005</v>
      </c>
      <c r="H138" s="128">
        <v>-1005</v>
      </c>
      <c r="I138" s="128">
        <v>-1005</v>
      </c>
      <c r="J138" s="569">
        <f t="shared" si="4"/>
        <v>-1.0049999999999999</v>
      </c>
      <c r="K138" s="569">
        <f t="shared" si="5"/>
        <v>-1</v>
      </c>
    </row>
    <row r="139" spans="1:11" customFormat="1" x14ac:dyDescent="0.3">
      <c r="A139" s="145" t="s">
        <v>581</v>
      </c>
      <c r="B139" s="145" t="s">
        <v>581</v>
      </c>
      <c r="C139" s="567">
        <v>2676310000000</v>
      </c>
      <c r="D139" t="s">
        <v>146</v>
      </c>
      <c r="E139" s="128">
        <v>-15147.19</v>
      </c>
      <c r="F139" s="128">
        <v>1047152.15</v>
      </c>
      <c r="G139" s="128">
        <v>-1032004.96</v>
      </c>
      <c r="H139" s="128">
        <v>15147.19</v>
      </c>
      <c r="I139" s="128">
        <v>0</v>
      </c>
      <c r="J139" s="569">
        <f t="shared" si="4"/>
        <v>0</v>
      </c>
      <c r="K139" s="569">
        <f t="shared" si="5"/>
        <v>0</v>
      </c>
    </row>
    <row r="140" spans="1:11" x14ac:dyDescent="0.3">
      <c r="A140" s="145" t="s">
        <v>1205</v>
      </c>
      <c r="B140" s="145" t="s">
        <v>1205</v>
      </c>
      <c r="C140" s="567">
        <v>21348200000000</v>
      </c>
      <c r="D140" t="s">
        <v>1206</v>
      </c>
      <c r="E140" s="128">
        <v>0</v>
      </c>
      <c r="F140" s="128">
        <v>0</v>
      </c>
      <c r="G140" s="128">
        <v>-142.4</v>
      </c>
      <c r="H140" s="128">
        <v>-142.4</v>
      </c>
      <c r="I140" s="128">
        <v>-142.4</v>
      </c>
      <c r="J140" s="569">
        <f t="shared" si="4"/>
        <v>-0.1424</v>
      </c>
      <c r="K140" s="569">
        <f t="shared" si="5"/>
        <v>0</v>
      </c>
    </row>
    <row r="141" spans="1:11" x14ac:dyDescent="0.3">
      <c r="A141" s="145" t="s">
        <v>412</v>
      </c>
      <c r="B141" s="145" t="s">
        <v>412</v>
      </c>
      <c r="C141" s="567">
        <v>14031100000000</v>
      </c>
      <c r="D141" t="s">
        <v>147</v>
      </c>
      <c r="E141" s="128">
        <v>0</v>
      </c>
      <c r="F141" s="128">
        <v>1213547.3999999999</v>
      </c>
      <c r="G141" s="128">
        <v>-1213547.3999999999</v>
      </c>
      <c r="H141" s="128">
        <v>0</v>
      </c>
      <c r="I141" s="128">
        <v>0</v>
      </c>
      <c r="J141" s="569">
        <f t="shared" si="4"/>
        <v>0</v>
      </c>
      <c r="K141" s="569">
        <f t="shared" si="5"/>
        <v>0</v>
      </c>
    </row>
    <row r="142" spans="1:11" customFormat="1" x14ac:dyDescent="0.3">
      <c r="A142" s="145" t="s">
        <v>1207</v>
      </c>
      <c r="B142" s="145" t="s">
        <v>1207</v>
      </c>
      <c r="C142" s="567">
        <v>62070100000000</v>
      </c>
      <c r="D142" t="s">
        <v>1208</v>
      </c>
      <c r="E142" s="128">
        <v>0</v>
      </c>
      <c r="F142" s="128">
        <v>0</v>
      </c>
      <c r="G142" s="128">
        <v>-7500</v>
      </c>
      <c r="H142" s="128">
        <v>-7500</v>
      </c>
      <c r="I142" s="128">
        <v>-7500</v>
      </c>
      <c r="J142" s="569">
        <f t="shared" si="4"/>
        <v>-7.5</v>
      </c>
      <c r="K142" s="569">
        <f t="shared" si="5"/>
        <v>-8</v>
      </c>
    </row>
    <row r="143" spans="1:11" x14ac:dyDescent="0.3">
      <c r="A143" s="145" t="s">
        <v>413</v>
      </c>
      <c r="B143" s="145" t="s">
        <v>413</v>
      </c>
      <c r="C143" s="567">
        <v>1082330000000</v>
      </c>
      <c r="D143" t="s">
        <v>414</v>
      </c>
      <c r="E143" s="128">
        <v>0</v>
      </c>
      <c r="F143" s="128">
        <v>8051</v>
      </c>
      <c r="G143" s="128">
        <v>-8051</v>
      </c>
      <c r="H143" s="128">
        <v>0</v>
      </c>
      <c r="I143" s="128">
        <v>0</v>
      </c>
      <c r="J143" s="569">
        <f t="shared" si="4"/>
        <v>0</v>
      </c>
      <c r="K143" s="569">
        <f t="shared" si="5"/>
        <v>0</v>
      </c>
    </row>
    <row r="144" spans="1:11" x14ac:dyDescent="0.3">
      <c r="A144" s="145" t="s">
        <v>415</v>
      </c>
      <c r="B144" s="145" t="s">
        <v>415</v>
      </c>
      <c r="C144" s="567">
        <v>21449300000000</v>
      </c>
      <c r="D144" t="s">
        <v>416</v>
      </c>
      <c r="E144" s="128">
        <v>0</v>
      </c>
      <c r="F144" s="128">
        <v>29652.48</v>
      </c>
      <c r="G144" s="128">
        <v>-29652.48</v>
      </c>
      <c r="H144" s="128">
        <v>0</v>
      </c>
      <c r="I144" s="128">
        <v>0</v>
      </c>
      <c r="J144" s="569">
        <f t="shared" si="4"/>
        <v>0</v>
      </c>
      <c r="K144" s="569">
        <f t="shared" si="5"/>
        <v>0</v>
      </c>
    </row>
    <row r="145" spans="1:11" s="143" customFormat="1" x14ac:dyDescent="0.3">
      <c r="A145" s="145" t="s">
        <v>1105</v>
      </c>
      <c r="B145" s="145" t="s">
        <v>1105</v>
      </c>
      <c r="C145" s="567">
        <v>11825800000000</v>
      </c>
      <c r="D145" t="s">
        <v>148</v>
      </c>
      <c r="E145" s="128">
        <v>0</v>
      </c>
      <c r="F145" s="128">
        <v>2219.1999999999998</v>
      </c>
      <c r="G145" s="128">
        <v>-2219.1999999999998</v>
      </c>
      <c r="H145" s="128">
        <v>0</v>
      </c>
      <c r="I145" s="128">
        <v>0</v>
      </c>
      <c r="J145" s="569">
        <f t="shared" si="4"/>
        <v>0</v>
      </c>
      <c r="K145" s="569">
        <f t="shared" si="5"/>
        <v>0</v>
      </c>
    </row>
    <row r="146" spans="1:11" x14ac:dyDescent="0.3">
      <c r="A146" s="145" t="s">
        <v>417</v>
      </c>
      <c r="B146" s="145" t="s">
        <v>417</v>
      </c>
      <c r="C146" s="567">
        <v>14087600000000</v>
      </c>
      <c r="D146" t="s">
        <v>418</v>
      </c>
      <c r="E146" s="128">
        <v>0</v>
      </c>
      <c r="F146" s="128">
        <v>2900</v>
      </c>
      <c r="G146" s="128">
        <v>-4890</v>
      </c>
      <c r="H146" s="128">
        <v>-1990</v>
      </c>
      <c r="I146" s="128">
        <v>-1990</v>
      </c>
      <c r="J146" s="569">
        <f t="shared" si="4"/>
        <v>-1.99</v>
      </c>
      <c r="K146" s="569">
        <f t="shared" si="5"/>
        <v>-2</v>
      </c>
    </row>
    <row r="147" spans="1:11" customFormat="1" x14ac:dyDescent="0.3">
      <c r="A147" s="145" t="s">
        <v>419</v>
      </c>
      <c r="B147" s="145" t="s">
        <v>419</v>
      </c>
      <c r="C147" s="567">
        <v>7192480000000</v>
      </c>
      <c r="D147" t="s">
        <v>149</v>
      </c>
      <c r="E147" s="128">
        <v>-35809.9</v>
      </c>
      <c r="F147" s="128">
        <v>35809.9</v>
      </c>
      <c r="G147" s="128">
        <v>0</v>
      </c>
      <c r="H147" s="128">
        <v>35809.9</v>
      </c>
      <c r="I147" s="128">
        <v>0</v>
      </c>
      <c r="J147" s="569">
        <f t="shared" si="4"/>
        <v>0</v>
      </c>
      <c r="K147" s="569">
        <f t="shared" si="5"/>
        <v>0</v>
      </c>
    </row>
    <row r="148" spans="1:11" s="144" customFormat="1" x14ac:dyDescent="0.3">
      <c r="A148" s="145" t="s">
        <v>1209</v>
      </c>
      <c r="B148" s="145" t="s">
        <v>1209</v>
      </c>
      <c r="C148" s="567">
        <v>13529500000000</v>
      </c>
      <c r="D148" t="s">
        <v>1210</v>
      </c>
      <c r="E148" s="128">
        <v>0</v>
      </c>
      <c r="F148" s="128">
        <v>1459.55</v>
      </c>
      <c r="G148" s="128">
        <v>-1459.55</v>
      </c>
      <c r="H148" s="128">
        <v>0</v>
      </c>
      <c r="I148" s="128">
        <v>0</v>
      </c>
      <c r="J148" s="569">
        <f t="shared" si="4"/>
        <v>0</v>
      </c>
      <c r="K148" s="569">
        <f t="shared" si="5"/>
        <v>0</v>
      </c>
    </row>
    <row r="149" spans="1:11" customFormat="1" x14ac:dyDescent="0.3">
      <c r="A149" s="145" t="s">
        <v>1211</v>
      </c>
      <c r="B149" s="145" t="s">
        <v>1211</v>
      </c>
      <c r="C149" s="567">
        <v>15610500000000</v>
      </c>
      <c r="D149" t="s">
        <v>1212</v>
      </c>
      <c r="E149" s="128">
        <v>0</v>
      </c>
      <c r="F149" s="128">
        <v>1320</v>
      </c>
      <c r="G149" s="128">
        <v>-1320</v>
      </c>
      <c r="H149" s="128">
        <v>0</v>
      </c>
      <c r="I149" s="128">
        <v>0</v>
      </c>
      <c r="J149" s="569">
        <f t="shared" si="4"/>
        <v>0</v>
      </c>
      <c r="K149" s="569">
        <f t="shared" si="5"/>
        <v>0</v>
      </c>
    </row>
    <row r="150" spans="1:11" customFormat="1" x14ac:dyDescent="0.3">
      <c r="A150" s="145" t="s">
        <v>420</v>
      </c>
      <c r="B150" s="145" t="s">
        <v>420</v>
      </c>
      <c r="C150" s="567">
        <v>15011200000000</v>
      </c>
      <c r="D150" t="s">
        <v>421</v>
      </c>
      <c r="E150" s="128">
        <v>0</v>
      </c>
      <c r="F150" s="128">
        <v>3960</v>
      </c>
      <c r="G150" s="128">
        <v>-3960</v>
      </c>
      <c r="H150" s="128">
        <v>0</v>
      </c>
      <c r="I150" s="128">
        <v>0</v>
      </c>
      <c r="J150" s="569">
        <f t="shared" si="4"/>
        <v>0</v>
      </c>
      <c r="K150" s="569">
        <f t="shared" si="5"/>
        <v>0</v>
      </c>
    </row>
    <row r="151" spans="1:11" customFormat="1" x14ac:dyDescent="0.3">
      <c r="A151" s="145" t="s">
        <v>582</v>
      </c>
      <c r="B151" s="145" t="s">
        <v>582</v>
      </c>
      <c r="C151" s="567">
        <v>3364280000000</v>
      </c>
      <c r="D151" t="s">
        <v>422</v>
      </c>
      <c r="E151" s="128">
        <v>0</v>
      </c>
      <c r="F151" s="128">
        <v>1856.25</v>
      </c>
      <c r="G151" s="128">
        <v>-1856.25</v>
      </c>
      <c r="H151" s="128">
        <v>0</v>
      </c>
      <c r="I151" s="128">
        <v>0</v>
      </c>
      <c r="J151" s="569">
        <f t="shared" si="4"/>
        <v>0</v>
      </c>
      <c r="K151" s="569">
        <f t="shared" si="5"/>
        <v>0</v>
      </c>
    </row>
    <row r="152" spans="1:11" customFormat="1" x14ac:dyDescent="0.3">
      <c r="A152" s="145" t="s">
        <v>1213</v>
      </c>
      <c r="B152" s="145" t="s">
        <v>1213</v>
      </c>
      <c r="C152" s="567">
        <v>82429600000000</v>
      </c>
      <c r="D152" t="s">
        <v>1214</v>
      </c>
      <c r="E152" s="128">
        <v>0</v>
      </c>
      <c r="F152" s="128">
        <v>4441.6000000000004</v>
      </c>
      <c r="G152" s="128">
        <v>-4441.6000000000004</v>
      </c>
      <c r="H152" s="128">
        <v>0</v>
      </c>
      <c r="I152" s="128">
        <v>0</v>
      </c>
      <c r="J152" s="569">
        <f t="shared" si="4"/>
        <v>0</v>
      </c>
      <c r="K152" s="569">
        <f t="shared" si="5"/>
        <v>0</v>
      </c>
    </row>
    <row r="153" spans="1:11" customFormat="1" x14ac:dyDescent="0.3">
      <c r="A153" s="145" t="s">
        <v>423</v>
      </c>
      <c r="B153" s="145" t="s">
        <v>423</v>
      </c>
      <c r="C153" s="567">
        <v>7718940000000</v>
      </c>
      <c r="D153" t="s">
        <v>150</v>
      </c>
      <c r="E153" s="128">
        <v>0</v>
      </c>
      <c r="F153" s="128">
        <v>1260</v>
      </c>
      <c r="G153" s="128">
        <v>-1260</v>
      </c>
      <c r="H153" s="128">
        <v>0</v>
      </c>
      <c r="I153" s="128">
        <v>0</v>
      </c>
      <c r="J153" s="569">
        <f t="shared" si="4"/>
        <v>0</v>
      </c>
      <c r="K153" s="569">
        <f t="shared" si="5"/>
        <v>0</v>
      </c>
    </row>
    <row r="154" spans="1:11" customFormat="1" x14ac:dyDescent="0.3">
      <c r="A154" s="145" t="s">
        <v>583</v>
      </c>
      <c r="B154" s="145" t="s">
        <v>583</v>
      </c>
      <c r="C154" s="567">
        <v>9079570000000</v>
      </c>
      <c r="D154" t="s">
        <v>424</v>
      </c>
      <c r="E154" s="128">
        <v>-5888.85</v>
      </c>
      <c r="F154" s="128">
        <v>28275.63</v>
      </c>
      <c r="G154" s="128">
        <v>-22386.78</v>
      </c>
      <c r="H154" s="128">
        <v>5888.85</v>
      </c>
      <c r="I154" s="128">
        <v>0</v>
      </c>
      <c r="J154" s="569">
        <f t="shared" si="4"/>
        <v>0</v>
      </c>
      <c r="K154" s="569">
        <f t="shared" si="5"/>
        <v>0</v>
      </c>
    </row>
    <row r="155" spans="1:11" customFormat="1" x14ac:dyDescent="0.3">
      <c r="A155" s="145" t="s">
        <v>425</v>
      </c>
      <c r="B155" s="145" t="s">
        <v>425</v>
      </c>
      <c r="C155" s="567">
        <v>6070150000000</v>
      </c>
      <c r="D155" t="s">
        <v>426</v>
      </c>
      <c r="E155" s="128">
        <v>0</v>
      </c>
      <c r="F155" s="128">
        <v>8062.99</v>
      </c>
      <c r="G155" s="128">
        <v>-8062.99</v>
      </c>
      <c r="H155" s="128">
        <v>0</v>
      </c>
      <c r="I155" s="128">
        <v>0</v>
      </c>
      <c r="J155" s="569">
        <f t="shared" si="4"/>
        <v>0</v>
      </c>
      <c r="K155" s="569">
        <f t="shared" si="5"/>
        <v>0</v>
      </c>
    </row>
    <row r="156" spans="1:11" customFormat="1" x14ac:dyDescent="0.3">
      <c r="A156" s="145" t="s">
        <v>1215</v>
      </c>
      <c r="B156" s="145" t="s">
        <v>1215</v>
      </c>
      <c r="C156" s="567">
        <v>54207700000000</v>
      </c>
      <c r="D156" t="s">
        <v>1216</v>
      </c>
      <c r="E156" s="128">
        <v>0</v>
      </c>
      <c r="F156" s="128">
        <v>700</v>
      </c>
      <c r="G156" s="128">
        <v>-700</v>
      </c>
      <c r="H156" s="128">
        <v>0</v>
      </c>
      <c r="I156" s="128">
        <v>0</v>
      </c>
      <c r="J156" s="569">
        <f t="shared" si="4"/>
        <v>0</v>
      </c>
      <c r="K156" s="569">
        <f t="shared" si="5"/>
        <v>0</v>
      </c>
    </row>
    <row r="157" spans="1:11" s="143" customFormat="1" x14ac:dyDescent="0.3">
      <c r="A157" s="145" t="s">
        <v>584</v>
      </c>
      <c r="B157" s="145" t="s">
        <v>584</v>
      </c>
      <c r="C157" s="567">
        <v>19088600000000</v>
      </c>
      <c r="D157" t="s">
        <v>151</v>
      </c>
      <c r="E157" s="128">
        <v>-9751.69</v>
      </c>
      <c r="F157" s="128">
        <v>811766.07</v>
      </c>
      <c r="G157" s="128">
        <v>-920733.08</v>
      </c>
      <c r="H157" s="128">
        <v>-108967.01</v>
      </c>
      <c r="I157" s="128">
        <v>-118718.7</v>
      </c>
      <c r="J157" s="569">
        <f t="shared" si="4"/>
        <v>-118.7187</v>
      </c>
      <c r="K157" s="569">
        <f t="shared" si="5"/>
        <v>-119</v>
      </c>
    </row>
    <row r="158" spans="1:11" x14ac:dyDescent="0.3">
      <c r="A158" s="145" t="s">
        <v>585</v>
      </c>
      <c r="B158" s="145" t="s">
        <v>585</v>
      </c>
      <c r="C158" s="567">
        <v>34036200000000</v>
      </c>
      <c r="D158" t="s">
        <v>152</v>
      </c>
      <c r="E158" s="128">
        <v>-14168.85</v>
      </c>
      <c r="F158" s="128">
        <v>1171987.79</v>
      </c>
      <c r="G158" s="128">
        <v>-1277818.94</v>
      </c>
      <c r="H158" s="128">
        <v>-105831.15</v>
      </c>
      <c r="I158" s="128">
        <v>-120000</v>
      </c>
      <c r="J158" s="569">
        <f t="shared" si="4"/>
        <v>-120</v>
      </c>
      <c r="K158" s="569">
        <f t="shared" si="5"/>
        <v>-120</v>
      </c>
    </row>
    <row r="159" spans="1:11" customFormat="1" x14ac:dyDescent="0.3">
      <c r="A159" s="145" t="s">
        <v>586</v>
      </c>
      <c r="B159" s="145" t="s">
        <v>586</v>
      </c>
      <c r="C159" s="567">
        <v>36813600000000</v>
      </c>
      <c r="D159" t="s">
        <v>809</v>
      </c>
      <c r="E159" s="128">
        <v>0</v>
      </c>
      <c r="F159" s="128">
        <v>115777.8</v>
      </c>
      <c r="G159" s="128">
        <v>-130590.33</v>
      </c>
      <c r="H159" s="128">
        <v>-14812.53</v>
      </c>
      <c r="I159" s="128">
        <v>-14812.53</v>
      </c>
      <c r="J159" s="569">
        <f t="shared" si="4"/>
        <v>-14.812530000000001</v>
      </c>
      <c r="K159" s="569">
        <f t="shared" si="5"/>
        <v>-15</v>
      </c>
    </row>
    <row r="160" spans="1:11" customFormat="1" x14ac:dyDescent="0.3">
      <c r="A160" s="145" t="s">
        <v>1106</v>
      </c>
      <c r="B160" s="145" t="s">
        <v>1106</v>
      </c>
      <c r="C160" s="567">
        <v>191477000000</v>
      </c>
      <c r="D160" t="s">
        <v>153</v>
      </c>
      <c r="E160" s="128">
        <v>0</v>
      </c>
      <c r="F160" s="128">
        <v>172865.4</v>
      </c>
      <c r="G160" s="128">
        <v>-199985.4</v>
      </c>
      <c r="H160" s="128">
        <v>-27120</v>
      </c>
      <c r="I160" s="128">
        <v>-27120</v>
      </c>
      <c r="J160" s="569">
        <f t="shared" si="4"/>
        <v>-27.12</v>
      </c>
      <c r="K160" s="569">
        <f t="shared" si="5"/>
        <v>-27</v>
      </c>
    </row>
    <row r="161" spans="1:11" x14ac:dyDescent="0.3">
      <c r="A161" s="145" t="s">
        <v>427</v>
      </c>
      <c r="B161" s="145" t="s">
        <v>427</v>
      </c>
      <c r="C161" s="567">
        <v>8294690000000</v>
      </c>
      <c r="D161" t="s">
        <v>428</v>
      </c>
      <c r="E161" s="128">
        <v>0</v>
      </c>
      <c r="F161" s="128">
        <v>180000</v>
      </c>
      <c r="G161" s="128">
        <v>-180000</v>
      </c>
      <c r="H161" s="128">
        <v>0</v>
      </c>
      <c r="I161" s="128">
        <v>0</v>
      </c>
      <c r="J161" s="569">
        <f t="shared" si="4"/>
        <v>0</v>
      </c>
      <c r="K161" s="569">
        <f t="shared" si="5"/>
        <v>0</v>
      </c>
    </row>
    <row r="162" spans="1:11" s="143" customFormat="1" x14ac:dyDescent="0.3">
      <c r="A162" s="145" t="s">
        <v>587</v>
      </c>
      <c r="B162" s="145" t="s">
        <v>587</v>
      </c>
      <c r="C162" s="567">
        <v>34977900000000</v>
      </c>
      <c r="D162" t="s">
        <v>154</v>
      </c>
      <c r="E162" s="128">
        <v>0</v>
      </c>
      <c r="F162" s="128">
        <v>12666.16</v>
      </c>
      <c r="G162" s="128">
        <v>-14188.34</v>
      </c>
      <c r="H162" s="128">
        <v>-1522.18</v>
      </c>
      <c r="I162" s="128">
        <v>-1522.18</v>
      </c>
      <c r="J162" s="569">
        <f t="shared" si="4"/>
        <v>-1.5221800000000001</v>
      </c>
      <c r="K162" s="569">
        <f t="shared" si="5"/>
        <v>-2</v>
      </c>
    </row>
    <row r="163" spans="1:11" s="143" customFormat="1" x14ac:dyDescent="0.3">
      <c r="A163" s="145" t="s">
        <v>429</v>
      </c>
      <c r="B163" s="145" t="s">
        <v>429</v>
      </c>
      <c r="C163" s="567">
        <v>25131900000000</v>
      </c>
      <c r="D163" t="s">
        <v>430</v>
      </c>
      <c r="E163" s="128">
        <v>0</v>
      </c>
      <c r="F163" s="128">
        <v>58180</v>
      </c>
      <c r="G163" s="128">
        <v>-58180</v>
      </c>
      <c r="H163" s="128">
        <v>0</v>
      </c>
      <c r="I163" s="128">
        <v>0</v>
      </c>
      <c r="J163" s="569">
        <f t="shared" si="4"/>
        <v>0</v>
      </c>
      <c r="K163" s="569">
        <f t="shared" si="5"/>
        <v>0</v>
      </c>
    </row>
    <row r="164" spans="1:11" x14ac:dyDescent="0.3">
      <c r="A164" s="145" t="s">
        <v>431</v>
      </c>
      <c r="B164" s="145" t="s">
        <v>431</v>
      </c>
      <c r="C164" s="567">
        <v>33198300000000</v>
      </c>
      <c r="D164" t="s">
        <v>432</v>
      </c>
      <c r="E164" s="128">
        <v>0</v>
      </c>
      <c r="F164" s="128">
        <v>4496.3999999999996</v>
      </c>
      <c r="G164" s="128">
        <v>-4496.3999999999996</v>
      </c>
      <c r="H164" s="128">
        <v>0</v>
      </c>
      <c r="I164" s="128">
        <v>0</v>
      </c>
      <c r="J164" s="569">
        <f t="shared" si="4"/>
        <v>0</v>
      </c>
      <c r="K164" s="569">
        <f t="shared" si="5"/>
        <v>0</v>
      </c>
    </row>
    <row r="165" spans="1:11" customFormat="1" x14ac:dyDescent="0.3">
      <c r="A165" s="145" t="s">
        <v>433</v>
      </c>
      <c r="B165" s="145" t="s">
        <v>433</v>
      </c>
      <c r="C165" s="567">
        <v>28712100000000</v>
      </c>
      <c r="D165" t="s">
        <v>434</v>
      </c>
      <c r="E165" s="128">
        <v>0</v>
      </c>
      <c r="F165" s="128">
        <v>147300</v>
      </c>
      <c r="G165" s="128">
        <v>-147300</v>
      </c>
      <c r="H165" s="128">
        <v>0</v>
      </c>
      <c r="I165" s="128">
        <v>0</v>
      </c>
      <c r="J165" s="569">
        <f t="shared" si="4"/>
        <v>0</v>
      </c>
      <c r="K165" s="569">
        <f t="shared" si="5"/>
        <v>0</v>
      </c>
    </row>
    <row r="166" spans="1:11" customFormat="1" x14ac:dyDescent="0.3">
      <c r="A166" s="145" t="s">
        <v>588</v>
      </c>
      <c r="B166" s="145" t="s">
        <v>588</v>
      </c>
      <c r="C166" s="567">
        <v>1406620000000</v>
      </c>
      <c r="D166" t="s">
        <v>435</v>
      </c>
      <c r="E166" s="128">
        <v>0</v>
      </c>
      <c r="F166" s="128">
        <v>504180.96</v>
      </c>
      <c r="G166" s="128">
        <v>-576445.41</v>
      </c>
      <c r="H166" s="128">
        <v>-72264.45</v>
      </c>
      <c r="I166" s="128">
        <v>-72264.45</v>
      </c>
      <c r="J166" s="569">
        <f t="shared" si="4"/>
        <v>-72.264449999999997</v>
      </c>
      <c r="K166" s="569">
        <f t="shared" si="5"/>
        <v>-72</v>
      </c>
    </row>
    <row r="167" spans="1:11" customFormat="1" x14ac:dyDescent="0.3">
      <c r="A167" s="145" t="s">
        <v>436</v>
      </c>
      <c r="B167" s="145" t="s">
        <v>436</v>
      </c>
      <c r="C167" s="567">
        <v>12499500000000</v>
      </c>
      <c r="D167" t="s">
        <v>437</v>
      </c>
      <c r="E167" s="128">
        <v>0</v>
      </c>
      <c r="F167" s="128">
        <v>2994.28</v>
      </c>
      <c r="G167" s="128">
        <v>-2994.28</v>
      </c>
      <c r="H167" s="128">
        <v>0</v>
      </c>
      <c r="I167" s="128">
        <v>0</v>
      </c>
      <c r="J167" s="569">
        <f t="shared" si="4"/>
        <v>0</v>
      </c>
      <c r="K167" s="569">
        <f t="shared" si="5"/>
        <v>0</v>
      </c>
    </row>
    <row r="168" spans="1:11" customFormat="1" x14ac:dyDescent="0.3">
      <c r="A168" s="145" t="s">
        <v>438</v>
      </c>
      <c r="B168" s="145" t="s">
        <v>438</v>
      </c>
      <c r="C168" s="567">
        <v>7843950000000</v>
      </c>
      <c r="D168" t="s">
        <v>439</v>
      </c>
      <c r="E168" s="128">
        <v>0</v>
      </c>
      <c r="F168" s="128">
        <v>24750</v>
      </c>
      <c r="G168" s="128">
        <v>-24750</v>
      </c>
      <c r="H168" s="128">
        <v>0</v>
      </c>
      <c r="I168" s="128">
        <v>0</v>
      </c>
      <c r="J168" s="569">
        <f t="shared" si="4"/>
        <v>0</v>
      </c>
      <c r="K168" s="569">
        <f t="shared" si="5"/>
        <v>0</v>
      </c>
    </row>
    <row r="169" spans="1:11" customFormat="1" x14ac:dyDescent="0.3">
      <c r="A169" s="145" t="s">
        <v>589</v>
      </c>
      <c r="B169" s="145" t="s">
        <v>589</v>
      </c>
      <c r="C169" s="567">
        <v>35419400000000</v>
      </c>
      <c r="D169" t="s">
        <v>440</v>
      </c>
      <c r="E169" s="128">
        <v>-7491.67</v>
      </c>
      <c r="F169" s="128">
        <v>7491.67</v>
      </c>
      <c r="G169" s="128">
        <v>0</v>
      </c>
      <c r="H169" s="128">
        <v>7491.67</v>
      </c>
      <c r="I169" s="128">
        <v>0</v>
      </c>
      <c r="J169" s="569">
        <f t="shared" si="4"/>
        <v>0</v>
      </c>
      <c r="K169" s="569">
        <f t="shared" si="5"/>
        <v>0</v>
      </c>
    </row>
    <row r="170" spans="1:11" customFormat="1" x14ac:dyDescent="0.3">
      <c r="A170" s="145" t="s">
        <v>441</v>
      </c>
      <c r="B170" s="145" t="s">
        <v>441</v>
      </c>
      <c r="C170" s="567">
        <v>12979000000000</v>
      </c>
      <c r="D170" t="s">
        <v>442</v>
      </c>
      <c r="E170" s="128">
        <v>0</v>
      </c>
      <c r="F170" s="128">
        <v>263069.65000000002</v>
      </c>
      <c r="G170" s="128">
        <v>-272196.28000000003</v>
      </c>
      <c r="H170" s="128">
        <v>-9126.6299999999992</v>
      </c>
      <c r="I170" s="128">
        <v>-9126.6299999999992</v>
      </c>
      <c r="J170" s="569">
        <f t="shared" si="4"/>
        <v>-9.1266299999999987</v>
      </c>
      <c r="K170" s="569">
        <f t="shared" si="5"/>
        <v>-9</v>
      </c>
    </row>
    <row r="171" spans="1:11" x14ac:dyDescent="0.3">
      <c r="A171" s="145" t="s">
        <v>590</v>
      </c>
      <c r="B171" s="145" t="s">
        <v>590</v>
      </c>
      <c r="C171" s="567">
        <v>38056400000000</v>
      </c>
      <c r="D171" t="s">
        <v>443</v>
      </c>
      <c r="E171" s="128">
        <v>0</v>
      </c>
      <c r="F171" s="128">
        <v>260415.32</v>
      </c>
      <c r="G171" s="128">
        <v>-279928.87</v>
      </c>
      <c r="H171" s="128">
        <v>-19513.55</v>
      </c>
      <c r="I171" s="128">
        <v>-19513.55</v>
      </c>
      <c r="J171" s="569">
        <f t="shared" si="4"/>
        <v>-19.513549999999999</v>
      </c>
      <c r="K171" s="569">
        <f t="shared" si="5"/>
        <v>-20</v>
      </c>
    </row>
    <row r="172" spans="1:11" customFormat="1" x14ac:dyDescent="0.3">
      <c r="A172" s="145" t="s">
        <v>814</v>
      </c>
      <c r="B172" s="145" t="s">
        <v>814</v>
      </c>
      <c r="C172" s="145" t="s">
        <v>815</v>
      </c>
      <c r="D172" t="s">
        <v>816</v>
      </c>
      <c r="E172" s="128">
        <v>0</v>
      </c>
      <c r="F172" s="128">
        <v>290833.36</v>
      </c>
      <c r="G172" s="128">
        <v>-290833.36</v>
      </c>
      <c r="H172" s="128">
        <v>0</v>
      </c>
      <c r="I172" s="128">
        <v>0</v>
      </c>
      <c r="J172" s="569">
        <f t="shared" si="4"/>
        <v>0</v>
      </c>
      <c r="K172" s="569">
        <f t="shared" si="5"/>
        <v>0</v>
      </c>
    </row>
    <row r="173" spans="1:11" x14ac:dyDescent="0.3">
      <c r="A173" s="145" t="s">
        <v>1107</v>
      </c>
      <c r="B173" s="145" t="s">
        <v>1107</v>
      </c>
      <c r="C173" s="567">
        <v>26915400000000</v>
      </c>
      <c r="D173" t="s">
        <v>1108</v>
      </c>
      <c r="E173" s="128">
        <v>0</v>
      </c>
      <c r="F173" s="128">
        <v>16048</v>
      </c>
      <c r="G173" s="128">
        <v>-16048</v>
      </c>
      <c r="H173" s="128">
        <v>0</v>
      </c>
      <c r="I173" s="128">
        <v>0</v>
      </c>
      <c r="J173" s="569">
        <f t="shared" si="4"/>
        <v>0</v>
      </c>
      <c r="K173" s="569">
        <f t="shared" si="5"/>
        <v>0</v>
      </c>
    </row>
    <row r="174" spans="1:11" x14ac:dyDescent="0.3">
      <c r="A174" s="145" t="s">
        <v>803</v>
      </c>
      <c r="B174" s="145" t="s">
        <v>803</v>
      </c>
      <c r="C174" s="567">
        <v>34260600000000</v>
      </c>
      <c r="D174" t="s">
        <v>804</v>
      </c>
      <c r="E174" s="128">
        <v>-2346.33</v>
      </c>
      <c r="F174" s="128">
        <v>2346.33</v>
      </c>
      <c r="G174" s="128">
        <v>0</v>
      </c>
      <c r="H174" s="128">
        <v>2346.33</v>
      </c>
      <c r="I174" s="128">
        <v>0</v>
      </c>
      <c r="J174" s="569">
        <f t="shared" si="4"/>
        <v>0</v>
      </c>
      <c r="K174" s="569">
        <f t="shared" si="5"/>
        <v>0</v>
      </c>
    </row>
    <row r="175" spans="1:11" x14ac:dyDescent="0.3">
      <c r="A175" s="145" t="s">
        <v>817</v>
      </c>
      <c r="B175" s="145" t="s">
        <v>817</v>
      </c>
      <c r="C175" s="567">
        <v>29483800000000</v>
      </c>
      <c r="D175" t="s">
        <v>818</v>
      </c>
      <c r="E175" s="128">
        <v>0</v>
      </c>
      <c r="F175" s="128">
        <v>23777.52</v>
      </c>
      <c r="G175" s="128">
        <v>-23777.52</v>
      </c>
      <c r="H175" s="128">
        <v>0</v>
      </c>
      <c r="I175" s="128">
        <v>0</v>
      </c>
      <c r="J175" s="569">
        <f t="shared" si="4"/>
        <v>0</v>
      </c>
      <c r="K175" s="569">
        <f t="shared" si="5"/>
        <v>0</v>
      </c>
    </row>
    <row r="176" spans="1:11" s="144" customFormat="1" x14ac:dyDescent="0.3">
      <c r="A176" s="145" t="s">
        <v>1109</v>
      </c>
      <c r="B176" s="145" t="s">
        <v>1109</v>
      </c>
      <c r="C176" s="567">
        <v>32969400000000</v>
      </c>
      <c r="D176" t="s">
        <v>1110</v>
      </c>
      <c r="E176" s="128">
        <v>0</v>
      </c>
      <c r="F176" s="128">
        <v>6318.9</v>
      </c>
      <c r="G176" s="128">
        <v>-6318.9</v>
      </c>
      <c r="H176" s="128">
        <v>0</v>
      </c>
      <c r="I176" s="128">
        <v>0</v>
      </c>
      <c r="J176" s="569">
        <f t="shared" si="4"/>
        <v>0</v>
      </c>
      <c r="K176" s="569">
        <f t="shared" si="5"/>
        <v>0</v>
      </c>
    </row>
    <row r="177" spans="1:11" x14ac:dyDescent="0.3">
      <c r="A177" s="145" t="s">
        <v>1111</v>
      </c>
      <c r="B177" s="145" t="s">
        <v>1111</v>
      </c>
      <c r="C177" s="567">
        <v>37563500000000</v>
      </c>
      <c r="D177" t="s">
        <v>1112</v>
      </c>
      <c r="E177" s="128">
        <v>0</v>
      </c>
      <c r="F177" s="128">
        <v>1389.41</v>
      </c>
      <c r="G177" s="128">
        <v>-1389.41</v>
      </c>
      <c r="H177" s="128">
        <v>0</v>
      </c>
      <c r="I177" s="128">
        <v>0</v>
      </c>
      <c r="J177" s="569">
        <f t="shared" si="4"/>
        <v>0</v>
      </c>
      <c r="K177" s="569">
        <f t="shared" si="5"/>
        <v>0</v>
      </c>
    </row>
    <row r="178" spans="1:11" customFormat="1" x14ac:dyDescent="0.3">
      <c r="A178" s="145" t="s">
        <v>805</v>
      </c>
      <c r="B178" s="145" t="s">
        <v>805</v>
      </c>
      <c r="C178" s="567">
        <v>32681700000000</v>
      </c>
      <c r="D178" t="s">
        <v>806</v>
      </c>
      <c r="E178" s="128">
        <v>0</v>
      </c>
      <c r="F178" s="128">
        <v>1158</v>
      </c>
      <c r="G178" s="128">
        <v>-1158</v>
      </c>
      <c r="H178" s="128">
        <v>0</v>
      </c>
      <c r="I178" s="128">
        <v>0</v>
      </c>
      <c r="J178" s="569">
        <f t="shared" si="4"/>
        <v>0</v>
      </c>
      <c r="K178" s="569">
        <f t="shared" si="5"/>
        <v>0</v>
      </c>
    </row>
    <row r="179" spans="1:11" customFormat="1" x14ac:dyDescent="0.3">
      <c r="A179" s="145" t="s">
        <v>819</v>
      </c>
      <c r="B179" s="145" t="s">
        <v>819</v>
      </c>
      <c r="C179" s="567">
        <v>8401150000000</v>
      </c>
      <c r="D179" t="s">
        <v>820</v>
      </c>
      <c r="E179" s="128">
        <v>0</v>
      </c>
      <c r="F179" s="128">
        <v>0</v>
      </c>
      <c r="G179" s="128">
        <v>-16200</v>
      </c>
      <c r="H179" s="128">
        <v>-16200</v>
      </c>
      <c r="I179" s="128">
        <v>-16200</v>
      </c>
      <c r="J179" s="569">
        <f t="shared" si="4"/>
        <v>-16.2</v>
      </c>
      <c r="K179" s="569">
        <f t="shared" si="5"/>
        <v>-16</v>
      </c>
    </row>
    <row r="180" spans="1:11" customFormat="1" x14ac:dyDescent="0.3">
      <c r="A180" s="145" t="s">
        <v>821</v>
      </c>
      <c r="B180" s="145" t="s">
        <v>821</v>
      </c>
      <c r="C180" s="567">
        <v>27553300000000</v>
      </c>
      <c r="D180" t="s">
        <v>822</v>
      </c>
      <c r="E180" s="128">
        <v>0</v>
      </c>
      <c r="F180" s="128">
        <v>14400</v>
      </c>
      <c r="G180" s="128">
        <v>-14400</v>
      </c>
      <c r="H180" s="128">
        <v>0</v>
      </c>
      <c r="I180" s="128">
        <v>0</v>
      </c>
      <c r="J180" s="569">
        <f t="shared" si="4"/>
        <v>0</v>
      </c>
      <c r="K180" s="569">
        <f t="shared" si="5"/>
        <v>0</v>
      </c>
    </row>
    <row r="181" spans="1:11" s="143" customFormat="1" x14ac:dyDescent="0.3">
      <c r="A181" s="145" t="s">
        <v>823</v>
      </c>
      <c r="B181" s="145" t="s">
        <v>823</v>
      </c>
      <c r="C181" s="567">
        <v>5630090000000</v>
      </c>
      <c r="D181" t="s">
        <v>824</v>
      </c>
      <c r="E181" s="128">
        <v>0</v>
      </c>
      <c r="F181" s="128">
        <v>28652.240000000002</v>
      </c>
      <c r="G181" s="128">
        <v>-28652.240000000002</v>
      </c>
      <c r="H181" s="128">
        <v>0</v>
      </c>
      <c r="I181" s="128">
        <v>0</v>
      </c>
      <c r="J181" s="569">
        <f t="shared" si="4"/>
        <v>0</v>
      </c>
      <c r="K181" s="569">
        <f t="shared" si="5"/>
        <v>0</v>
      </c>
    </row>
    <row r="182" spans="1:11" x14ac:dyDescent="0.3">
      <c r="A182" s="145" t="s">
        <v>444</v>
      </c>
      <c r="B182" s="145" t="s">
        <v>444</v>
      </c>
      <c r="C182" s="145">
        <v>2114998</v>
      </c>
      <c r="D182" t="s">
        <v>155</v>
      </c>
      <c r="E182" s="128">
        <v>0</v>
      </c>
      <c r="F182" s="128">
        <v>262948</v>
      </c>
      <c r="G182" s="128">
        <v>-262948</v>
      </c>
      <c r="H182" s="128">
        <v>0</v>
      </c>
      <c r="I182" s="128">
        <v>0</v>
      </c>
      <c r="J182" s="569">
        <f t="shared" si="4"/>
        <v>0</v>
      </c>
      <c r="K182" s="569">
        <f t="shared" si="5"/>
        <v>0</v>
      </c>
    </row>
    <row r="183" spans="1:11" x14ac:dyDescent="0.3">
      <c r="A183" s="145" t="s">
        <v>825</v>
      </c>
      <c r="B183" s="145" t="s">
        <v>825</v>
      </c>
      <c r="C183" s="567">
        <v>38458400000000</v>
      </c>
      <c r="D183" t="s">
        <v>826</v>
      </c>
      <c r="E183" s="128">
        <v>0</v>
      </c>
      <c r="F183" s="128">
        <v>1597.55</v>
      </c>
      <c r="G183" s="128">
        <v>-1597.55</v>
      </c>
      <c r="H183" s="128">
        <v>0</v>
      </c>
      <c r="I183" s="128">
        <v>0</v>
      </c>
      <c r="J183" s="569">
        <f t="shared" si="4"/>
        <v>0</v>
      </c>
      <c r="K183" s="569">
        <f t="shared" si="5"/>
        <v>0</v>
      </c>
    </row>
    <row r="184" spans="1:11" customFormat="1" x14ac:dyDescent="0.3">
      <c r="A184" s="145" t="s">
        <v>827</v>
      </c>
      <c r="B184" s="145" t="s">
        <v>827</v>
      </c>
      <c r="C184" s="567">
        <v>8210270000000</v>
      </c>
      <c r="D184" t="s">
        <v>828</v>
      </c>
      <c r="E184" s="128">
        <v>0</v>
      </c>
      <c r="F184" s="128">
        <v>14640</v>
      </c>
      <c r="G184" s="128">
        <v>-14640</v>
      </c>
      <c r="H184" s="128">
        <v>0</v>
      </c>
      <c r="I184" s="128">
        <v>0</v>
      </c>
      <c r="J184" s="569">
        <f t="shared" si="4"/>
        <v>0</v>
      </c>
      <c r="K184" s="569">
        <f t="shared" si="5"/>
        <v>0</v>
      </c>
    </row>
    <row r="185" spans="1:11" customFormat="1" x14ac:dyDescent="0.3">
      <c r="A185" s="145" t="s">
        <v>829</v>
      </c>
      <c r="B185" s="145" t="s">
        <v>829</v>
      </c>
      <c r="C185" s="567">
        <v>19485900000000</v>
      </c>
      <c r="D185" t="s">
        <v>830</v>
      </c>
      <c r="E185" s="128">
        <v>-24928</v>
      </c>
      <c r="F185" s="128">
        <v>24928</v>
      </c>
      <c r="G185" s="128">
        <v>0</v>
      </c>
      <c r="H185" s="128">
        <v>24928</v>
      </c>
      <c r="I185" s="128">
        <v>0</v>
      </c>
      <c r="J185" s="569">
        <f t="shared" si="4"/>
        <v>0</v>
      </c>
      <c r="K185" s="569">
        <f t="shared" si="5"/>
        <v>0</v>
      </c>
    </row>
    <row r="186" spans="1:11" s="144" customFormat="1" x14ac:dyDescent="0.3">
      <c r="A186" s="145" t="s">
        <v>831</v>
      </c>
      <c r="B186" s="145" t="s">
        <v>831</v>
      </c>
      <c r="C186" s="567">
        <v>3812750000000</v>
      </c>
      <c r="D186" t="s">
        <v>832</v>
      </c>
      <c r="E186" s="128">
        <v>-64998.98</v>
      </c>
      <c r="F186" s="128">
        <v>64999.98</v>
      </c>
      <c r="G186" s="128">
        <v>-1</v>
      </c>
      <c r="H186" s="128">
        <v>64998.98</v>
      </c>
      <c r="I186" s="128">
        <v>0</v>
      </c>
      <c r="J186" s="569">
        <f t="shared" si="4"/>
        <v>0</v>
      </c>
      <c r="K186" s="569">
        <f t="shared" si="5"/>
        <v>0</v>
      </c>
    </row>
    <row r="187" spans="1:11" s="143" customFormat="1" x14ac:dyDescent="0.3">
      <c r="A187" s="145" t="s">
        <v>1217</v>
      </c>
      <c r="B187" s="145" t="s">
        <v>1217</v>
      </c>
      <c r="C187" s="567">
        <v>1976530000000</v>
      </c>
      <c r="D187" t="s">
        <v>1218</v>
      </c>
      <c r="E187" s="128">
        <v>0</v>
      </c>
      <c r="F187" s="128">
        <v>6291</v>
      </c>
      <c r="G187" s="128">
        <v>-6291</v>
      </c>
      <c r="H187" s="128">
        <v>0</v>
      </c>
      <c r="I187" s="128">
        <v>0</v>
      </c>
      <c r="J187" s="569">
        <f t="shared" si="4"/>
        <v>0</v>
      </c>
      <c r="K187" s="569">
        <f t="shared" si="5"/>
        <v>0</v>
      </c>
    </row>
    <row r="188" spans="1:11" x14ac:dyDescent="0.3">
      <c r="A188" s="145" t="s">
        <v>1219</v>
      </c>
      <c r="B188" s="145" t="s">
        <v>1219</v>
      </c>
      <c r="C188" s="567">
        <v>44459900000000</v>
      </c>
      <c r="D188" t="s">
        <v>1220</v>
      </c>
      <c r="E188" s="128">
        <v>0</v>
      </c>
      <c r="F188" s="128">
        <v>23285.67</v>
      </c>
      <c r="G188" s="128">
        <v>-23285.67</v>
      </c>
      <c r="H188" s="128">
        <v>0</v>
      </c>
      <c r="I188" s="128">
        <v>0</v>
      </c>
      <c r="J188" s="569">
        <f t="shared" si="4"/>
        <v>0</v>
      </c>
      <c r="K188" s="569">
        <f t="shared" si="5"/>
        <v>0</v>
      </c>
    </row>
    <row r="189" spans="1:11" s="144" customFormat="1" x14ac:dyDescent="0.3">
      <c r="A189" s="145" t="s">
        <v>1221</v>
      </c>
      <c r="B189" s="145" t="s">
        <v>1221</v>
      </c>
      <c r="C189" s="567">
        <v>13369400000000</v>
      </c>
      <c r="D189" t="s">
        <v>1222</v>
      </c>
      <c r="E189" s="128">
        <v>0</v>
      </c>
      <c r="F189" s="128">
        <v>4980.5</v>
      </c>
      <c r="G189" s="128">
        <v>-4980.5</v>
      </c>
      <c r="H189" s="128">
        <v>0</v>
      </c>
      <c r="I189" s="128">
        <v>0</v>
      </c>
      <c r="J189" s="569">
        <f t="shared" si="4"/>
        <v>0</v>
      </c>
      <c r="K189" s="569">
        <f t="shared" si="5"/>
        <v>0</v>
      </c>
    </row>
    <row r="190" spans="1:11" s="143" customFormat="1" x14ac:dyDescent="0.3">
      <c r="A190" s="145" t="s">
        <v>1223</v>
      </c>
      <c r="B190" s="145" t="s">
        <v>1223</v>
      </c>
      <c r="C190" s="567">
        <v>37381900000000</v>
      </c>
      <c r="D190" t="s">
        <v>1224</v>
      </c>
      <c r="E190" s="128">
        <v>0</v>
      </c>
      <c r="F190" s="128">
        <v>28268.85</v>
      </c>
      <c r="G190" s="128">
        <v>-32103.02</v>
      </c>
      <c r="H190" s="128">
        <v>-3834.17</v>
      </c>
      <c r="I190" s="128">
        <v>-3834.17</v>
      </c>
      <c r="J190" s="569">
        <f t="shared" si="4"/>
        <v>-3.8341699999999999</v>
      </c>
      <c r="K190" s="569">
        <f t="shared" si="5"/>
        <v>-4</v>
      </c>
    </row>
    <row r="191" spans="1:11" x14ac:dyDescent="0.3">
      <c r="A191" s="145" t="s">
        <v>1225</v>
      </c>
      <c r="B191" s="145" t="s">
        <v>1225</v>
      </c>
      <c r="C191" s="567">
        <v>7273920000000</v>
      </c>
      <c r="D191" t="s">
        <v>1226</v>
      </c>
      <c r="E191" s="128">
        <v>0</v>
      </c>
      <c r="F191" s="128">
        <v>45190</v>
      </c>
      <c r="G191" s="128">
        <v>-45190</v>
      </c>
      <c r="H191" s="128">
        <v>0</v>
      </c>
      <c r="I191" s="128">
        <v>0</v>
      </c>
      <c r="J191" s="569">
        <f t="shared" si="4"/>
        <v>0</v>
      </c>
      <c r="K191" s="569">
        <f t="shared" si="5"/>
        <v>0</v>
      </c>
    </row>
    <row r="192" spans="1:11" s="143" customFormat="1" x14ac:dyDescent="0.3">
      <c r="A192" s="145" t="s">
        <v>1227</v>
      </c>
      <c r="B192" s="145" t="s">
        <v>1227</v>
      </c>
      <c r="C192" s="567">
        <v>45499300000000</v>
      </c>
      <c r="D192" t="s">
        <v>1228</v>
      </c>
      <c r="E192" s="128">
        <v>0</v>
      </c>
      <c r="F192" s="128">
        <v>299750</v>
      </c>
      <c r="G192" s="128">
        <v>-299750</v>
      </c>
      <c r="H192" s="128">
        <v>0</v>
      </c>
      <c r="I192" s="128">
        <v>0</v>
      </c>
      <c r="J192" s="569">
        <f t="shared" si="4"/>
        <v>0</v>
      </c>
      <c r="K192" s="569">
        <f t="shared" si="5"/>
        <v>0</v>
      </c>
    </row>
    <row r="193" spans="1:11" customFormat="1" x14ac:dyDescent="0.3">
      <c r="A193" s="145" t="s">
        <v>1229</v>
      </c>
      <c r="B193" s="145" t="s">
        <v>1229</v>
      </c>
      <c r="C193" s="567">
        <v>12782100000000</v>
      </c>
      <c r="D193" t="s">
        <v>1230</v>
      </c>
      <c r="E193" s="128">
        <v>0</v>
      </c>
      <c r="F193" s="128">
        <v>34912.26</v>
      </c>
      <c r="G193" s="128">
        <v>-34912.26</v>
      </c>
      <c r="H193" s="128">
        <v>0</v>
      </c>
      <c r="I193" s="128">
        <v>0</v>
      </c>
      <c r="J193" s="569">
        <f t="shared" si="4"/>
        <v>0</v>
      </c>
      <c r="K193" s="569">
        <f t="shared" si="5"/>
        <v>0</v>
      </c>
    </row>
    <row r="194" spans="1:11" customFormat="1" x14ac:dyDescent="0.3">
      <c r="A194" s="145" t="s">
        <v>1231</v>
      </c>
      <c r="B194" s="145" t="s">
        <v>1231</v>
      </c>
      <c r="C194" s="567">
        <v>7658540000000</v>
      </c>
      <c r="D194" t="s">
        <v>1232</v>
      </c>
      <c r="E194" s="128">
        <v>0</v>
      </c>
      <c r="F194" s="128">
        <v>172000</v>
      </c>
      <c r="G194" s="128">
        <v>-172000</v>
      </c>
      <c r="H194" s="128">
        <v>0</v>
      </c>
      <c r="I194" s="128">
        <v>0</v>
      </c>
      <c r="J194" s="569">
        <f t="shared" si="4"/>
        <v>0</v>
      </c>
      <c r="K194" s="569">
        <f t="shared" si="5"/>
        <v>0</v>
      </c>
    </row>
    <row r="195" spans="1:11" s="144" customFormat="1" x14ac:dyDescent="0.3">
      <c r="A195" s="145" t="s">
        <v>1233</v>
      </c>
      <c r="B195" s="145" t="s">
        <v>1233</v>
      </c>
      <c r="C195" s="567">
        <v>46792800000000</v>
      </c>
      <c r="D195" t="s">
        <v>1234</v>
      </c>
      <c r="E195" s="128">
        <v>0</v>
      </c>
      <c r="F195" s="128">
        <v>16370</v>
      </c>
      <c r="G195" s="128">
        <v>-16370</v>
      </c>
      <c r="H195" s="128">
        <v>0</v>
      </c>
      <c r="I195" s="128">
        <v>0</v>
      </c>
      <c r="J195" s="569">
        <f t="shared" si="4"/>
        <v>0</v>
      </c>
      <c r="K195" s="569">
        <f t="shared" si="5"/>
        <v>0</v>
      </c>
    </row>
    <row r="196" spans="1:11" customFormat="1" x14ac:dyDescent="0.3">
      <c r="A196" s="145" t="s">
        <v>1235</v>
      </c>
      <c r="B196" s="145" t="s">
        <v>1235</v>
      </c>
      <c r="C196" s="567">
        <v>31030100000000</v>
      </c>
      <c r="D196" t="s">
        <v>1236</v>
      </c>
      <c r="E196" s="128">
        <v>0</v>
      </c>
      <c r="F196" s="128">
        <v>1080</v>
      </c>
      <c r="G196" s="128">
        <v>-1080</v>
      </c>
      <c r="H196" s="128">
        <v>0</v>
      </c>
      <c r="I196" s="128">
        <v>0</v>
      </c>
      <c r="J196" s="569">
        <f t="shared" si="4"/>
        <v>0</v>
      </c>
      <c r="K196" s="569">
        <f t="shared" si="5"/>
        <v>0</v>
      </c>
    </row>
    <row r="197" spans="1:11" s="144" customFormat="1" x14ac:dyDescent="0.3">
      <c r="A197" s="145" t="s">
        <v>1237</v>
      </c>
      <c r="B197" s="145" t="s">
        <v>1237</v>
      </c>
      <c r="C197" s="567">
        <v>22243800000000</v>
      </c>
      <c r="D197" t="s">
        <v>1238</v>
      </c>
      <c r="E197" s="128">
        <v>0</v>
      </c>
      <c r="F197" s="128">
        <v>1500</v>
      </c>
      <c r="G197" s="128">
        <v>-1500</v>
      </c>
      <c r="H197" s="128">
        <v>0</v>
      </c>
      <c r="I197" s="128">
        <v>0</v>
      </c>
      <c r="J197" s="569">
        <f t="shared" si="4"/>
        <v>0</v>
      </c>
      <c r="K197" s="569">
        <f t="shared" si="5"/>
        <v>0</v>
      </c>
    </row>
    <row r="198" spans="1:11" s="144" customFormat="1" x14ac:dyDescent="0.3">
      <c r="A198" s="145" t="s">
        <v>1239</v>
      </c>
      <c r="B198" s="145" t="s">
        <v>1239</v>
      </c>
      <c r="C198" s="567">
        <v>42112700000000</v>
      </c>
      <c r="D198" t="s">
        <v>1240</v>
      </c>
      <c r="E198" s="128">
        <v>0</v>
      </c>
      <c r="F198" s="128">
        <v>12600</v>
      </c>
      <c r="G198" s="128">
        <v>-12600</v>
      </c>
      <c r="H198" s="128">
        <v>0</v>
      </c>
      <c r="I198" s="128">
        <v>0</v>
      </c>
      <c r="J198" s="569">
        <f t="shared" si="4"/>
        <v>0</v>
      </c>
      <c r="K198" s="569">
        <f t="shared" si="5"/>
        <v>0</v>
      </c>
    </row>
    <row r="199" spans="1:11" s="143" customFormat="1" x14ac:dyDescent="0.3">
      <c r="A199" s="145" t="s">
        <v>1327</v>
      </c>
      <c r="B199" s="145" t="s">
        <v>1327</v>
      </c>
      <c r="C199" s="567">
        <v>23605900000000</v>
      </c>
      <c r="D199" t="s">
        <v>1328</v>
      </c>
      <c r="E199" s="128">
        <v>0</v>
      </c>
      <c r="F199" s="128">
        <v>1298.7</v>
      </c>
      <c r="G199" s="128">
        <v>-1298.7</v>
      </c>
      <c r="H199" s="128">
        <v>0</v>
      </c>
      <c r="I199" s="128">
        <v>0</v>
      </c>
      <c r="J199" s="569">
        <f t="shared" si="4"/>
        <v>0</v>
      </c>
      <c r="K199" s="569">
        <f t="shared" si="5"/>
        <v>0</v>
      </c>
    </row>
    <row r="200" spans="1:11" s="143" customFormat="1" x14ac:dyDescent="0.3">
      <c r="A200" s="145" t="s">
        <v>1329</v>
      </c>
      <c r="B200" s="145" t="s">
        <v>1329</v>
      </c>
      <c r="C200" s="567">
        <v>18241200000000</v>
      </c>
      <c r="D200" t="s">
        <v>1330</v>
      </c>
      <c r="E200" s="128">
        <v>0</v>
      </c>
      <c r="F200" s="128">
        <v>1180</v>
      </c>
      <c r="G200" s="128">
        <v>-1180</v>
      </c>
      <c r="H200" s="128">
        <v>0</v>
      </c>
      <c r="I200" s="128">
        <v>0</v>
      </c>
      <c r="J200" s="569">
        <f t="shared" si="4"/>
        <v>0</v>
      </c>
      <c r="K200" s="569">
        <f t="shared" si="5"/>
        <v>0</v>
      </c>
    </row>
    <row r="201" spans="1:11" customFormat="1" x14ac:dyDescent="0.3">
      <c r="A201" s="145" t="s">
        <v>1331</v>
      </c>
      <c r="B201" s="145" t="s">
        <v>1331</v>
      </c>
      <c r="C201" s="567">
        <v>772864000000</v>
      </c>
      <c r="D201" t="s">
        <v>1332</v>
      </c>
      <c r="E201" s="128">
        <v>0</v>
      </c>
      <c r="F201" s="128">
        <v>18600</v>
      </c>
      <c r="G201" s="128">
        <v>-18600</v>
      </c>
      <c r="H201" s="128">
        <v>0</v>
      </c>
      <c r="I201" s="128">
        <v>0</v>
      </c>
      <c r="J201" s="569">
        <f t="shared" ref="J201:J264" si="6">I201/1000</f>
        <v>0</v>
      </c>
      <c r="K201" s="569">
        <f t="shared" ref="K201:K264" si="7">ROUND(J201,0)</f>
        <v>0</v>
      </c>
    </row>
    <row r="202" spans="1:11" customFormat="1" x14ac:dyDescent="0.3">
      <c r="A202" s="145" t="s">
        <v>1333</v>
      </c>
      <c r="B202" s="145" t="s">
        <v>1333</v>
      </c>
      <c r="C202" s="567">
        <v>10302200000000</v>
      </c>
      <c r="D202" t="s">
        <v>1334</v>
      </c>
      <c r="E202" s="128">
        <v>0</v>
      </c>
      <c r="F202" s="128">
        <v>40000</v>
      </c>
      <c r="G202" s="128">
        <v>-40000</v>
      </c>
      <c r="H202" s="128">
        <v>0</v>
      </c>
      <c r="I202" s="128">
        <v>0</v>
      </c>
      <c r="J202" s="569">
        <f t="shared" si="6"/>
        <v>0</v>
      </c>
      <c r="K202" s="569">
        <f t="shared" si="7"/>
        <v>0</v>
      </c>
    </row>
    <row r="203" spans="1:11" customFormat="1" x14ac:dyDescent="0.3">
      <c r="A203" s="145" t="s">
        <v>1335</v>
      </c>
      <c r="B203" s="145" t="s">
        <v>1335</v>
      </c>
      <c r="C203" s="567">
        <v>24185200000000</v>
      </c>
      <c r="D203" t="s">
        <v>1336</v>
      </c>
      <c r="E203" s="128">
        <v>0</v>
      </c>
      <c r="F203" s="128">
        <v>18062.5</v>
      </c>
      <c r="G203" s="128">
        <v>-18062.5</v>
      </c>
      <c r="H203" s="128">
        <v>0</v>
      </c>
      <c r="I203" s="128">
        <v>0</v>
      </c>
      <c r="J203" s="569">
        <f t="shared" si="6"/>
        <v>0</v>
      </c>
      <c r="K203" s="569">
        <f t="shared" si="7"/>
        <v>0</v>
      </c>
    </row>
    <row r="204" spans="1:11" s="144" customFormat="1" x14ac:dyDescent="0.3">
      <c r="A204" s="145" t="s">
        <v>1337</v>
      </c>
      <c r="B204" s="145" t="s">
        <v>1337</v>
      </c>
      <c r="C204" s="567">
        <v>29300300000000</v>
      </c>
      <c r="D204" t="s">
        <v>1338</v>
      </c>
      <c r="E204" s="128">
        <v>0</v>
      </c>
      <c r="F204" s="128">
        <v>8600</v>
      </c>
      <c r="G204" s="128">
        <v>-8600</v>
      </c>
      <c r="H204" s="128">
        <v>0</v>
      </c>
      <c r="I204" s="128">
        <v>0</v>
      </c>
      <c r="J204" s="569">
        <f t="shared" si="6"/>
        <v>0</v>
      </c>
      <c r="K204" s="569">
        <f t="shared" si="7"/>
        <v>0</v>
      </c>
    </row>
    <row r="205" spans="1:11" customFormat="1" x14ac:dyDescent="0.3">
      <c r="A205" s="145" t="s">
        <v>1339</v>
      </c>
      <c r="B205" s="145" t="s">
        <v>1339</v>
      </c>
      <c r="C205" s="567">
        <v>9183500000000</v>
      </c>
      <c r="D205" t="s">
        <v>1340</v>
      </c>
      <c r="E205" s="128">
        <v>0</v>
      </c>
      <c r="F205" s="128">
        <v>12600</v>
      </c>
      <c r="G205" s="128">
        <v>-12600</v>
      </c>
      <c r="H205" s="128">
        <v>0</v>
      </c>
      <c r="I205" s="128">
        <v>0</v>
      </c>
      <c r="J205" s="569">
        <f t="shared" si="6"/>
        <v>0</v>
      </c>
      <c r="K205" s="569">
        <f t="shared" si="7"/>
        <v>0</v>
      </c>
    </row>
    <row r="206" spans="1:11" customFormat="1" x14ac:dyDescent="0.3">
      <c r="A206" s="145" t="s">
        <v>1341</v>
      </c>
      <c r="B206" s="145" t="s">
        <v>1341</v>
      </c>
      <c r="C206" s="567">
        <v>19908100000000</v>
      </c>
      <c r="D206" t="s">
        <v>1342</v>
      </c>
      <c r="E206" s="128">
        <v>0</v>
      </c>
      <c r="F206" s="128">
        <v>596</v>
      </c>
      <c r="G206" s="128">
        <v>-596</v>
      </c>
      <c r="H206" s="128">
        <v>0</v>
      </c>
      <c r="I206" s="128">
        <v>0</v>
      </c>
      <c r="J206" s="569">
        <f t="shared" si="6"/>
        <v>0</v>
      </c>
      <c r="K206" s="569">
        <f t="shared" si="7"/>
        <v>0</v>
      </c>
    </row>
    <row r="207" spans="1:11" s="144" customFormat="1" x14ac:dyDescent="0.3">
      <c r="A207" s="145" t="s">
        <v>1343</v>
      </c>
      <c r="B207" s="145" t="s">
        <v>1343</v>
      </c>
      <c r="C207" s="567">
        <v>10299000000000</v>
      </c>
      <c r="D207" t="s">
        <v>1344</v>
      </c>
      <c r="E207" s="128">
        <v>0</v>
      </c>
      <c r="F207" s="128">
        <v>627</v>
      </c>
      <c r="G207" s="128">
        <v>-627</v>
      </c>
      <c r="H207" s="128">
        <v>0</v>
      </c>
      <c r="I207" s="128">
        <v>0</v>
      </c>
      <c r="J207" s="569">
        <f t="shared" si="6"/>
        <v>0</v>
      </c>
      <c r="K207" s="569">
        <f t="shared" si="7"/>
        <v>0</v>
      </c>
    </row>
    <row r="208" spans="1:11" customFormat="1" x14ac:dyDescent="0.3">
      <c r="A208" s="145" t="s">
        <v>1345</v>
      </c>
      <c r="B208" s="145" t="s">
        <v>1345</v>
      </c>
      <c r="C208" s="567">
        <v>5507500000000</v>
      </c>
      <c r="D208" t="s">
        <v>1346</v>
      </c>
      <c r="E208" s="128">
        <v>0</v>
      </c>
      <c r="F208" s="128">
        <v>14257.46</v>
      </c>
      <c r="G208" s="128">
        <v>-14257.46</v>
      </c>
      <c r="H208" s="128">
        <v>0</v>
      </c>
      <c r="I208" s="128">
        <v>0</v>
      </c>
      <c r="J208" s="569">
        <f t="shared" si="6"/>
        <v>0</v>
      </c>
      <c r="K208" s="569">
        <f t="shared" si="7"/>
        <v>0</v>
      </c>
    </row>
    <row r="209" spans="1:11" customFormat="1" x14ac:dyDescent="0.3">
      <c r="A209" s="145" t="s">
        <v>1347</v>
      </c>
      <c r="B209" s="145" t="s">
        <v>1347</v>
      </c>
      <c r="C209" s="567">
        <v>47463300000000</v>
      </c>
      <c r="D209" t="s">
        <v>1348</v>
      </c>
      <c r="E209" s="128">
        <v>0</v>
      </c>
      <c r="F209" s="128">
        <v>4462</v>
      </c>
      <c r="G209" s="128">
        <v>-4462</v>
      </c>
      <c r="H209" s="128">
        <v>0</v>
      </c>
      <c r="I209" s="128">
        <v>0</v>
      </c>
      <c r="J209" s="569">
        <f t="shared" si="6"/>
        <v>0</v>
      </c>
      <c r="K209" s="569">
        <f t="shared" si="7"/>
        <v>0</v>
      </c>
    </row>
    <row r="210" spans="1:11" x14ac:dyDescent="0.3">
      <c r="A210" s="145" t="s">
        <v>1349</v>
      </c>
      <c r="B210" s="145" t="s">
        <v>1349</v>
      </c>
      <c r="C210" s="567">
        <v>48659500000000</v>
      </c>
      <c r="D210" t="s">
        <v>1350</v>
      </c>
      <c r="E210" s="128">
        <v>0</v>
      </c>
      <c r="F210" s="128">
        <v>3450</v>
      </c>
      <c r="G210" s="128">
        <v>-3450</v>
      </c>
      <c r="H210" s="128">
        <v>0</v>
      </c>
      <c r="I210" s="128">
        <v>0</v>
      </c>
      <c r="J210" s="569">
        <f t="shared" si="6"/>
        <v>0</v>
      </c>
      <c r="K210" s="569">
        <f t="shared" si="7"/>
        <v>0</v>
      </c>
    </row>
    <row r="211" spans="1:11" customFormat="1" x14ac:dyDescent="0.3">
      <c r="A211" s="145" t="s">
        <v>1351</v>
      </c>
      <c r="B211" s="145" t="s">
        <v>1351</v>
      </c>
      <c r="C211" s="567">
        <v>4053320000000</v>
      </c>
      <c r="D211" t="s">
        <v>1352</v>
      </c>
      <c r="E211" s="128">
        <v>0</v>
      </c>
      <c r="F211" s="128">
        <v>3990</v>
      </c>
      <c r="G211" s="128">
        <v>-3990</v>
      </c>
      <c r="H211" s="128">
        <v>0</v>
      </c>
      <c r="I211" s="128">
        <v>0</v>
      </c>
      <c r="J211" s="569">
        <f t="shared" si="6"/>
        <v>0</v>
      </c>
      <c r="K211" s="569">
        <f t="shared" si="7"/>
        <v>0</v>
      </c>
    </row>
    <row r="212" spans="1:11" customFormat="1" x14ac:dyDescent="0.3">
      <c r="A212" s="145" t="s">
        <v>1353</v>
      </c>
      <c r="B212" s="145" t="s">
        <v>1353</v>
      </c>
      <c r="C212" s="567">
        <v>27116100000000</v>
      </c>
      <c r="D212" t="s">
        <v>1354</v>
      </c>
      <c r="E212" s="128">
        <v>0</v>
      </c>
      <c r="F212" s="128">
        <v>2700</v>
      </c>
      <c r="G212" s="128">
        <v>-2700</v>
      </c>
      <c r="H212" s="128">
        <v>0</v>
      </c>
      <c r="I212" s="128">
        <v>0</v>
      </c>
      <c r="J212" s="569">
        <f t="shared" si="6"/>
        <v>0</v>
      </c>
      <c r="K212" s="569">
        <f t="shared" si="7"/>
        <v>0</v>
      </c>
    </row>
    <row r="213" spans="1:11" customFormat="1" x14ac:dyDescent="0.3">
      <c r="A213" s="145" t="s">
        <v>1355</v>
      </c>
      <c r="B213" s="145" t="s">
        <v>1355</v>
      </c>
      <c r="C213" s="567">
        <v>9012640000000</v>
      </c>
      <c r="D213" t="s">
        <v>1356</v>
      </c>
      <c r="E213" s="128">
        <v>0</v>
      </c>
      <c r="F213" s="128">
        <v>9132</v>
      </c>
      <c r="G213" s="128">
        <v>-9132</v>
      </c>
      <c r="H213" s="128">
        <v>0</v>
      </c>
      <c r="I213" s="128">
        <v>0</v>
      </c>
      <c r="J213" s="569">
        <f t="shared" si="6"/>
        <v>0</v>
      </c>
      <c r="K213" s="569">
        <f t="shared" si="7"/>
        <v>0</v>
      </c>
    </row>
    <row r="214" spans="1:11" customFormat="1" x14ac:dyDescent="0.3">
      <c r="A214" s="145" t="s">
        <v>1357</v>
      </c>
      <c r="B214" s="145" t="s">
        <v>1357</v>
      </c>
      <c r="C214" s="567">
        <v>47982500000000</v>
      </c>
      <c r="D214" t="s">
        <v>1358</v>
      </c>
      <c r="E214" s="128">
        <v>0</v>
      </c>
      <c r="F214" s="128">
        <v>8316</v>
      </c>
      <c r="G214" s="128">
        <v>-8316</v>
      </c>
      <c r="H214" s="128">
        <v>0</v>
      </c>
      <c r="I214" s="128">
        <v>0</v>
      </c>
      <c r="J214" s="569">
        <f t="shared" si="6"/>
        <v>0</v>
      </c>
      <c r="K214" s="569">
        <f t="shared" si="7"/>
        <v>0</v>
      </c>
    </row>
    <row r="215" spans="1:11" customFormat="1" x14ac:dyDescent="0.3">
      <c r="A215" s="145" t="s">
        <v>1536</v>
      </c>
      <c r="B215" s="145" t="s">
        <v>1536</v>
      </c>
      <c r="C215" s="567">
        <v>40176000000000</v>
      </c>
      <c r="D215" t="s">
        <v>1551</v>
      </c>
      <c r="E215" s="128">
        <v>0</v>
      </c>
      <c r="F215" s="128">
        <v>29250</v>
      </c>
      <c r="G215" s="128">
        <v>-29250</v>
      </c>
      <c r="H215" s="128">
        <v>0</v>
      </c>
      <c r="I215" s="128">
        <v>0</v>
      </c>
      <c r="J215" s="569">
        <f t="shared" si="6"/>
        <v>0</v>
      </c>
      <c r="K215" s="569">
        <f t="shared" si="7"/>
        <v>0</v>
      </c>
    </row>
    <row r="216" spans="1:11" customFormat="1" x14ac:dyDescent="0.3">
      <c r="A216" s="145" t="s">
        <v>1537</v>
      </c>
      <c r="B216" s="145" t="s">
        <v>1537</v>
      </c>
      <c r="C216" s="567">
        <v>6201990000000</v>
      </c>
      <c r="D216" t="s">
        <v>1552</v>
      </c>
      <c r="E216" s="128">
        <v>0</v>
      </c>
      <c r="F216" s="128">
        <v>4660.32</v>
      </c>
      <c r="G216" s="128">
        <v>-4660.32</v>
      </c>
      <c r="H216" s="128">
        <v>0</v>
      </c>
      <c r="I216" s="128">
        <v>0</v>
      </c>
      <c r="J216" s="569">
        <f t="shared" si="6"/>
        <v>0</v>
      </c>
      <c r="K216" s="569">
        <f t="shared" si="7"/>
        <v>0</v>
      </c>
    </row>
    <row r="217" spans="1:11" customFormat="1" x14ac:dyDescent="0.3">
      <c r="A217" s="145" t="s">
        <v>1538</v>
      </c>
      <c r="B217" s="145" t="s">
        <v>1538</v>
      </c>
      <c r="C217" s="567">
        <v>48753000000000</v>
      </c>
      <c r="D217" t="s">
        <v>1553</v>
      </c>
      <c r="E217" s="128">
        <v>0</v>
      </c>
      <c r="F217" s="128">
        <v>473</v>
      </c>
      <c r="G217" s="128">
        <v>-473</v>
      </c>
      <c r="H217" s="128">
        <v>0</v>
      </c>
      <c r="I217" s="128">
        <v>0</v>
      </c>
      <c r="J217" s="569">
        <f t="shared" si="6"/>
        <v>0</v>
      </c>
      <c r="K217" s="569">
        <f t="shared" si="7"/>
        <v>0</v>
      </c>
    </row>
    <row r="218" spans="1:11" customFormat="1" x14ac:dyDescent="0.3">
      <c r="A218" s="145" t="s">
        <v>1539</v>
      </c>
      <c r="B218" s="145" t="s">
        <v>1539</v>
      </c>
      <c r="C218" s="567">
        <v>5824180000000</v>
      </c>
      <c r="D218" t="s">
        <v>1554</v>
      </c>
      <c r="E218" s="128">
        <v>0</v>
      </c>
      <c r="F218" s="128">
        <v>1025</v>
      </c>
      <c r="G218" s="128">
        <v>-1025</v>
      </c>
      <c r="H218" s="128">
        <v>0</v>
      </c>
      <c r="I218" s="128">
        <v>0</v>
      </c>
      <c r="J218" s="569">
        <f t="shared" si="6"/>
        <v>0</v>
      </c>
      <c r="K218" s="569">
        <f t="shared" si="7"/>
        <v>0</v>
      </c>
    </row>
    <row r="219" spans="1:11" customFormat="1" x14ac:dyDescent="0.3">
      <c r="A219" s="145" t="s">
        <v>1540</v>
      </c>
      <c r="B219" s="145" t="s">
        <v>1540</v>
      </c>
      <c r="C219" s="567">
        <v>50396700000000</v>
      </c>
      <c r="D219" t="s">
        <v>1555</v>
      </c>
      <c r="E219" s="128">
        <v>0</v>
      </c>
      <c r="F219" s="128">
        <v>49600</v>
      </c>
      <c r="G219" s="128">
        <v>-49600</v>
      </c>
      <c r="H219" s="128">
        <v>0</v>
      </c>
      <c r="I219" s="128">
        <v>0</v>
      </c>
      <c r="J219" s="569">
        <f t="shared" si="6"/>
        <v>0</v>
      </c>
      <c r="K219" s="569">
        <f t="shared" si="7"/>
        <v>0</v>
      </c>
    </row>
    <row r="220" spans="1:11" customFormat="1" x14ac:dyDescent="0.3">
      <c r="A220" s="145" t="s">
        <v>1541</v>
      </c>
      <c r="B220" s="145" t="s">
        <v>1541</v>
      </c>
      <c r="C220" s="567">
        <v>29864300000000</v>
      </c>
      <c r="D220" t="s">
        <v>1556</v>
      </c>
      <c r="E220" s="128">
        <v>0</v>
      </c>
      <c r="F220" s="128">
        <v>2013</v>
      </c>
      <c r="G220" s="128">
        <v>-2013</v>
      </c>
      <c r="H220" s="128">
        <v>0</v>
      </c>
      <c r="I220" s="128">
        <v>0</v>
      </c>
      <c r="J220" s="569">
        <f t="shared" si="6"/>
        <v>0</v>
      </c>
      <c r="K220" s="569">
        <f t="shared" si="7"/>
        <v>0</v>
      </c>
    </row>
    <row r="221" spans="1:11" customFormat="1" x14ac:dyDescent="0.3">
      <c r="A221" s="145" t="s">
        <v>1542</v>
      </c>
      <c r="B221" s="145" t="s">
        <v>1542</v>
      </c>
      <c r="C221" s="567">
        <v>10535800000000</v>
      </c>
      <c r="D221" t="s">
        <v>1557</v>
      </c>
      <c r="E221" s="128">
        <v>0</v>
      </c>
      <c r="F221" s="128">
        <v>2216.4299999999998</v>
      </c>
      <c r="G221" s="128">
        <v>-2216.4299999999998</v>
      </c>
      <c r="H221" s="128">
        <v>0</v>
      </c>
      <c r="I221" s="128">
        <v>0</v>
      </c>
      <c r="J221" s="569">
        <f t="shared" si="6"/>
        <v>0</v>
      </c>
      <c r="K221" s="569">
        <f t="shared" si="7"/>
        <v>0</v>
      </c>
    </row>
    <row r="222" spans="1:11" customFormat="1" x14ac:dyDescent="0.3">
      <c r="A222" s="145" t="s">
        <v>1543</v>
      </c>
      <c r="B222" s="145" t="s">
        <v>1543</v>
      </c>
      <c r="C222" s="567">
        <v>69112500000000</v>
      </c>
      <c r="D222" t="s">
        <v>1558</v>
      </c>
      <c r="E222" s="128">
        <v>0</v>
      </c>
      <c r="F222" s="128">
        <v>13890</v>
      </c>
      <c r="G222" s="128">
        <v>-13890</v>
      </c>
      <c r="H222" s="128">
        <v>0</v>
      </c>
      <c r="I222" s="128">
        <v>0</v>
      </c>
      <c r="J222" s="569">
        <f t="shared" si="6"/>
        <v>0</v>
      </c>
      <c r="K222" s="569">
        <f t="shared" si="7"/>
        <v>0</v>
      </c>
    </row>
    <row r="223" spans="1:11" customFormat="1" x14ac:dyDescent="0.3">
      <c r="A223" s="145" t="s">
        <v>1544</v>
      </c>
      <c r="B223" s="145" t="s">
        <v>1544</v>
      </c>
      <c r="C223" s="567">
        <v>67129900000000</v>
      </c>
      <c r="D223" t="s">
        <v>1559</v>
      </c>
      <c r="E223" s="128">
        <v>0</v>
      </c>
      <c r="F223" s="128">
        <v>200000</v>
      </c>
      <c r="G223" s="128">
        <v>-200000</v>
      </c>
      <c r="H223" s="128">
        <v>0</v>
      </c>
      <c r="I223" s="128">
        <v>0</v>
      </c>
      <c r="J223" s="569">
        <f t="shared" si="6"/>
        <v>0</v>
      </c>
      <c r="K223" s="569">
        <f t="shared" si="7"/>
        <v>0</v>
      </c>
    </row>
    <row r="224" spans="1:11" customFormat="1" x14ac:dyDescent="0.3">
      <c r="A224" s="145" t="s">
        <v>1545</v>
      </c>
      <c r="B224" s="145" t="s">
        <v>1545</v>
      </c>
      <c r="C224" s="567">
        <v>33327000000000</v>
      </c>
      <c r="D224" t="s">
        <v>1560</v>
      </c>
      <c r="E224" s="128">
        <v>0</v>
      </c>
      <c r="F224" s="128">
        <v>2555.9699999999998</v>
      </c>
      <c r="G224" s="128">
        <v>-2555.9699999999998</v>
      </c>
      <c r="H224" s="128">
        <v>0</v>
      </c>
      <c r="I224" s="128">
        <v>0</v>
      </c>
      <c r="J224" s="569">
        <f t="shared" si="6"/>
        <v>0</v>
      </c>
      <c r="K224" s="569">
        <f t="shared" si="7"/>
        <v>0</v>
      </c>
    </row>
    <row r="225" spans="1:11" customFormat="1" x14ac:dyDescent="0.3">
      <c r="A225" s="145" t="s">
        <v>1546</v>
      </c>
      <c r="B225" s="145" t="s">
        <v>1546</v>
      </c>
      <c r="C225" s="567">
        <v>29532300000000</v>
      </c>
      <c r="D225" t="s">
        <v>1561</v>
      </c>
      <c r="E225" s="128">
        <v>0</v>
      </c>
      <c r="F225" s="128">
        <v>753</v>
      </c>
      <c r="G225" s="128">
        <v>-753</v>
      </c>
      <c r="H225" s="128">
        <v>0</v>
      </c>
      <c r="I225" s="128">
        <v>0</v>
      </c>
      <c r="J225" s="569">
        <f t="shared" si="6"/>
        <v>0</v>
      </c>
      <c r="K225" s="569">
        <f t="shared" si="7"/>
        <v>0</v>
      </c>
    </row>
    <row r="226" spans="1:11" customFormat="1" x14ac:dyDescent="0.3">
      <c r="A226" s="145" t="s">
        <v>1547</v>
      </c>
      <c r="B226" s="145" t="s">
        <v>1547</v>
      </c>
      <c r="C226" s="567">
        <v>3571940000000</v>
      </c>
      <c r="D226" t="s">
        <v>1562</v>
      </c>
      <c r="E226" s="128">
        <v>0</v>
      </c>
      <c r="F226" s="128">
        <v>987</v>
      </c>
      <c r="G226" s="128">
        <v>-987</v>
      </c>
      <c r="H226" s="128">
        <v>0</v>
      </c>
      <c r="I226" s="128">
        <v>0</v>
      </c>
      <c r="J226" s="569">
        <f t="shared" si="6"/>
        <v>0</v>
      </c>
      <c r="K226" s="569">
        <f t="shared" si="7"/>
        <v>0</v>
      </c>
    </row>
    <row r="227" spans="1:11" customFormat="1" x14ac:dyDescent="0.3">
      <c r="A227" s="145" t="s">
        <v>1548</v>
      </c>
      <c r="B227" s="145" t="s">
        <v>1548</v>
      </c>
      <c r="C227" s="567">
        <v>43456400000000</v>
      </c>
      <c r="D227" t="s">
        <v>1563</v>
      </c>
      <c r="E227" s="128">
        <v>0</v>
      </c>
      <c r="F227" s="128">
        <v>1540</v>
      </c>
      <c r="G227" s="128">
        <v>-1540</v>
      </c>
      <c r="H227" s="128">
        <v>0</v>
      </c>
      <c r="I227" s="128">
        <v>0</v>
      </c>
      <c r="J227" s="569">
        <f t="shared" si="6"/>
        <v>0</v>
      </c>
      <c r="K227" s="569">
        <f t="shared" si="7"/>
        <v>0</v>
      </c>
    </row>
    <row r="228" spans="1:11" customFormat="1" x14ac:dyDescent="0.3">
      <c r="A228" s="145" t="s">
        <v>1549</v>
      </c>
      <c r="B228" s="145" t="s">
        <v>1549</v>
      </c>
      <c r="C228" s="567">
        <v>21775800000000</v>
      </c>
      <c r="D228" t="s">
        <v>1564</v>
      </c>
      <c r="E228" s="128">
        <v>0</v>
      </c>
      <c r="F228" s="128">
        <v>960</v>
      </c>
      <c r="G228" s="128">
        <v>-960</v>
      </c>
      <c r="H228" s="128">
        <v>0</v>
      </c>
      <c r="I228" s="128">
        <v>0</v>
      </c>
      <c r="J228" s="569">
        <f t="shared" si="6"/>
        <v>0</v>
      </c>
      <c r="K228" s="569">
        <f t="shared" si="7"/>
        <v>0</v>
      </c>
    </row>
    <row r="229" spans="1:11" customFormat="1" x14ac:dyDescent="0.3">
      <c r="A229" s="145" t="s">
        <v>1550</v>
      </c>
      <c r="B229" s="145" t="s">
        <v>1550</v>
      </c>
      <c r="C229" s="567">
        <v>3859240000000</v>
      </c>
      <c r="D229" t="s">
        <v>1565</v>
      </c>
      <c r="E229" s="128">
        <v>0</v>
      </c>
      <c r="F229" s="128">
        <v>0</v>
      </c>
      <c r="G229" s="128">
        <v>-5000</v>
      </c>
      <c r="H229" s="128">
        <v>-5000</v>
      </c>
      <c r="I229" s="128">
        <v>-5000</v>
      </c>
      <c r="J229" s="569">
        <f t="shared" si="6"/>
        <v>-5</v>
      </c>
      <c r="K229" s="569">
        <f t="shared" si="7"/>
        <v>-5</v>
      </c>
    </row>
    <row r="230" spans="1:11" s="144" customFormat="1" x14ac:dyDescent="0.3">
      <c r="A230" s="149" t="s">
        <v>591</v>
      </c>
      <c r="B230" s="149" t="s">
        <v>591</v>
      </c>
      <c r="C230" s="149">
        <v>2116</v>
      </c>
      <c r="D230" s="144" t="s">
        <v>17</v>
      </c>
      <c r="E230" s="213">
        <v>-97970.68</v>
      </c>
      <c r="F230" s="213">
        <v>1554975.07</v>
      </c>
      <c r="G230" s="213">
        <v>-1584915.64</v>
      </c>
      <c r="H230" s="213">
        <v>-29940.57</v>
      </c>
      <c r="I230" s="213">
        <v>-127911.25</v>
      </c>
      <c r="J230" s="568">
        <f t="shared" si="6"/>
        <v>-127.91125</v>
      </c>
      <c r="K230" s="568">
        <f t="shared" si="7"/>
        <v>-128</v>
      </c>
    </row>
    <row r="231" spans="1:11" customFormat="1" x14ac:dyDescent="0.3">
      <c r="A231" s="145" t="s">
        <v>1113</v>
      </c>
      <c r="B231" s="145" t="s">
        <v>1113</v>
      </c>
      <c r="C231" s="145">
        <v>21161</v>
      </c>
      <c r="D231" t="s">
        <v>1114</v>
      </c>
      <c r="E231" s="128">
        <v>0</v>
      </c>
      <c r="F231" s="128">
        <v>842004.23</v>
      </c>
      <c r="G231" s="128">
        <v>-842004.23</v>
      </c>
      <c r="H231" s="128">
        <v>0</v>
      </c>
      <c r="I231" s="128">
        <v>0</v>
      </c>
      <c r="J231" s="569">
        <f t="shared" si="6"/>
        <v>0</v>
      </c>
      <c r="K231" s="569">
        <f t="shared" si="7"/>
        <v>0</v>
      </c>
    </row>
    <row r="232" spans="1:11" customFormat="1" x14ac:dyDescent="0.3">
      <c r="A232" s="145" t="s">
        <v>445</v>
      </c>
      <c r="B232" s="145" t="s">
        <v>445</v>
      </c>
      <c r="C232" s="145">
        <v>21162</v>
      </c>
      <c r="D232" t="s">
        <v>156</v>
      </c>
      <c r="E232" s="128">
        <v>-17452.14</v>
      </c>
      <c r="F232" s="128">
        <v>66603.02</v>
      </c>
      <c r="G232" s="128">
        <v>-71840.28</v>
      </c>
      <c r="H232" s="128">
        <v>-5237.26</v>
      </c>
      <c r="I232" s="128">
        <v>-22689.4</v>
      </c>
      <c r="J232" s="569">
        <f t="shared" si="6"/>
        <v>-22.689400000000003</v>
      </c>
      <c r="K232" s="569">
        <f t="shared" si="7"/>
        <v>-23</v>
      </c>
    </row>
    <row r="233" spans="1:11" customFormat="1" x14ac:dyDescent="0.3">
      <c r="A233" s="145" t="s">
        <v>592</v>
      </c>
      <c r="B233" s="145" t="s">
        <v>592</v>
      </c>
      <c r="C233" s="145">
        <v>21163</v>
      </c>
      <c r="D233" t="s">
        <v>157</v>
      </c>
      <c r="E233" s="128">
        <v>-80518.539999999994</v>
      </c>
      <c r="F233" s="128">
        <v>311093.36</v>
      </c>
      <c r="G233" s="128">
        <v>-335796.67</v>
      </c>
      <c r="H233" s="128">
        <v>-24703.31</v>
      </c>
      <c r="I233" s="128">
        <v>-105221.85</v>
      </c>
      <c r="J233" s="569">
        <f t="shared" si="6"/>
        <v>-105.22185</v>
      </c>
      <c r="K233" s="569">
        <f t="shared" si="7"/>
        <v>-105</v>
      </c>
    </row>
    <row r="234" spans="1:11" customFormat="1" x14ac:dyDescent="0.3">
      <c r="A234" s="145" t="s">
        <v>1115</v>
      </c>
      <c r="B234" s="145" t="s">
        <v>1115</v>
      </c>
      <c r="C234" s="145">
        <v>21167</v>
      </c>
      <c r="D234" t="s">
        <v>1116</v>
      </c>
      <c r="E234" s="128">
        <v>0</v>
      </c>
      <c r="F234" s="128">
        <v>335274.46000000002</v>
      </c>
      <c r="G234" s="128">
        <v>-335274.46000000002</v>
      </c>
      <c r="H234" s="128">
        <v>0</v>
      </c>
      <c r="I234" s="128">
        <v>0</v>
      </c>
      <c r="J234" s="569">
        <f t="shared" si="6"/>
        <v>0</v>
      </c>
      <c r="K234" s="569">
        <f t="shared" si="7"/>
        <v>0</v>
      </c>
    </row>
    <row r="235" spans="1:11" s="144" customFormat="1" x14ac:dyDescent="0.3">
      <c r="A235" s="149" t="s">
        <v>593</v>
      </c>
      <c r="B235" s="149" t="s">
        <v>593</v>
      </c>
      <c r="C235" s="149">
        <v>2117</v>
      </c>
      <c r="D235" s="144" t="s">
        <v>158</v>
      </c>
      <c r="E235" s="213">
        <v>-888130.34</v>
      </c>
      <c r="F235" s="213">
        <v>9432120.5500000007</v>
      </c>
      <c r="G235" s="213">
        <v>-10294527.9</v>
      </c>
      <c r="H235" s="213">
        <v>-862407.35</v>
      </c>
      <c r="I235" s="213">
        <v>-1750537.69</v>
      </c>
      <c r="J235" s="568">
        <f t="shared" si="6"/>
        <v>-1750.5376899999999</v>
      </c>
      <c r="K235" s="568">
        <f t="shared" si="7"/>
        <v>-1751</v>
      </c>
    </row>
    <row r="236" spans="1:11" customFormat="1" x14ac:dyDescent="0.3">
      <c r="A236" s="145" t="s">
        <v>594</v>
      </c>
      <c r="B236" s="145" t="s">
        <v>594</v>
      </c>
      <c r="C236" s="145">
        <v>561</v>
      </c>
      <c r="D236" t="s">
        <v>159</v>
      </c>
      <c r="E236" s="128">
        <v>-858137.67</v>
      </c>
      <c r="F236" s="128">
        <v>8188656.2300000004</v>
      </c>
      <c r="G236" s="128">
        <v>-9061783.1199999992</v>
      </c>
      <c r="H236" s="128">
        <v>-873126.89</v>
      </c>
      <c r="I236" s="128">
        <v>-1731264.56</v>
      </c>
      <c r="J236" s="569">
        <f t="shared" si="6"/>
        <v>-1731.2645600000001</v>
      </c>
      <c r="K236" s="569">
        <f t="shared" si="7"/>
        <v>-1731</v>
      </c>
    </row>
    <row r="237" spans="1:11" customFormat="1" x14ac:dyDescent="0.3">
      <c r="A237" s="145" t="s">
        <v>595</v>
      </c>
      <c r="B237" s="145" t="s">
        <v>595</v>
      </c>
      <c r="C237" s="145" t="s">
        <v>160</v>
      </c>
      <c r="D237" t="s">
        <v>161</v>
      </c>
      <c r="E237" s="128">
        <v>-29992.67</v>
      </c>
      <c r="F237" s="128">
        <v>145236.26</v>
      </c>
      <c r="G237" s="128">
        <v>-134516.72</v>
      </c>
      <c r="H237" s="128">
        <v>10719.54</v>
      </c>
      <c r="I237" s="128">
        <v>-19273.13</v>
      </c>
      <c r="J237" s="569">
        <f t="shared" si="6"/>
        <v>-19.273130000000002</v>
      </c>
      <c r="K237" s="569">
        <f t="shared" si="7"/>
        <v>-19</v>
      </c>
    </row>
    <row r="238" spans="1:11" s="144" customFormat="1" x14ac:dyDescent="0.3">
      <c r="A238" s="145" t="s">
        <v>446</v>
      </c>
      <c r="B238" s="145" t="s">
        <v>446</v>
      </c>
      <c r="C238" s="145">
        <v>6147</v>
      </c>
      <c r="D238" t="s">
        <v>447</v>
      </c>
      <c r="E238" s="128">
        <v>0</v>
      </c>
      <c r="F238" s="128">
        <v>35255.17</v>
      </c>
      <c r="G238" s="128">
        <v>-35255.17</v>
      </c>
      <c r="H238" s="128">
        <v>0</v>
      </c>
      <c r="I238" s="128">
        <v>0</v>
      </c>
      <c r="J238" s="569">
        <f t="shared" si="6"/>
        <v>0</v>
      </c>
      <c r="K238" s="569">
        <f t="shared" si="7"/>
        <v>0</v>
      </c>
    </row>
    <row r="239" spans="1:11" customFormat="1" x14ac:dyDescent="0.3">
      <c r="A239" s="145" t="s">
        <v>448</v>
      </c>
      <c r="B239" s="145" t="s">
        <v>448</v>
      </c>
      <c r="C239" s="145">
        <v>6190</v>
      </c>
      <c r="D239" t="s">
        <v>449</v>
      </c>
      <c r="E239" s="128">
        <v>0</v>
      </c>
      <c r="F239" s="128">
        <v>904095.39</v>
      </c>
      <c r="G239" s="128">
        <v>-904095.39</v>
      </c>
      <c r="H239" s="128">
        <v>0</v>
      </c>
      <c r="I239" s="128">
        <v>0</v>
      </c>
      <c r="J239" s="569">
        <f t="shared" si="6"/>
        <v>0</v>
      </c>
      <c r="K239" s="569">
        <f t="shared" si="7"/>
        <v>0</v>
      </c>
    </row>
    <row r="240" spans="1:11" customFormat="1" x14ac:dyDescent="0.3">
      <c r="A240" s="145" t="s">
        <v>450</v>
      </c>
      <c r="B240" s="145" t="s">
        <v>450</v>
      </c>
      <c r="C240" s="145">
        <v>6175</v>
      </c>
      <c r="D240" t="s">
        <v>451</v>
      </c>
      <c r="E240" s="128">
        <v>0</v>
      </c>
      <c r="F240" s="128">
        <v>8696.7199999999993</v>
      </c>
      <c r="G240" s="128">
        <v>-8696.7199999999993</v>
      </c>
      <c r="H240" s="128">
        <v>0</v>
      </c>
      <c r="I240" s="128">
        <v>0</v>
      </c>
      <c r="J240" s="569">
        <f t="shared" si="6"/>
        <v>0</v>
      </c>
      <c r="K240" s="569">
        <f t="shared" si="7"/>
        <v>0</v>
      </c>
    </row>
    <row r="241" spans="1:11" customFormat="1" x14ac:dyDescent="0.3">
      <c r="A241" s="145" t="s">
        <v>452</v>
      </c>
      <c r="B241" s="145" t="s">
        <v>452</v>
      </c>
      <c r="C241" s="145" t="s">
        <v>162</v>
      </c>
      <c r="D241" t="s">
        <v>163</v>
      </c>
      <c r="E241" s="128">
        <v>0</v>
      </c>
      <c r="F241" s="128">
        <v>127563.93</v>
      </c>
      <c r="G241" s="128">
        <v>-127563.93</v>
      </c>
      <c r="H241" s="128">
        <v>0</v>
      </c>
      <c r="I241" s="128">
        <v>0</v>
      </c>
      <c r="J241" s="569">
        <f t="shared" si="6"/>
        <v>0</v>
      </c>
      <c r="K241" s="569">
        <f t="shared" si="7"/>
        <v>0</v>
      </c>
    </row>
    <row r="242" spans="1:11" customFormat="1" x14ac:dyDescent="0.3">
      <c r="A242" s="145" t="s">
        <v>1241</v>
      </c>
      <c r="B242" s="145" t="s">
        <v>1241</v>
      </c>
      <c r="C242" s="145">
        <v>211773</v>
      </c>
      <c r="D242" t="s">
        <v>1242</v>
      </c>
      <c r="E242" s="128">
        <v>0</v>
      </c>
      <c r="F242" s="128">
        <v>15964.83</v>
      </c>
      <c r="G242" s="128">
        <v>-15964.83</v>
      </c>
      <c r="H242" s="128">
        <v>0</v>
      </c>
      <c r="I242" s="128">
        <v>0</v>
      </c>
      <c r="J242" s="569">
        <f t="shared" si="6"/>
        <v>0</v>
      </c>
      <c r="K242" s="569">
        <f t="shared" si="7"/>
        <v>0</v>
      </c>
    </row>
    <row r="243" spans="1:11" customFormat="1" x14ac:dyDescent="0.3">
      <c r="A243" s="145" t="s">
        <v>1243</v>
      </c>
      <c r="B243" s="145" t="s">
        <v>1243</v>
      </c>
      <c r="C243" s="145">
        <v>211774</v>
      </c>
      <c r="D243" t="s">
        <v>1244</v>
      </c>
      <c r="E243" s="128">
        <v>0</v>
      </c>
      <c r="F243" s="128">
        <v>6652.02</v>
      </c>
      <c r="G243" s="128">
        <v>-6652.02</v>
      </c>
      <c r="H243" s="128">
        <v>0</v>
      </c>
      <c r="I243" s="128">
        <v>0</v>
      </c>
      <c r="J243" s="569">
        <f t="shared" si="6"/>
        <v>0</v>
      </c>
      <c r="K243" s="569">
        <f t="shared" si="7"/>
        <v>0</v>
      </c>
    </row>
    <row r="244" spans="1:11" s="144" customFormat="1" x14ac:dyDescent="0.3">
      <c r="A244" s="149" t="s">
        <v>596</v>
      </c>
      <c r="B244" s="149" t="s">
        <v>596</v>
      </c>
      <c r="C244" s="149">
        <v>2118</v>
      </c>
      <c r="D244" s="144" t="s">
        <v>453</v>
      </c>
      <c r="E244" s="213">
        <v>-14650416.050000001</v>
      </c>
      <c r="F244" s="213">
        <v>75531349.579999998</v>
      </c>
      <c r="G244" s="213">
        <v>-79251942.170000002</v>
      </c>
      <c r="H244" s="213">
        <v>-3720592.59</v>
      </c>
      <c r="I244" s="213">
        <v>-18371008.640000001</v>
      </c>
      <c r="J244" s="568">
        <f t="shared" si="6"/>
        <v>-18371.00864</v>
      </c>
      <c r="K244" s="568">
        <f t="shared" si="7"/>
        <v>-18371</v>
      </c>
    </row>
    <row r="245" spans="1:11" customFormat="1" x14ac:dyDescent="0.3">
      <c r="A245" s="145" t="s">
        <v>597</v>
      </c>
      <c r="B245" s="145" t="s">
        <v>597</v>
      </c>
      <c r="C245" s="145">
        <v>21181</v>
      </c>
      <c r="D245" t="s">
        <v>164</v>
      </c>
      <c r="E245" s="128">
        <v>-3296800.97</v>
      </c>
      <c r="F245" s="128">
        <v>49795953.75</v>
      </c>
      <c r="G245" s="128">
        <v>-49815023.049999997</v>
      </c>
      <c r="H245" s="128">
        <v>-19069.3</v>
      </c>
      <c r="I245" s="128">
        <v>-3315870.27</v>
      </c>
      <c r="J245" s="569">
        <f t="shared" si="6"/>
        <v>-3315.8702699999999</v>
      </c>
      <c r="K245" s="569">
        <f t="shared" si="7"/>
        <v>-3316</v>
      </c>
    </row>
    <row r="246" spans="1:11" customFormat="1" x14ac:dyDescent="0.3">
      <c r="A246" s="145" t="s">
        <v>598</v>
      </c>
      <c r="B246" s="145" t="s">
        <v>598</v>
      </c>
      <c r="C246" s="145">
        <v>21182</v>
      </c>
      <c r="D246" t="s">
        <v>165</v>
      </c>
      <c r="E246" s="128">
        <v>0</v>
      </c>
      <c r="F246" s="128">
        <v>40958.18</v>
      </c>
      <c r="G246" s="128">
        <v>-3570127.07</v>
      </c>
      <c r="H246" s="128">
        <v>-3529168.89</v>
      </c>
      <c r="I246" s="128">
        <v>-3529168.89</v>
      </c>
      <c r="J246" s="569">
        <f t="shared" si="6"/>
        <v>-3529.1688899999999</v>
      </c>
      <c r="K246" s="569">
        <f t="shared" si="7"/>
        <v>-3529</v>
      </c>
    </row>
    <row r="247" spans="1:11" customFormat="1" x14ac:dyDescent="0.3">
      <c r="A247" s="145" t="s">
        <v>599</v>
      </c>
      <c r="B247" s="145" t="s">
        <v>599</v>
      </c>
      <c r="C247" s="145">
        <v>21183</v>
      </c>
      <c r="D247" t="s">
        <v>166</v>
      </c>
      <c r="E247" s="128">
        <v>-7042192.4800000004</v>
      </c>
      <c r="F247" s="128">
        <v>5270282.45</v>
      </c>
      <c r="G247" s="128">
        <v>-4970684.2699999996</v>
      </c>
      <c r="H247" s="128">
        <v>299598.18</v>
      </c>
      <c r="I247" s="128">
        <v>-6742594.2999999998</v>
      </c>
      <c r="J247" s="569">
        <f t="shared" si="6"/>
        <v>-6742.5942999999997</v>
      </c>
      <c r="K247" s="569">
        <f>ROUND(J247,0)+1</f>
        <v>-6742</v>
      </c>
    </row>
    <row r="248" spans="1:11" customFormat="1" x14ac:dyDescent="0.3">
      <c r="A248" s="145" t="s">
        <v>600</v>
      </c>
      <c r="B248" s="145" t="s">
        <v>600</v>
      </c>
      <c r="C248" s="145">
        <v>21184</v>
      </c>
      <c r="D248" t="s">
        <v>167</v>
      </c>
      <c r="E248" s="128">
        <v>-1314535.46</v>
      </c>
      <c r="F248" s="128">
        <v>11373524.369999999</v>
      </c>
      <c r="G248" s="128">
        <v>-11310707</v>
      </c>
      <c r="H248" s="128">
        <v>62817.37</v>
      </c>
      <c r="I248" s="128">
        <v>-1251718.0900000001</v>
      </c>
      <c r="J248" s="569">
        <f t="shared" si="6"/>
        <v>-1251.7180900000001</v>
      </c>
      <c r="K248" s="569">
        <f t="shared" si="7"/>
        <v>-1252</v>
      </c>
    </row>
    <row r="249" spans="1:11" customFormat="1" x14ac:dyDescent="0.3">
      <c r="A249" s="145" t="s">
        <v>601</v>
      </c>
      <c r="B249" s="145" t="s">
        <v>601</v>
      </c>
      <c r="C249" s="145">
        <v>21185</v>
      </c>
      <c r="D249" t="s">
        <v>168</v>
      </c>
      <c r="E249" s="128">
        <v>-607966.32999999996</v>
      </c>
      <c r="F249" s="128">
        <v>3928471.94</v>
      </c>
      <c r="G249" s="128">
        <v>-3718024.93</v>
      </c>
      <c r="H249" s="128">
        <v>210447.01</v>
      </c>
      <c r="I249" s="128">
        <v>-397519.32</v>
      </c>
      <c r="J249" s="569">
        <f t="shared" si="6"/>
        <v>-397.51931999999999</v>
      </c>
      <c r="K249" s="569">
        <f t="shared" si="7"/>
        <v>-398</v>
      </c>
    </row>
    <row r="250" spans="1:11" customFormat="1" x14ac:dyDescent="0.3">
      <c r="A250" s="145" t="s">
        <v>454</v>
      </c>
      <c r="B250" s="145" t="s">
        <v>454</v>
      </c>
      <c r="C250" s="145">
        <v>21186</v>
      </c>
      <c r="D250" t="s">
        <v>169</v>
      </c>
      <c r="E250" s="128">
        <v>0</v>
      </c>
      <c r="F250" s="128">
        <v>1350</v>
      </c>
      <c r="G250" s="128">
        <v>-1350</v>
      </c>
      <c r="H250" s="128">
        <v>0</v>
      </c>
      <c r="I250" s="128">
        <v>0</v>
      </c>
      <c r="J250" s="569">
        <f t="shared" si="6"/>
        <v>0</v>
      </c>
      <c r="K250" s="569">
        <f t="shared" si="7"/>
        <v>0</v>
      </c>
    </row>
    <row r="251" spans="1:11" s="144" customFormat="1" x14ac:dyDescent="0.3">
      <c r="A251" s="145" t="s">
        <v>455</v>
      </c>
      <c r="B251" s="145" t="s">
        <v>455</v>
      </c>
      <c r="C251" s="145">
        <v>21187</v>
      </c>
      <c r="D251" t="s">
        <v>170</v>
      </c>
      <c r="E251" s="128">
        <v>0</v>
      </c>
      <c r="F251" s="128">
        <v>164776.12</v>
      </c>
      <c r="G251" s="128">
        <v>-164776.12</v>
      </c>
      <c r="H251" s="128">
        <v>0</v>
      </c>
      <c r="I251" s="128">
        <v>0</v>
      </c>
      <c r="J251" s="569">
        <f t="shared" si="6"/>
        <v>0</v>
      </c>
      <c r="K251" s="569">
        <f t="shared" si="7"/>
        <v>0</v>
      </c>
    </row>
    <row r="252" spans="1:11" customFormat="1" x14ac:dyDescent="0.3">
      <c r="A252" s="145" t="s">
        <v>456</v>
      </c>
      <c r="B252" s="145" t="s">
        <v>456</v>
      </c>
      <c r="C252" s="145">
        <v>21188</v>
      </c>
      <c r="D252" t="s">
        <v>457</v>
      </c>
      <c r="E252" s="128">
        <v>-10670.47</v>
      </c>
      <c r="F252" s="128">
        <v>179821.4</v>
      </c>
      <c r="G252" s="128">
        <v>-169150.93</v>
      </c>
      <c r="H252" s="128">
        <v>10670.47</v>
      </c>
      <c r="I252" s="128">
        <v>0</v>
      </c>
      <c r="J252" s="569">
        <f t="shared" si="6"/>
        <v>0</v>
      </c>
      <c r="K252" s="569">
        <f t="shared" si="7"/>
        <v>0</v>
      </c>
    </row>
    <row r="253" spans="1:11" customFormat="1" x14ac:dyDescent="0.3">
      <c r="A253" s="145" t="s">
        <v>602</v>
      </c>
      <c r="B253" s="145" t="s">
        <v>602</v>
      </c>
      <c r="C253" s="145">
        <v>21189</v>
      </c>
      <c r="D253" t="s">
        <v>171</v>
      </c>
      <c r="E253" s="128">
        <v>-335918.14</v>
      </c>
      <c r="F253" s="128">
        <v>3012526.24</v>
      </c>
      <c r="G253" s="128">
        <v>-3018669.94</v>
      </c>
      <c r="H253" s="128">
        <v>-6143.7</v>
      </c>
      <c r="I253" s="128">
        <v>-342061.84</v>
      </c>
      <c r="J253" s="569">
        <f t="shared" si="6"/>
        <v>-342.06184000000002</v>
      </c>
      <c r="K253" s="569">
        <f t="shared" si="7"/>
        <v>-342</v>
      </c>
    </row>
    <row r="254" spans="1:11" customFormat="1" x14ac:dyDescent="0.3">
      <c r="A254" s="145" t="s">
        <v>603</v>
      </c>
      <c r="B254" s="145" t="s">
        <v>603</v>
      </c>
      <c r="C254" s="145">
        <v>211810</v>
      </c>
      <c r="D254" t="s">
        <v>172</v>
      </c>
      <c r="E254" s="128">
        <v>0</v>
      </c>
      <c r="F254" s="128">
        <v>9829.0300000000007</v>
      </c>
      <c r="G254" s="128">
        <v>-746930.71</v>
      </c>
      <c r="H254" s="128">
        <v>-737101.68</v>
      </c>
      <c r="I254" s="128">
        <v>-737101.68</v>
      </c>
      <c r="J254" s="569">
        <f t="shared" si="6"/>
        <v>-737.1016800000001</v>
      </c>
      <c r="K254" s="569">
        <f t="shared" si="7"/>
        <v>-737</v>
      </c>
    </row>
    <row r="255" spans="1:11" customFormat="1" x14ac:dyDescent="0.3">
      <c r="A255" s="145" t="s">
        <v>604</v>
      </c>
      <c r="B255" s="145" t="s">
        <v>604</v>
      </c>
      <c r="C255" s="145">
        <v>211811</v>
      </c>
      <c r="D255" t="s">
        <v>173</v>
      </c>
      <c r="E255" s="128">
        <v>0</v>
      </c>
      <c r="F255" s="128">
        <v>230605.06</v>
      </c>
      <c r="G255" s="128">
        <v>-326060.25</v>
      </c>
      <c r="H255" s="128">
        <v>-95455.19</v>
      </c>
      <c r="I255" s="128">
        <v>-95455.19</v>
      </c>
      <c r="J255" s="569">
        <f t="shared" si="6"/>
        <v>-95.455190000000002</v>
      </c>
      <c r="K255" s="569">
        <f t="shared" si="7"/>
        <v>-95</v>
      </c>
    </row>
    <row r="256" spans="1:11" s="144" customFormat="1" x14ac:dyDescent="0.3">
      <c r="A256" s="145" t="s">
        <v>605</v>
      </c>
      <c r="B256" s="145" t="s">
        <v>605</v>
      </c>
      <c r="C256" s="145">
        <v>211812</v>
      </c>
      <c r="D256" t="s">
        <v>174</v>
      </c>
      <c r="E256" s="128">
        <v>-1478930.54</v>
      </c>
      <c r="F256" s="128">
        <v>1103044.1499999999</v>
      </c>
      <c r="G256" s="128">
        <v>-1043076.1</v>
      </c>
      <c r="H256" s="128">
        <v>59968.05</v>
      </c>
      <c r="I256" s="128">
        <v>-1418962.49</v>
      </c>
      <c r="J256" s="569">
        <f t="shared" si="6"/>
        <v>-1418.9624899999999</v>
      </c>
      <c r="K256" s="569">
        <f t="shared" si="7"/>
        <v>-1419</v>
      </c>
    </row>
    <row r="257" spans="1:11" customFormat="1" x14ac:dyDescent="0.3">
      <c r="A257" s="145" t="s">
        <v>606</v>
      </c>
      <c r="B257" s="145" t="s">
        <v>606</v>
      </c>
      <c r="C257" s="145">
        <v>211813</v>
      </c>
      <c r="D257" t="s">
        <v>175</v>
      </c>
      <c r="E257" s="128">
        <v>-563401.66</v>
      </c>
      <c r="F257" s="128">
        <v>420206.89</v>
      </c>
      <c r="G257" s="128">
        <v>-397361.8</v>
      </c>
      <c r="H257" s="128">
        <v>22845.09</v>
      </c>
      <c r="I257" s="128">
        <v>-540556.56999999995</v>
      </c>
      <c r="J257" s="569">
        <f t="shared" si="6"/>
        <v>-540.55656999999997</v>
      </c>
      <c r="K257" s="569">
        <f t="shared" si="7"/>
        <v>-541</v>
      </c>
    </row>
    <row r="258" spans="1:11" s="144" customFormat="1" x14ac:dyDescent="0.3">
      <c r="A258" s="149" t="s">
        <v>607</v>
      </c>
      <c r="B258" s="149" t="s">
        <v>607</v>
      </c>
      <c r="C258" s="149">
        <v>211110</v>
      </c>
      <c r="D258" s="144" t="s">
        <v>19</v>
      </c>
      <c r="E258" s="213">
        <v>-2825115.32</v>
      </c>
      <c r="F258" s="213">
        <v>2832148.54</v>
      </c>
      <c r="G258" s="213">
        <v>-7033.22</v>
      </c>
      <c r="H258" s="213">
        <v>2825115.32</v>
      </c>
      <c r="I258" s="213">
        <v>0</v>
      </c>
      <c r="J258" s="568">
        <f t="shared" si="6"/>
        <v>0</v>
      </c>
      <c r="K258" s="568">
        <f t="shared" si="7"/>
        <v>0</v>
      </c>
    </row>
    <row r="259" spans="1:11" customFormat="1" x14ac:dyDescent="0.3">
      <c r="A259" s="145" t="s">
        <v>608</v>
      </c>
      <c r="B259" s="145" t="s">
        <v>608</v>
      </c>
      <c r="C259" s="145">
        <v>211111</v>
      </c>
      <c r="D259" t="s">
        <v>458</v>
      </c>
      <c r="E259" s="128">
        <v>-2825115.32</v>
      </c>
      <c r="F259" s="128">
        <v>2832148.54</v>
      </c>
      <c r="G259" s="128">
        <v>-7033.22</v>
      </c>
      <c r="H259" s="128">
        <v>2825115.32</v>
      </c>
      <c r="I259" s="128">
        <v>0</v>
      </c>
      <c r="J259" s="569">
        <f t="shared" si="6"/>
        <v>0</v>
      </c>
      <c r="K259" s="569">
        <f t="shared" si="7"/>
        <v>0</v>
      </c>
    </row>
    <row r="260" spans="1:11" s="144" customFormat="1" x14ac:dyDescent="0.3">
      <c r="A260" s="149" t="s">
        <v>609</v>
      </c>
      <c r="B260" s="149" t="s">
        <v>609</v>
      </c>
      <c r="C260" s="149">
        <v>21114</v>
      </c>
      <c r="D260" s="144" t="s">
        <v>20</v>
      </c>
      <c r="E260" s="213">
        <v>-25485.42</v>
      </c>
      <c r="F260" s="213">
        <v>237342.9</v>
      </c>
      <c r="G260" s="213">
        <v>-237873.06</v>
      </c>
      <c r="H260" s="213">
        <v>-530.16</v>
      </c>
      <c r="I260" s="213">
        <v>-26015.58</v>
      </c>
      <c r="J260" s="568">
        <f t="shared" si="6"/>
        <v>-26.015580000000003</v>
      </c>
      <c r="K260" s="568">
        <f t="shared" si="7"/>
        <v>-26</v>
      </c>
    </row>
    <row r="261" spans="1:11" customFormat="1" x14ac:dyDescent="0.3">
      <c r="A261" s="145" t="s">
        <v>610</v>
      </c>
      <c r="B261" s="145" t="s">
        <v>610</v>
      </c>
      <c r="C261" s="145">
        <v>211145</v>
      </c>
      <c r="D261" t="s">
        <v>176</v>
      </c>
      <c r="E261" s="128">
        <v>0</v>
      </c>
      <c r="F261" s="128">
        <v>211857.48</v>
      </c>
      <c r="G261" s="128">
        <v>-237873.06</v>
      </c>
      <c r="H261" s="128">
        <v>-26015.58</v>
      </c>
      <c r="I261" s="128">
        <v>-26015.58</v>
      </c>
      <c r="J261" s="569">
        <f t="shared" si="6"/>
        <v>-26.015580000000003</v>
      </c>
      <c r="K261" s="569">
        <f t="shared" si="7"/>
        <v>-26</v>
      </c>
    </row>
    <row r="262" spans="1:11" customFormat="1" x14ac:dyDescent="0.3">
      <c r="A262" s="145" t="s">
        <v>611</v>
      </c>
      <c r="B262" s="145" t="s">
        <v>611</v>
      </c>
      <c r="C262" s="145">
        <v>211147</v>
      </c>
      <c r="D262" t="s">
        <v>177</v>
      </c>
      <c r="E262" s="128">
        <v>-25485.42</v>
      </c>
      <c r="F262" s="128">
        <v>25485.42</v>
      </c>
      <c r="G262" s="128">
        <v>0</v>
      </c>
      <c r="H262" s="128">
        <v>25485.42</v>
      </c>
      <c r="I262" s="128">
        <v>0</v>
      </c>
      <c r="J262" s="569">
        <f t="shared" si="6"/>
        <v>0</v>
      </c>
      <c r="K262" s="569">
        <f t="shared" si="7"/>
        <v>0</v>
      </c>
    </row>
    <row r="263" spans="1:11" s="144" customFormat="1" x14ac:dyDescent="0.3">
      <c r="A263" s="149" t="s">
        <v>612</v>
      </c>
      <c r="B263" s="149" t="s">
        <v>612</v>
      </c>
      <c r="C263" s="149">
        <v>21115</v>
      </c>
      <c r="D263" s="144" t="s">
        <v>171</v>
      </c>
      <c r="E263" s="213">
        <v>-332046.78000000003</v>
      </c>
      <c r="F263" s="213">
        <v>2986892.19</v>
      </c>
      <c r="G263" s="213">
        <v>-2992990.17</v>
      </c>
      <c r="H263" s="213">
        <v>-6097.98</v>
      </c>
      <c r="I263" s="213">
        <v>-338144.76</v>
      </c>
      <c r="J263" s="568">
        <f t="shared" si="6"/>
        <v>-338.14476000000002</v>
      </c>
      <c r="K263" s="568">
        <f t="shared" si="7"/>
        <v>-338</v>
      </c>
    </row>
    <row r="264" spans="1:11" customFormat="1" x14ac:dyDescent="0.3">
      <c r="A264" s="145" t="s">
        <v>613</v>
      </c>
      <c r="B264" s="145" t="s">
        <v>613</v>
      </c>
      <c r="C264" s="145">
        <v>211151</v>
      </c>
      <c r="D264" t="s">
        <v>178</v>
      </c>
      <c r="E264" s="128">
        <v>-332046.78000000003</v>
      </c>
      <c r="F264" s="128">
        <v>2986892.19</v>
      </c>
      <c r="G264" s="128">
        <v>-2992990.17</v>
      </c>
      <c r="H264" s="128">
        <v>-6097.98</v>
      </c>
      <c r="I264" s="128">
        <v>-338144.76</v>
      </c>
      <c r="J264" s="569">
        <f t="shared" si="6"/>
        <v>-338.14476000000002</v>
      </c>
      <c r="K264" s="569">
        <f t="shared" si="7"/>
        <v>-338</v>
      </c>
    </row>
    <row r="265" spans="1:11" s="144" customFormat="1" x14ac:dyDescent="0.3">
      <c r="A265" s="149" t="s">
        <v>614</v>
      </c>
      <c r="B265" s="149" t="s">
        <v>614</v>
      </c>
      <c r="C265" s="149">
        <v>22</v>
      </c>
      <c r="D265" s="144" t="s">
        <v>179</v>
      </c>
      <c r="E265" s="213">
        <v>-7039774.5599999996</v>
      </c>
      <c r="F265" s="213">
        <v>655144.73</v>
      </c>
      <c r="G265" s="213">
        <v>-5147368.4400000004</v>
      </c>
      <c r="H265" s="213">
        <v>-4492223.71</v>
      </c>
      <c r="I265" s="213">
        <v>-11531998.27</v>
      </c>
      <c r="J265" s="568">
        <f t="shared" ref="J265:J328" si="8">I265/1000</f>
        <v>-11531.99827</v>
      </c>
      <c r="K265" s="568">
        <f t="shared" ref="K265:K328" si="9">ROUND(J265,0)</f>
        <v>-11532</v>
      </c>
    </row>
    <row r="266" spans="1:11" s="144" customFormat="1" x14ac:dyDescent="0.3">
      <c r="A266" s="149" t="s">
        <v>615</v>
      </c>
      <c r="B266" s="149" t="s">
        <v>615</v>
      </c>
      <c r="C266" s="149">
        <v>221</v>
      </c>
      <c r="D266" s="144" t="s">
        <v>180</v>
      </c>
      <c r="E266" s="213">
        <v>-7039774.5599999996</v>
      </c>
      <c r="F266" s="213">
        <v>655144.73</v>
      </c>
      <c r="G266" s="213">
        <v>-5147368.4400000004</v>
      </c>
      <c r="H266" s="213">
        <v>-4492223.71</v>
      </c>
      <c r="I266" s="213">
        <v>-11531998.27</v>
      </c>
      <c r="J266" s="568">
        <f t="shared" si="8"/>
        <v>-11531.99827</v>
      </c>
      <c r="K266" s="568">
        <f t="shared" si="9"/>
        <v>-11532</v>
      </c>
    </row>
    <row r="267" spans="1:11" s="144" customFormat="1" x14ac:dyDescent="0.3">
      <c r="A267" s="149" t="s">
        <v>616</v>
      </c>
      <c r="B267" s="149" t="s">
        <v>616</v>
      </c>
      <c r="C267" s="149">
        <v>2215</v>
      </c>
      <c r="D267" s="144" t="s">
        <v>19</v>
      </c>
      <c r="E267" s="213">
        <v>-7039774.5599999996</v>
      </c>
      <c r="F267" s="213">
        <v>655144.73</v>
      </c>
      <c r="G267" s="213">
        <v>-5147368.4400000004</v>
      </c>
      <c r="H267" s="213">
        <v>-4492223.71</v>
      </c>
      <c r="I267" s="213">
        <v>-11531998.27</v>
      </c>
      <c r="J267" s="568">
        <f t="shared" si="8"/>
        <v>-11531.99827</v>
      </c>
      <c r="K267" s="568">
        <f t="shared" si="9"/>
        <v>-11532</v>
      </c>
    </row>
    <row r="268" spans="1:11" customFormat="1" x14ac:dyDescent="0.3">
      <c r="A268" s="145" t="s">
        <v>617</v>
      </c>
      <c r="B268" s="145" t="s">
        <v>617</v>
      </c>
      <c r="C268" s="145">
        <v>22151</v>
      </c>
      <c r="D268" t="s">
        <v>458</v>
      </c>
      <c r="E268" s="128">
        <v>-404002.73</v>
      </c>
      <c r="F268" s="128">
        <v>12400</v>
      </c>
      <c r="G268" s="128">
        <v>-4227029.7300000004</v>
      </c>
      <c r="H268" s="128">
        <v>-4214629.7300000004</v>
      </c>
      <c r="I268" s="128">
        <v>-4618632.46</v>
      </c>
      <c r="J268" s="569">
        <f t="shared" si="8"/>
        <v>-4618.6324599999998</v>
      </c>
      <c r="K268" s="569">
        <f t="shared" si="9"/>
        <v>-4619</v>
      </c>
    </row>
    <row r="269" spans="1:11" customFormat="1" x14ac:dyDescent="0.3">
      <c r="A269" s="145" t="s">
        <v>618</v>
      </c>
      <c r="B269" s="145" t="s">
        <v>618</v>
      </c>
      <c r="C269" s="145">
        <v>22152</v>
      </c>
      <c r="D269" t="s">
        <v>181</v>
      </c>
      <c r="E269" s="128">
        <v>0</v>
      </c>
      <c r="F269" s="128">
        <v>46.54</v>
      </c>
      <c r="G269" s="128">
        <v>-2456.08</v>
      </c>
      <c r="H269" s="128">
        <v>-2409.54</v>
      </c>
      <c r="I269" s="128">
        <v>-2409.54</v>
      </c>
      <c r="J269" s="569">
        <f t="shared" si="8"/>
        <v>-2.4095399999999998</v>
      </c>
      <c r="K269" s="569">
        <f t="shared" si="9"/>
        <v>-2</v>
      </c>
    </row>
    <row r="270" spans="1:11" customFormat="1" x14ac:dyDescent="0.3">
      <c r="A270" s="145" t="s">
        <v>619</v>
      </c>
      <c r="B270" s="145" t="s">
        <v>619</v>
      </c>
      <c r="C270" s="145">
        <v>22153</v>
      </c>
      <c r="D270" t="s">
        <v>459</v>
      </c>
      <c r="E270" s="128">
        <v>-6633425.5300000003</v>
      </c>
      <c r="F270" s="128">
        <v>640310.85</v>
      </c>
      <c r="G270" s="128">
        <v>-917841.59</v>
      </c>
      <c r="H270" s="128">
        <v>-277530.74</v>
      </c>
      <c r="I270" s="128">
        <v>-6910956.2699999996</v>
      </c>
      <c r="J270" s="569">
        <f t="shared" si="8"/>
        <v>-6910.9562699999997</v>
      </c>
      <c r="K270" s="569">
        <f t="shared" si="9"/>
        <v>-6911</v>
      </c>
    </row>
    <row r="271" spans="1:11" customFormat="1" x14ac:dyDescent="0.3">
      <c r="A271" s="145" t="s">
        <v>807</v>
      </c>
      <c r="B271" s="145" t="s">
        <v>807</v>
      </c>
      <c r="C271" s="145">
        <v>22154</v>
      </c>
      <c r="D271" t="s">
        <v>808</v>
      </c>
      <c r="E271" s="128">
        <v>-2346.3000000000002</v>
      </c>
      <c r="F271" s="128">
        <v>2387.34</v>
      </c>
      <c r="G271" s="128">
        <v>-41.04</v>
      </c>
      <c r="H271" s="128">
        <v>2346.3000000000002</v>
      </c>
      <c r="I271" s="128">
        <v>0</v>
      </c>
      <c r="J271" s="569">
        <f t="shared" si="8"/>
        <v>0</v>
      </c>
      <c r="K271" s="569">
        <f t="shared" si="9"/>
        <v>0</v>
      </c>
    </row>
    <row r="272" spans="1:11" s="144" customFormat="1" x14ac:dyDescent="0.3">
      <c r="A272" s="149" t="s">
        <v>620</v>
      </c>
      <c r="B272" s="149" t="s">
        <v>620</v>
      </c>
      <c r="C272" s="149" t="s">
        <v>182</v>
      </c>
      <c r="D272" s="144" t="s">
        <v>183</v>
      </c>
      <c r="E272" s="213">
        <v>-25208883.989999998</v>
      </c>
      <c r="F272" s="213">
        <v>8528105.2200000007</v>
      </c>
      <c r="G272" s="213">
        <v>-10208638.93</v>
      </c>
      <c r="H272" s="213">
        <v>-1680533.71</v>
      </c>
      <c r="I272" s="213">
        <v>-26889417.699999999</v>
      </c>
      <c r="J272" s="568">
        <f t="shared" si="8"/>
        <v>-26889.417699999998</v>
      </c>
      <c r="K272" s="568">
        <f t="shared" si="9"/>
        <v>-26889</v>
      </c>
    </row>
    <row r="273" spans="1:11" s="144" customFormat="1" x14ac:dyDescent="0.3">
      <c r="A273" s="149" t="s">
        <v>621</v>
      </c>
      <c r="B273" s="149" t="s">
        <v>621</v>
      </c>
      <c r="C273" s="149">
        <v>241</v>
      </c>
      <c r="D273" s="144" t="s">
        <v>48</v>
      </c>
      <c r="E273" s="213">
        <v>-28468909.870000001</v>
      </c>
      <c r="F273" s="213">
        <v>0</v>
      </c>
      <c r="G273" s="213">
        <v>-2550004.59</v>
      </c>
      <c r="H273" s="213">
        <v>-2550004.59</v>
      </c>
      <c r="I273" s="213">
        <v>-31018914.460000001</v>
      </c>
      <c r="J273" s="568">
        <f t="shared" si="8"/>
        <v>-31018.91446</v>
      </c>
      <c r="K273" s="568">
        <f t="shared" si="9"/>
        <v>-31019</v>
      </c>
    </row>
    <row r="274" spans="1:11" s="143" customFormat="1" x14ac:dyDescent="0.3">
      <c r="A274" s="149" t="s">
        <v>622</v>
      </c>
      <c r="B274" s="149" t="s">
        <v>622</v>
      </c>
      <c r="C274" s="149">
        <v>2411</v>
      </c>
      <c r="D274" s="144" t="s">
        <v>184</v>
      </c>
      <c r="E274" s="213">
        <v>-28468909.870000001</v>
      </c>
      <c r="F274" s="213">
        <v>0</v>
      </c>
      <c r="G274" s="213">
        <v>-2550004.59</v>
      </c>
      <c r="H274" s="213">
        <v>-2550004.59</v>
      </c>
      <c r="I274" s="213">
        <v>-31018914.460000001</v>
      </c>
      <c r="J274" s="568">
        <f t="shared" si="8"/>
        <v>-31018.91446</v>
      </c>
      <c r="K274" s="568">
        <f t="shared" si="9"/>
        <v>-31019</v>
      </c>
    </row>
    <row r="275" spans="1:11" s="144" customFormat="1" x14ac:dyDescent="0.3">
      <c r="A275" s="145" t="s">
        <v>623</v>
      </c>
      <c r="B275" s="145" t="s">
        <v>623</v>
      </c>
      <c r="C275" s="145">
        <v>24111</v>
      </c>
      <c r="D275" t="s">
        <v>184</v>
      </c>
      <c r="E275" s="128">
        <v>-28468909.870000001</v>
      </c>
      <c r="F275" s="128">
        <v>0</v>
      </c>
      <c r="G275" s="128">
        <v>-2550004.59</v>
      </c>
      <c r="H275" s="128">
        <v>-2550004.59</v>
      </c>
      <c r="I275" s="128">
        <v>-31018914.460000001</v>
      </c>
      <c r="J275" s="569">
        <f t="shared" si="8"/>
        <v>-31018.91446</v>
      </c>
      <c r="K275" s="569">
        <f t="shared" si="9"/>
        <v>-31019</v>
      </c>
    </row>
    <row r="276" spans="1:11" s="144" customFormat="1" x14ac:dyDescent="0.3">
      <c r="A276" s="149" t="s">
        <v>461</v>
      </c>
      <c r="B276" s="149" t="s">
        <v>461</v>
      </c>
      <c r="C276" s="149">
        <v>243</v>
      </c>
      <c r="D276" s="144" t="s">
        <v>185</v>
      </c>
      <c r="E276" s="213">
        <v>46.6</v>
      </c>
      <c r="F276" s="213">
        <v>0</v>
      </c>
      <c r="G276" s="213">
        <v>-27.6</v>
      </c>
      <c r="H276" s="213">
        <v>-27.6</v>
      </c>
      <c r="I276" s="213">
        <v>19</v>
      </c>
      <c r="J276" s="568">
        <f t="shared" si="8"/>
        <v>1.9E-2</v>
      </c>
      <c r="K276" s="568">
        <f t="shared" si="9"/>
        <v>0</v>
      </c>
    </row>
    <row r="277" spans="1:11" s="144" customFormat="1" x14ac:dyDescent="0.3">
      <c r="A277" s="149" t="s">
        <v>462</v>
      </c>
      <c r="B277" s="149" t="s">
        <v>462</v>
      </c>
      <c r="C277" s="149">
        <v>2431</v>
      </c>
      <c r="D277" s="144" t="s">
        <v>186</v>
      </c>
      <c r="E277" s="213">
        <v>46.6</v>
      </c>
      <c r="F277" s="213">
        <v>0</v>
      </c>
      <c r="G277" s="213">
        <v>-27.6</v>
      </c>
      <c r="H277" s="213">
        <v>-27.6</v>
      </c>
      <c r="I277" s="213">
        <v>19</v>
      </c>
      <c r="J277" s="568">
        <f t="shared" si="8"/>
        <v>1.9E-2</v>
      </c>
      <c r="K277" s="568">
        <f t="shared" si="9"/>
        <v>0</v>
      </c>
    </row>
    <row r="278" spans="1:11" customFormat="1" x14ac:dyDescent="0.3">
      <c r="A278" s="145" t="s">
        <v>463</v>
      </c>
      <c r="B278" s="145" t="s">
        <v>463</v>
      </c>
      <c r="C278" s="145">
        <v>24311</v>
      </c>
      <c r="D278" t="s">
        <v>187</v>
      </c>
      <c r="E278" s="128">
        <v>46.6</v>
      </c>
      <c r="F278" s="128">
        <v>0</v>
      </c>
      <c r="G278" s="128">
        <v>-27.6</v>
      </c>
      <c r="H278" s="128">
        <v>-27.6</v>
      </c>
      <c r="I278" s="128">
        <v>19</v>
      </c>
      <c r="J278" s="569">
        <f t="shared" si="8"/>
        <v>1.9E-2</v>
      </c>
      <c r="K278" s="569">
        <f t="shared" si="9"/>
        <v>0</v>
      </c>
    </row>
    <row r="279" spans="1:11" s="143" customFormat="1" x14ac:dyDescent="0.3">
      <c r="A279" s="149" t="s">
        <v>624</v>
      </c>
      <c r="B279" s="149" t="s">
        <v>624</v>
      </c>
      <c r="C279" s="149">
        <v>246</v>
      </c>
      <c r="D279" s="144" t="s">
        <v>188</v>
      </c>
      <c r="E279" s="213">
        <v>5809983.8700000001</v>
      </c>
      <c r="F279" s="213">
        <v>5978100.6299999999</v>
      </c>
      <c r="G279" s="213">
        <v>-7412234.1200000001</v>
      </c>
      <c r="H279" s="213">
        <v>-1434133.49</v>
      </c>
      <c r="I279" s="213">
        <v>4375850.38</v>
      </c>
      <c r="J279" s="568">
        <f t="shared" si="8"/>
        <v>4375.8503799999999</v>
      </c>
      <c r="K279" s="568">
        <f t="shared" si="9"/>
        <v>4376</v>
      </c>
    </row>
    <row r="280" spans="1:11" s="144" customFormat="1" x14ac:dyDescent="0.3">
      <c r="A280" s="149" t="s">
        <v>625</v>
      </c>
      <c r="B280" s="149" t="s">
        <v>625</v>
      </c>
      <c r="C280" s="149">
        <v>2462</v>
      </c>
      <c r="D280" s="144" t="s">
        <v>464</v>
      </c>
      <c r="E280" s="213">
        <v>3358482.06</v>
      </c>
      <c r="F280" s="213">
        <v>2451501.81</v>
      </c>
      <c r="G280" s="213">
        <v>0</v>
      </c>
      <c r="H280" s="213">
        <v>2451501.81</v>
      </c>
      <c r="I280" s="213">
        <v>5809983.8700000001</v>
      </c>
      <c r="J280" s="568">
        <f t="shared" si="8"/>
        <v>5809.98387</v>
      </c>
      <c r="K280" s="568">
        <f t="shared" si="9"/>
        <v>5810</v>
      </c>
    </row>
    <row r="281" spans="1:11" customFormat="1" x14ac:dyDescent="0.3">
      <c r="A281" s="145" t="s">
        <v>626</v>
      </c>
      <c r="B281" s="145" t="s">
        <v>626</v>
      </c>
      <c r="C281" s="145">
        <v>24622</v>
      </c>
      <c r="D281" t="s">
        <v>465</v>
      </c>
      <c r="E281" s="128">
        <v>3358482.06</v>
      </c>
      <c r="F281" s="128">
        <v>2451501.81</v>
      </c>
      <c r="G281" s="128">
        <v>0</v>
      </c>
      <c r="H281" s="128">
        <v>2451501.81</v>
      </c>
      <c r="I281" s="128">
        <v>5809983.8700000001</v>
      </c>
      <c r="J281" s="569">
        <f t="shared" si="8"/>
        <v>5809.98387</v>
      </c>
      <c r="K281" s="569">
        <f t="shared" si="9"/>
        <v>5810</v>
      </c>
    </row>
    <row r="282" spans="1:11" s="144" customFormat="1" x14ac:dyDescent="0.3">
      <c r="A282" s="149" t="s">
        <v>627</v>
      </c>
      <c r="B282" s="149" t="s">
        <v>627</v>
      </c>
      <c r="C282" s="149">
        <v>24699</v>
      </c>
      <c r="D282" s="144" t="s">
        <v>26</v>
      </c>
      <c r="E282" s="213">
        <v>2451501.81</v>
      </c>
      <c r="F282" s="213">
        <v>3526598.82</v>
      </c>
      <c r="G282" s="213">
        <v>-7412234.1200000001</v>
      </c>
      <c r="H282" s="213">
        <v>-3885635.3</v>
      </c>
      <c r="I282" s="213">
        <v>-1434133.49</v>
      </c>
      <c r="J282" s="568">
        <f t="shared" si="8"/>
        <v>-1434.1334899999999</v>
      </c>
      <c r="K282" s="568">
        <f t="shared" si="9"/>
        <v>-1434</v>
      </c>
    </row>
    <row r="283" spans="1:11" customFormat="1" x14ac:dyDescent="0.3">
      <c r="A283" s="145" t="s">
        <v>628</v>
      </c>
      <c r="B283" s="145" t="s">
        <v>628</v>
      </c>
      <c r="C283" s="145">
        <v>246991</v>
      </c>
      <c r="D283" t="s">
        <v>26</v>
      </c>
      <c r="E283" s="128">
        <v>2451501.81</v>
      </c>
      <c r="F283" s="128">
        <v>3526598.82</v>
      </c>
      <c r="G283" s="128">
        <v>-7412234.1200000001</v>
      </c>
      <c r="H283" s="128">
        <v>-3885635.3</v>
      </c>
      <c r="I283" s="128">
        <v>-1434133.49</v>
      </c>
      <c r="J283" s="569">
        <f t="shared" si="8"/>
        <v>-1434.1334899999999</v>
      </c>
      <c r="K283" s="569">
        <f t="shared" si="9"/>
        <v>-1434</v>
      </c>
    </row>
    <row r="284" spans="1:11" s="144" customFormat="1" x14ac:dyDescent="0.3">
      <c r="A284" s="149" t="s">
        <v>629</v>
      </c>
      <c r="B284" s="149" t="s">
        <v>629</v>
      </c>
      <c r="C284" s="149">
        <v>247</v>
      </c>
      <c r="D284" s="144" t="s">
        <v>460</v>
      </c>
      <c r="E284" s="213">
        <v>-2550004.59</v>
      </c>
      <c r="F284" s="213">
        <v>2550004.59</v>
      </c>
      <c r="G284" s="213">
        <v>-246372.62</v>
      </c>
      <c r="H284" s="213">
        <v>2303631.9700000002</v>
      </c>
      <c r="I284" s="213">
        <v>-246372.62</v>
      </c>
      <c r="J284" s="568">
        <f t="shared" si="8"/>
        <v>-246.37261999999998</v>
      </c>
      <c r="K284" s="568">
        <f t="shared" si="9"/>
        <v>-246</v>
      </c>
    </row>
    <row r="285" spans="1:11" s="144" customFormat="1" x14ac:dyDescent="0.3">
      <c r="A285" s="149" t="s">
        <v>630</v>
      </c>
      <c r="B285" s="149" t="s">
        <v>630</v>
      </c>
      <c r="C285" s="149">
        <v>2471</v>
      </c>
      <c r="D285" s="144" t="s">
        <v>460</v>
      </c>
      <c r="E285" s="213">
        <v>-2550004.59</v>
      </c>
      <c r="F285" s="213">
        <v>2550004.59</v>
      </c>
      <c r="G285" s="213">
        <v>-246372.62</v>
      </c>
      <c r="H285" s="213">
        <v>2303631.9700000002</v>
      </c>
      <c r="I285" s="213">
        <v>-246372.62</v>
      </c>
      <c r="J285" s="568">
        <f t="shared" si="8"/>
        <v>-246.37261999999998</v>
      </c>
      <c r="K285" s="568">
        <f t="shared" si="9"/>
        <v>-246</v>
      </c>
    </row>
    <row r="286" spans="1:11" customFormat="1" x14ac:dyDescent="0.3">
      <c r="A286" s="145" t="s">
        <v>631</v>
      </c>
      <c r="B286" s="145" t="s">
        <v>631</v>
      </c>
      <c r="C286" s="145">
        <v>24711</v>
      </c>
      <c r="D286" t="s">
        <v>460</v>
      </c>
      <c r="E286" s="128">
        <v>-2550004.59</v>
      </c>
      <c r="F286" s="128">
        <v>2550004.59</v>
      </c>
      <c r="G286" s="128">
        <v>-246372.62</v>
      </c>
      <c r="H286" s="128">
        <v>2303631.9700000002</v>
      </c>
      <c r="I286" s="128">
        <v>-246372.62</v>
      </c>
      <c r="J286" s="569">
        <f t="shared" si="8"/>
        <v>-246.37261999999998</v>
      </c>
      <c r="K286" s="569">
        <f t="shared" si="9"/>
        <v>-246</v>
      </c>
    </row>
    <row r="287" spans="1:11" s="144" customFormat="1" x14ac:dyDescent="0.3">
      <c r="A287" s="149">
        <v>3</v>
      </c>
      <c r="B287" s="149">
        <v>3</v>
      </c>
      <c r="C287" s="149">
        <v>3</v>
      </c>
      <c r="D287" s="144" t="s">
        <v>56</v>
      </c>
      <c r="E287" s="213">
        <v>0</v>
      </c>
      <c r="F287" s="213">
        <v>27296.42</v>
      </c>
      <c r="G287" s="213">
        <v>-96092121.260000005</v>
      </c>
      <c r="H287" s="213">
        <v>-96064824.840000004</v>
      </c>
      <c r="I287" s="213">
        <v>-96064824.840000004</v>
      </c>
      <c r="J287" s="568">
        <f t="shared" si="8"/>
        <v>-96064.824840000001</v>
      </c>
      <c r="K287" s="568">
        <f t="shared" si="9"/>
        <v>-96065</v>
      </c>
    </row>
    <row r="288" spans="1:11" s="144" customFormat="1" x14ac:dyDescent="0.3">
      <c r="A288" s="149" t="s">
        <v>632</v>
      </c>
      <c r="B288" s="149" t="s">
        <v>632</v>
      </c>
      <c r="C288" s="149">
        <v>31</v>
      </c>
      <c r="D288" s="144" t="s">
        <v>57</v>
      </c>
      <c r="E288" s="213">
        <v>0</v>
      </c>
      <c r="F288" s="213">
        <v>6155.22</v>
      </c>
      <c r="G288" s="213">
        <v>-91366895.780000001</v>
      </c>
      <c r="H288" s="213">
        <v>-91360740.560000002</v>
      </c>
      <c r="I288" s="213">
        <v>-91360740.560000002</v>
      </c>
      <c r="J288" s="568">
        <f t="shared" si="8"/>
        <v>-91360.740560000006</v>
      </c>
      <c r="K288" s="568">
        <f t="shared" si="9"/>
        <v>-91361</v>
      </c>
    </row>
    <row r="289" spans="1:11" s="144" customFormat="1" x14ac:dyDescent="0.3">
      <c r="A289" s="149" t="s">
        <v>633</v>
      </c>
      <c r="B289" s="149" t="s">
        <v>633</v>
      </c>
      <c r="C289" s="149">
        <v>311</v>
      </c>
      <c r="D289" s="144" t="s">
        <v>189</v>
      </c>
      <c r="E289" s="213">
        <v>0</v>
      </c>
      <c r="F289" s="213">
        <v>6155.22</v>
      </c>
      <c r="G289" s="213">
        <v>-91366895.780000001</v>
      </c>
      <c r="H289" s="213">
        <v>-91360740.560000002</v>
      </c>
      <c r="I289" s="213">
        <v>-91360740.560000002</v>
      </c>
      <c r="J289" s="568">
        <f t="shared" si="8"/>
        <v>-91360.740560000006</v>
      </c>
      <c r="K289" s="568">
        <f t="shared" si="9"/>
        <v>-91361</v>
      </c>
    </row>
    <row r="290" spans="1:11" s="144" customFormat="1" x14ac:dyDescent="0.3">
      <c r="A290" s="149" t="s">
        <v>634</v>
      </c>
      <c r="B290" s="149" t="s">
        <v>634</v>
      </c>
      <c r="C290" s="149">
        <v>3111</v>
      </c>
      <c r="D290" s="144" t="s">
        <v>189</v>
      </c>
      <c r="E290" s="213">
        <v>0</v>
      </c>
      <c r="F290" s="213">
        <v>6155.22</v>
      </c>
      <c r="G290" s="213">
        <v>-91366895.780000001</v>
      </c>
      <c r="H290" s="213">
        <v>-91360740.560000002</v>
      </c>
      <c r="I290" s="213">
        <v>-91360740.560000002</v>
      </c>
      <c r="J290" s="568">
        <f t="shared" si="8"/>
        <v>-91360.740560000006</v>
      </c>
      <c r="K290" s="568">
        <f t="shared" si="9"/>
        <v>-91361</v>
      </c>
    </row>
    <row r="291" spans="1:11" s="144" customFormat="1" x14ac:dyDescent="0.3">
      <c r="A291" s="145" t="s">
        <v>635</v>
      </c>
      <c r="B291" s="145" t="s">
        <v>635</v>
      </c>
      <c r="C291" s="145">
        <v>31111</v>
      </c>
      <c r="D291" t="s">
        <v>42</v>
      </c>
      <c r="E291" s="128">
        <v>0</v>
      </c>
      <c r="F291" s="128">
        <v>6155.22</v>
      </c>
      <c r="G291" s="128">
        <v>-91366895.780000001</v>
      </c>
      <c r="H291" s="128">
        <v>-91360740.560000002</v>
      </c>
      <c r="I291" s="128">
        <v>-91360740.560000002</v>
      </c>
      <c r="J291" s="569">
        <f t="shared" si="8"/>
        <v>-91360.740560000006</v>
      </c>
      <c r="K291" s="569">
        <f t="shared" si="9"/>
        <v>-91361</v>
      </c>
    </row>
    <row r="292" spans="1:11" s="144" customFormat="1" x14ac:dyDescent="0.3">
      <c r="A292" s="149" t="s">
        <v>636</v>
      </c>
      <c r="B292" s="149" t="s">
        <v>636</v>
      </c>
      <c r="C292" s="149">
        <v>33</v>
      </c>
      <c r="D292" s="144" t="s">
        <v>28</v>
      </c>
      <c r="E292" s="213">
        <v>0</v>
      </c>
      <c r="F292" s="213">
        <v>21141.200000000001</v>
      </c>
      <c r="G292" s="213">
        <v>-4725225.4800000004</v>
      </c>
      <c r="H292" s="213">
        <v>-4704084.28</v>
      </c>
      <c r="I292" s="213">
        <v>-4704084.28</v>
      </c>
      <c r="J292" s="568">
        <f t="shared" si="8"/>
        <v>-4704.08428</v>
      </c>
      <c r="K292" s="568">
        <f t="shared" si="9"/>
        <v>-4704</v>
      </c>
    </row>
    <row r="293" spans="1:11" s="144" customFormat="1" x14ac:dyDescent="0.3">
      <c r="A293" s="149" t="s">
        <v>637</v>
      </c>
      <c r="B293" s="149" t="s">
        <v>637</v>
      </c>
      <c r="C293" s="633">
        <v>331</v>
      </c>
      <c r="D293" s="634" t="s">
        <v>44</v>
      </c>
      <c r="E293" s="635">
        <v>0</v>
      </c>
      <c r="F293" s="635">
        <v>19905.91</v>
      </c>
      <c r="G293" s="635">
        <v>-506554.42</v>
      </c>
      <c r="H293" s="635">
        <v>-486648.51</v>
      </c>
      <c r="I293" s="635">
        <v>-486648.51</v>
      </c>
      <c r="J293" s="636">
        <f t="shared" si="8"/>
        <v>-486.64850999999999</v>
      </c>
      <c r="K293" s="636">
        <f t="shared" si="9"/>
        <v>-487</v>
      </c>
    </row>
    <row r="294" spans="1:11" s="144" customFormat="1" x14ac:dyDescent="0.3">
      <c r="A294" s="149" t="s">
        <v>638</v>
      </c>
      <c r="B294" s="149" t="s">
        <v>638</v>
      </c>
      <c r="C294" s="633">
        <v>3311</v>
      </c>
      <c r="D294" s="634" t="s">
        <v>466</v>
      </c>
      <c r="E294" s="635">
        <v>0</v>
      </c>
      <c r="F294" s="635">
        <v>19905.91</v>
      </c>
      <c r="G294" s="635">
        <v>-506554.42</v>
      </c>
      <c r="H294" s="635">
        <v>-486648.51</v>
      </c>
      <c r="I294" s="635">
        <v>-486648.51</v>
      </c>
      <c r="J294" s="636">
        <f t="shared" si="8"/>
        <v>-486.64850999999999</v>
      </c>
      <c r="K294" s="636">
        <f t="shared" si="9"/>
        <v>-487</v>
      </c>
    </row>
    <row r="295" spans="1:11" customFormat="1" x14ac:dyDescent="0.3">
      <c r="A295" s="145" t="s">
        <v>639</v>
      </c>
      <c r="B295" s="145" t="s">
        <v>639</v>
      </c>
      <c r="C295" s="628">
        <v>33113</v>
      </c>
      <c r="D295" s="629" t="s">
        <v>190</v>
      </c>
      <c r="E295" s="630">
        <v>0</v>
      </c>
      <c r="F295" s="630">
        <v>19905.91</v>
      </c>
      <c r="G295" s="630">
        <v>-501271.9</v>
      </c>
      <c r="H295" s="630">
        <v>-481365.99</v>
      </c>
      <c r="I295" s="630">
        <v>-481365.99</v>
      </c>
      <c r="J295" s="631">
        <f t="shared" si="8"/>
        <v>-481.36599000000001</v>
      </c>
      <c r="K295" s="631">
        <f t="shared" si="9"/>
        <v>-481</v>
      </c>
    </row>
    <row r="296" spans="1:11" customFormat="1" x14ac:dyDescent="0.3">
      <c r="A296" s="145" t="s">
        <v>467</v>
      </c>
      <c r="B296" s="145" t="s">
        <v>467</v>
      </c>
      <c r="C296" s="628">
        <v>33114</v>
      </c>
      <c r="D296" s="629" t="s">
        <v>191</v>
      </c>
      <c r="E296" s="630">
        <v>0</v>
      </c>
      <c r="F296" s="630">
        <v>0</v>
      </c>
      <c r="G296" s="630">
        <v>-5282.52</v>
      </c>
      <c r="H296" s="630">
        <v>-5282.52</v>
      </c>
      <c r="I296" s="630">
        <v>-5282.52</v>
      </c>
      <c r="J296" s="631">
        <f t="shared" si="8"/>
        <v>-5.2825200000000008</v>
      </c>
      <c r="K296" s="631">
        <f t="shared" si="9"/>
        <v>-5</v>
      </c>
    </row>
    <row r="297" spans="1:11" s="144" customFormat="1" x14ac:dyDescent="0.3">
      <c r="A297" s="149" t="s">
        <v>640</v>
      </c>
      <c r="B297" s="149" t="s">
        <v>640</v>
      </c>
      <c r="C297" s="149">
        <v>332</v>
      </c>
      <c r="D297" s="144" t="s">
        <v>192</v>
      </c>
      <c r="E297" s="213">
        <v>0</v>
      </c>
      <c r="F297" s="213">
        <v>1235.29</v>
      </c>
      <c r="G297" s="213">
        <v>-4206271.0599999996</v>
      </c>
      <c r="H297" s="213">
        <v>-4205035.7699999996</v>
      </c>
      <c r="I297" s="213">
        <v>-4205035.7699999996</v>
      </c>
      <c r="J297" s="568">
        <f t="shared" si="8"/>
        <v>-4205.0357699999995</v>
      </c>
      <c r="K297" s="568">
        <f t="shared" si="9"/>
        <v>-4205</v>
      </c>
    </row>
    <row r="298" spans="1:11" s="144" customFormat="1" x14ac:dyDescent="0.3">
      <c r="A298" s="149" t="s">
        <v>641</v>
      </c>
      <c r="B298" s="149" t="s">
        <v>641</v>
      </c>
      <c r="C298" s="149">
        <v>3321</v>
      </c>
      <c r="D298" s="144" t="s">
        <v>65</v>
      </c>
      <c r="E298" s="213">
        <v>0</v>
      </c>
      <c r="F298" s="213">
        <v>1235.29</v>
      </c>
      <c r="G298" s="213">
        <v>-4206271.0599999996</v>
      </c>
      <c r="H298" s="213">
        <v>-4205035.7699999996</v>
      </c>
      <c r="I298" s="213">
        <v>-4205035.7699999996</v>
      </c>
      <c r="J298" s="568">
        <f t="shared" si="8"/>
        <v>-4205.0357699999995</v>
      </c>
      <c r="K298" s="568">
        <f t="shared" si="9"/>
        <v>-4205</v>
      </c>
    </row>
    <row r="299" spans="1:11" s="629" customFormat="1" x14ac:dyDescent="0.3">
      <c r="A299" s="628" t="s">
        <v>468</v>
      </c>
      <c r="B299" s="628" t="s">
        <v>468</v>
      </c>
      <c r="C299" s="628">
        <v>33212</v>
      </c>
      <c r="D299" s="629" t="s">
        <v>469</v>
      </c>
      <c r="E299" s="630">
        <v>0</v>
      </c>
      <c r="F299" s="630">
        <v>0</v>
      </c>
      <c r="G299" s="630">
        <v>-4162246.25</v>
      </c>
      <c r="H299" s="630">
        <v>-4162246.25</v>
      </c>
      <c r="I299" s="630">
        <v>-4162246.25</v>
      </c>
      <c r="J299" s="631">
        <f t="shared" si="8"/>
        <v>-4162.2462500000001</v>
      </c>
      <c r="K299" s="631">
        <f t="shared" si="9"/>
        <v>-4162</v>
      </c>
    </row>
    <row r="300" spans="1:11" s="632" customFormat="1" x14ac:dyDescent="0.3">
      <c r="A300" s="628" t="s">
        <v>642</v>
      </c>
      <c r="B300" s="628" t="s">
        <v>642</v>
      </c>
      <c r="C300" s="628">
        <v>33213</v>
      </c>
      <c r="D300" s="629" t="s">
        <v>195</v>
      </c>
      <c r="E300" s="630">
        <v>0</v>
      </c>
      <c r="F300" s="630">
        <v>1235.29</v>
      </c>
      <c r="G300" s="630">
        <v>-44024.81</v>
      </c>
      <c r="H300" s="630">
        <v>-42789.52</v>
      </c>
      <c r="I300" s="630">
        <v>-42789.52</v>
      </c>
      <c r="J300" s="631">
        <f t="shared" si="8"/>
        <v>-42.789519999999996</v>
      </c>
      <c r="K300" s="631">
        <f t="shared" si="9"/>
        <v>-43</v>
      </c>
    </row>
    <row r="301" spans="1:11" customFormat="1" x14ac:dyDescent="0.3">
      <c r="A301" s="149" t="s">
        <v>643</v>
      </c>
      <c r="B301" s="149" t="s">
        <v>643</v>
      </c>
      <c r="C301" s="149">
        <v>336</v>
      </c>
      <c r="D301" s="144" t="s">
        <v>193</v>
      </c>
      <c r="E301" s="213">
        <v>0</v>
      </c>
      <c r="F301" s="213">
        <v>0</v>
      </c>
      <c r="G301" s="213">
        <v>-12400</v>
      </c>
      <c r="H301" s="213">
        <v>-12400</v>
      </c>
      <c r="I301" s="213">
        <v>-12400</v>
      </c>
      <c r="J301" s="569">
        <f t="shared" si="8"/>
        <v>-12.4</v>
      </c>
      <c r="K301" s="569">
        <f t="shared" si="9"/>
        <v>-12</v>
      </c>
    </row>
    <row r="302" spans="1:11" customFormat="1" x14ac:dyDescent="0.3">
      <c r="A302" s="149" t="s">
        <v>644</v>
      </c>
      <c r="B302" s="149" t="s">
        <v>644</v>
      </c>
      <c r="C302" s="149">
        <v>3361</v>
      </c>
      <c r="D302" s="144" t="s">
        <v>470</v>
      </c>
      <c r="E302" s="213">
        <v>0</v>
      </c>
      <c r="F302" s="213">
        <v>0</v>
      </c>
      <c r="G302" s="213">
        <v>-12400</v>
      </c>
      <c r="H302" s="213">
        <v>-12400</v>
      </c>
      <c r="I302" s="213">
        <v>-12400</v>
      </c>
      <c r="J302" s="568">
        <f t="shared" si="8"/>
        <v>-12.4</v>
      </c>
      <c r="K302" s="568">
        <f t="shared" si="9"/>
        <v>-12</v>
      </c>
    </row>
    <row r="303" spans="1:11" s="626" customFormat="1" x14ac:dyDescent="0.3">
      <c r="A303" s="637" t="s">
        <v>1245</v>
      </c>
      <c r="B303" s="637" t="s">
        <v>1245</v>
      </c>
      <c r="C303" s="637">
        <v>33611</v>
      </c>
      <c r="D303" s="626" t="s">
        <v>1246</v>
      </c>
      <c r="E303" s="638">
        <v>0</v>
      </c>
      <c r="F303" s="638">
        <v>0</v>
      </c>
      <c r="G303" s="638">
        <v>-12400</v>
      </c>
      <c r="H303" s="638">
        <v>-12400</v>
      </c>
      <c r="I303" s="638">
        <v>-12400</v>
      </c>
      <c r="J303" s="639">
        <f t="shared" si="8"/>
        <v>-12.4</v>
      </c>
      <c r="K303" s="639">
        <f t="shared" si="9"/>
        <v>-12</v>
      </c>
    </row>
    <row r="304" spans="1:11" s="144" customFormat="1" x14ac:dyDescent="0.3">
      <c r="A304" s="149">
        <v>4</v>
      </c>
      <c r="B304" s="149">
        <v>4</v>
      </c>
      <c r="C304" s="149">
        <v>4</v>
      </c>
      <c r="D304" s="144" t="s">
        <v>196</v>
      </c>
      <c r="E304" s="213">
        <v>0</v>
      </c>
      <c r="F304" s="213">
        <v>97661850.689999998</v>
      </c>
      <c r="G304" s="213">
        <v>-3031159.34</v>
      </c>
      <c r="H304" s="213">
        <v>94630691.349999994</v>
      </c>
      <c r="I304" s="213">
        <v>94630691.349999994</v>
      </c>
      <c r="J304" s="568">
        <f t="shared" si="8"/>
        <v>94630.691349999994</v>
      </c>
      <c r="K304" s="568">
        <f t="shared" si="9"/>
        <v>94631</v>
      </c>
    </row>
    <row r="305" spans="1:11" s="144" customFormat="1" x14ac:dyDescent="0.3">
      <c r="A305" s="149" t="s">
        <v>645</v>
      </c>
      <c r="B305" s="149" t="s">
        <v>645</v>
      </c>
      <c r="C305" s="149">
        <v>41</v>
      </c>
      <c r="D305" s="144" t="s">
        <v>197</v>
      </c>
      <c r="E305" s="213">
        <v>0</v>
      </c>
      <c r="F305" s="213">
        <v>62838700.549999997</v>
      </c>
      <c r="G305" s="213">
        <v>-1211148.74</v>
      </c>
      <c r="H305" s="213">
        <v>61627551.810000002</v>
      </c>
      <c r="I305" s="213">
        <v>61627551.810000002</v>
      </c>
      <c r="J305" s="568">
        <f t="shared" si="8"/>
        <v>61627.551810000004</v>
      </c>
      <c r="K305" s="568">
        <f t="shared" si="9"/>
        <v>61628</v>
      </c>
    </row>
    <row r="306" spans="1:11" s="577" customFormat="1" x14ac:dyDescent="0.3">
      <c r="A306" s="578" t="s">
        <v>646</v>
      </c>
      <c r="B306" s="578" t="s">
        <v>646</v>
      </c>
      <c r="C306" s="578">
        <v>411</v>
      </c>
      <c r="D306" s="577" t="s">
        <v>198</v>
      </c>
      <c r="E306" s="579">
        <v>0</v>
      </c>
      <c r="F306" s="579">
        <v>49218261.590000004</v>
      </c>
      <c r="G306" s="579">
        <v>-1178493.72</v>
      </c>
      <c r="H306" s="579">
        <v>48039767.869999997</v>
      </c>
      <c r="I306" s="579">
        <v>48039767.869999997</v>
      </c>
      <c r="J306" s="580">
        <f t="shared" si="8"/>
        <v>48039.767869999996</v>
      </c>
      <c r="K306" s="580">
        <f t="shared" si="9"/>
        <v>48040</v>
      </c>
    </row>
    <row r="307" spans="1:11" s="577" customFormat="1" x14ac:dyDescent="0.3">
      <c r="A307" s="578" t="s">
        <v>647</v>
      </c>
      <c r="B307" s="578" t="s">
        <v>647</v>
      </c>
      <c r="C307" s="578">
        <v>4111</v>
      </c>
      <c r="D307" s="577" t="s">
        <v>31</v>
      </c>
      <c r="E307" s="579">
        <v>0</v>
      </c>
      <c r="F307" s="579">
        <v>34407473.189999998</v>
      </c>
      <c r="G307" s="579">
        <v>-1009893.7</v>
      </c>
      <c r="H307" s="579">
        <v>33397579.489999998</v>
      </c>
      <c r="I307" s="579">
        <v>33397579.489999998</v>
      </c>
      <c r="J307" s="580">
        <f t="shared" si="8"/>
        <v>33397.579489999996</v>
      </c>
      <c r="K307" s="580">
        <f t="shared" si="9"/>
        <v>33398</v>
      </c>
    </row>
    <row r="308" spans="1:11" s="563" customFormat="1" x14ac:dyDescent="0.3">
      <c r="A308" s="574" t="s">
        <v>648</v>
      </c>
      <c r="B308" s="574" t="s">
        <v>648</v>
      </c>
      <c r="C308" s="574">
        <v>41111</v>
      </c>
      <c r="D308" s="563" t="s">
        <v>199</v>
      </c>
      <c r="E308" s="575">
        <v>0</v>
      </c>
      <c r="F308" s="575">
        <v>27781325.800000001</v>
      </c>
      <c r="G308" s="575">
        <v>-546436.65</v>
      </c>
      <c r="H308" s="575">
        <v>27234889.149999999</v>
      </c>
      <c r="I308" s="575">
        <v>27234889.149999999</v>
      </c>
      <c r="J308" s="576">
        <f t="shared" si="8"/>
        <v>27234.889149999999</v>
      </c>
      <c r="K308" s="576">
        <f t="shared" si="9"/>
        <v>27235</v>
      </c>
    </row>
    <row r="309" spans="1:11" s="563" customFormat="1" x14ac:dyDescent="0.3">
      <c r="A309" s="574" t="s">
        <v>649</v>
      </c>
      <c r="B309" s="574" t="s">
        <v>649</v>
      </c>
      <c r="C309" s="574">
        <v>41117</v>
      </c>
      <c r="D309" s="563" t="s">
        <v>472</v>
      </c>
      <c r="E309" s="575">
        <v>0</v>
      </c>
      <c r="F309" s="575">
        <v>3565029.77</v>
      </c>
      <c r="G309" s="575">
        <v>-462145.59</v>
      </c>
      <c r="H309" s="575">
        <v>3102884.18</v>
      </c>
      <c r="I309" s="575">
        <v>3102884.18</v>
      </c>
      <c r="J309" s="576">
        <f t="shared" si="8"/>
        <v>3102.88418</v>
      </c>
      <c r="K309" s="576">
        <f t="shared" si="9"/>
        <v>3103</v>
      </c>
    </row>
    <row r="310" spans="1:11" s="563" customFormat="1" x14ac:dyDescent="0.3">
      <c r="A310" s="574" t="s">
        <v>650</v>
      </c>
      <c r="B310" s="574" t="s">
        <v>650</v>
      </c>
      <c r="C310" s="574">
        <v>41118</v>
      </c>
      <c r="D310" s="563" t="s">
        <v>200</v>
      </c>
      <c r="E310" s="575">
        <v>0</v>
      </c>
      <c r="F310" s="575">
        <v>367770.61</v>
      </c>
      <c r="G310" s="575">
        <v>0</v>
      </c>
      <c r="H310" s="575">
        <v>367770.61</v>
      </c>
      <c r="I310" s="575">
        <v>367770.61</v>
      </c>
      <c r="J310" s="576">
        <f t="shared" si="8"/>
        <v>367.77060999999998</v>
      </c>
      <c r="K310" s="576">
        <f t="shared" si="9"/>
        <v>368</v>
      </c>
    </row>
    <row r="311" spans="1:11" s="563" customFormat="1" x14ac:dyDescent="0.3">
      <c r="A311" s="574" t="s">
        <v>651</v>
      </c>
      <c r="B311" s="574" t="s">
        <v>651</v>
      </c>
      <c r="C311" s="574">
        <v>41119</v>
      </c>
      <c r="D311" s="563" t="s">
        <v>473</v>
      </c>
      <c r="E311" s="575">
        <v>0</v>
      </c>
      <c r="F311" s="575">
        <v>2553194.85</v>
      </c>
      <c r="G311" s="575">
        <v>-1311.46</v>
      </c>
      <c r="H311" s="575">
        <v>2551883.39</v>
      </c>
      <c r="I311" s="575">
        <v>2551883.39</v>
      </c>
      <c r="J311" s="576">
        <f t="shared" si="8"/>
        <v>2551.88339</v>
      </c>
      <c r="K311" s="576">
        <f t="shared" si="9"/>
        <v>2552</v>
      </c>
    </row>
    <row r="312" spans="1:11" s="577" customFormat="1" x14ac:dyDescent="0.3">
      <c r="A312" s="574" t="s">
        <v>475</v>
      </c>
      <c r="B312" s="574" t="s">
        <v>475</v>
      </c>
      <c r="C312" s="574">
        <v>411111</v>
      </c>
      <c r="D312" s="563" t="s">
        <v>474</v>
      </c>
      <c r="E312" s="575">
        <v>0</v>
      </c>
      <c r="F312" s="575">
        <v>33962.03</v>
      </c>
      <c r="G312" s="575">
        <v>0</v>
      </c>
      <c r="H312" s="575">
        <v>33962.03</v>
      </c>
      <c r="I312" s="575">
        <v>33962.03</v>
      </c>
      <c r="J312" s="576">
        <f t="shared" si="8"/>
        <v>33.962029999999999</v>
      </c>
      <c r="K312" s="576">
        <f t="shared" si="9"/>
        <v>34</v>
      </c>
    </row>
    <row r="313" spans="1:11" s="577" customFormat="1" x14ac:dyDescent="0.3">
      <c r="A313" s="574" t="s">
        <v>652</v>
      </c>
      <c r="B313" s="574" t="s">
        <v>652</v>
      </c>
      <c r="C313" s="574">
        <v>411113</v>
      </c>
      <c r="D313" s="563" t="s">
        <v>476</v>
      </c>
      <c r="E313" s="575">
        <v>0</v>
      </c>
      <c r="F313" s="575">
        <v>59872.6</v>
      </c>
      <c r="G313" s="575">
        <v>0</v>
      </c>
      <c r="H313" s="575">
        <v>59872.6</v>
      </c>
      <c r="I313" s="575">
        <v>59872.6</v>
      </c>
      <c r="J313" s="576">
        <f t="shared" si="8"/>
        <v>59.872599999999998</v>
      </c>
      <c r="K313" s="576">
        <f t="shared" si="9"/>
        <v>60</v>
      </c>
    </row>
    <row r="314" spans="1:11" s="577" customFormat="1" x14ac:dyDescent="0.3">
      <c r="A314" s="574" t="s">
        <v>1359</v>
      </c>
      <c r="B314" s="574" t="s">
        <v>1359</v>
      </c>
      <c r="C314" s="574">
        <v>411114</v>
      </c>
      <c r="D314" s="563" t="s">
        <v>1360</v>
      </c>
      <c r="E314" s="575">
        <v>0</v>
      </c>
      <c r="F314" s="575">
        <v>46317.53</v>
      </c>
      <c r="G314" s="575">
        <v>0</v>
      </c>
      <c r="H314" s="575">
        <v>46317.53</v>
      </c>
      <c r="I314" s="575">
        <v>46317.53</v>
      </c>
      <c r="J314" s="576">
        <f t="shared" si="8"/>
        <v>46.317529999999998</v>
      </c>
      <c r="K314" s="576">
        <f t="shared" si="9"/>
        <v>46</v>
      </c>
    </row>
    <row r="315" spans="1:11" s="577" customFormat="1" x14ac:dyDescent="0.3">
      <c r="A315" s="578" t="s">
        <v>653</v>
      </c>
      <c r="B315" s="578" t="s">
        <v>653</v>
      </c>
      <c r="C315" s="578">
        <v>4112</v>
      </c>
      <c r="D315" s="577" t="s">
        <v>32</v>
      </c>
      <c r="E315" s="579">
        <v>0</v>
      </c>
      <c r="F315" s="579">
        <v>9958253.9199999999</v>
      </c>
      <c r="G315" s="579">
        <v>-151431.01999999999</v>
      </c>
      <c r="H315" s="579">
        <v>9806822.9000000004</v>
      </c>
      <c r="I315" s="579">
        <v>9806822.9000000004</v>
      </c>
      <c r="J315" s="580">
        <f t="shared" si="8"/>
        <v>9806.822900000001</v>
      </c>
      <c r="K315" s="580">
        <f t="shared" si="9"/>
        <v>9807</v>
      </c>
    </row>
    <row r="316" spans="1:11" s="563" customFormat="1" x14ac:dyDescent="0.3">
      <c r="A316" s="574" t="s">
        <v>654</v>
      </c>
      <c r="B316" s="574" t="s">
        <v>654</v>
      </c>
      <c r="C316" s="574">
        <v>41121</v>
      </c>
      <c r="D316" s="563" t="s">
        <v>160</v>
      </c>
      <c r="E316" s="575">
        <v>0</v>
      </c>
      <c r="F316" s="575">
        <v>5917165.21</v>
      </c>
      <c r="G316" s="575">
        <v>0</v>
      </c>
      <c r="H316" s="575">
        <v>5917165.21</v>
      </c>
      <c r="I316" s="575">
        <v>5917165.21</v>
      </c>
      <c r="J316" s="576">
        <f t="shared" si="8"/>
        <v>5917.1652100000001</v>
      </c>
      <c r="K316" s="576">
        <f t="shared" si="9"/>
        <v>5917</v>
      </c>
    </row>
    <row r="317" spans="1:11" s="577" customFormat="1" x14ac:dyDescent="0.3">
      <c r="A317" s="574" t="s">
        <v>655</v>
      </c>
      <c r="B317" s="574" t="s">
        <v>655</v>
      </c>
      <c r="C317" s="574">
        <v>41122</v>
      </c>
      <c r="D317" s="563" t="s">
        <v>70</v>
      </c>
      <c r="E317" s="575">
        <v>0</v>
      </c>
      <c r="F317" s="575">
        <v>2266349.15</v>
      </c>
      <c r="G317" s="575">
        <v>-0.04</v>
      </c>
      <c r="H317" s="575">
        <v>2266349.11</v>
      </c>
      <c r="I317" s="575">
        <v>2266349.11</v>
      </c>
      <c r="J317" s="576">
        <f t="shared" si="8"/>
        <v>2266.3491099999997</v>
      </c>
      <c r="K317" s="576">
        <f t="shared" si="9"/>
        <v>2266</v>
      </c>
    </row>
    <row r="318" spans="1:11" s="577" customFormat="1" x14ac:dyDescent="0.3">
      <c r="A318" s="574" t="s">
        <v>656</v>
      </c>
      <c r="B318" s="574" t="s">
        <v>656</v>
      </c>
      <c r="C318" s="574">
        <v>41124</v>
      </c>
      <c r="D318" s="563" t="s">
        <v>201</v>
      </c>
      <c r="E318" s="575">
        <v>0</v>
      </c>
      <c r="F318" s="575">
        <v>536785.73</v>
      </c>
      <c r="G318" s="575">
        <v>-1503.22</v>
      </c>
      <c r="H318" s="575">
        <v>535282.51</v>
      </c>
      <c r="I318" s="575">
        <v>535282.51</v>
      </c>
      <c r="J318" s="576">
        <f t="shared" si="8"/>
        <v>535.28251</v>
      </c>
      <c r="K318" s="576">
        <f t="shared" si="9"/>
        <v>535</v>
      </c>
    </row>
    <row r="319" spans="1:11" s="577" customFormat="1" x14ac:dyDescent="0.3">
      <c r="A319" s="574" t="s">
        <v>657</v>
      </c>
      <c r="B319" s="574" t="s">
        <v>657</v>
      </c>
      <c r="C319" s="574">
        <v>41125</v>
      </c>
      <c r="D319" s="563" t="s">
        <v>202</v>
      </c>
      <c r="E319" s="575">
        <v>0</v>
      </c>
      <c r="F319" s="575">
        <v>748445.2</v>
      </c>
      <c r="G319" s="575">
        <v>-108491.54</v>
      </c>
      <c r="H319" s="575">
        <v>639953.66</v>
      </c>
      <c r="I319" s="575">
        <v>639953.66</v>
      </c>
      <c r="J319" s="576">
        <f t="shared" si="8"/>
        <v>639.95366000000001</v>
      </c>
      <c r="K319" s="576">
        <f t="shared" si="9"/>
        <v>640</v>
      </c>
    </row>
    <row r="320" spans="1:11" s="563" customFormat="1" x14ac:dyDescent="0.3">
      <c r="A320" s="574" t="s">
        <v>658</v>
      </c>
      <c r="B320" s="574" t="s">
        <v>658</v>
      </c>
      <c r="C320" s="574">
        <v>41126</v>
      </c>
      <c r="D320" s="563" t="s">
        <v>203</v>
      </c>
      <c r="E320" s="575">
        <v>0</v>
      </c>
      <c r="F320" s="575">
        <v>285121.73</v>
      </c>
      <c r="G320" s="575">
        <v>-41329.78</v>
      </c>
      <c r="H320" s="575">
        <v>243791.95</v>
      </c>
      <c r="I320" s="575">
        <v>243791.95</v>
      </c>
      <c r="J320" s="576">
        <f t="shared" si="8"/>
        <v>243.79195000000001</v>
      </c>
      <c r="K320" s="576">
        <f t="shared" si="9"/>
        <v>244</v>
      </c>
    </row>
    <row r="321" spans="1:11" s="563" customFormat="1" x14ac:dyDescent="0.3">
      <c r="A321" s="574" t="s">
        <v>659</v>
      </c>
      <c r="B321" s="574" t="s">
        <v>659</v>
      </c>
      <c r="C321" s="574">
        <v>41127</v>
      </c>
      <c r="D321" s="563" t="s">
        <v>204</v>
      </c>
      <c r="E321" s="575">
        <v>0</v>
      </c>
      <c r="F321" s="575">
        <v>204386.9</v>
      </c>
      <c r="G321" s="575">
        <v>-106.44</v>
      </c>
      <c r="H321" s="575">
        <v>204280.46</v>
      </c>
      <c r="I321" s="575">
        <v>204280.46</v>
      </c>
      <c r="J321" s="576">
        <f t="shared" si="8"/>
        <v>204.28046000000001</v>
      </c>
      <c r="K321" s="576">
        <f t="shared" si="9"/>
        <v>204</v>
      </c>
    </row>
    <row r="322" spans="1:11" s="577" customFormat="1" x14ac:dyDescent="0.3">
      <c r="A322" s="578" t="s">
        <v>660</v>
      </c>
      <c r="B322" s="578" t="s">
        <v>660</v>
      </c>
      <c r="C322" s="633">
        <v>4113</v>
      </c>
      <c r="D322" s="634" t="s">
        <v>33</v>
      </c>
      <c r="E322" s="635">
        <v>0</v>
      </c>
      <c r="F322" s="635">
        <v>4718098.6500000004</v>
      </c>
      <c r="G322" s="635">
        <v>-17169</v>
      </c>
      <c r="H322" s="635">
        <v>4700929.6500000004</v>
      </c>
      <c r="I322" s="635">
        <v>4700929.6500000004</v>
      </c>
      <c r="J322" s="636">
        <f t="shared" si="8"/>
        <v>4700.92965</v>
      </c>
      <c r="K322" s="636">
        <f t="shared" si="9"/>
        <v>4701</v>
      </c>
    </row>
    <row r="323" spans="1:11" s="577" customFormat="1" x14ac:dyDescent="0.3">
      <c r="A323" s="574" t="s">
        <v>661</v>
      </c>
      <c r="B323" s="574" t="s">
        <v>661</v>
      </c>
      <c r="C323" s="628">
        <v>41131</v>
      </c>
      <c r="D323" s="629" t="s">
        <v>171</v>
      </c>
      <c r="E323" s="630">
        <v>0</v>
      </c>
      <c r="F323" s="630">
        <v>2113612.35</v>
      </c>
      <c r="G323" s="630">
        <v>-1060.1400000000001</v>
      </c>
      <c r="H323" s="630">
        <v>2112552.21</v>
      </c>
      <c r="I323" s="630">
        <v>2112552.21</v>
      </c>
      <c r="J323" s="631">
        <f t="shared" si="8"/>
        <v>2112.5522099999998</v>
      </c>
      <c r="K323" s="631">
        <f t="shared" si="9"/>
        <v>2113</v>
      </c>
    </row>
    <row r="324" spans="1:11" s="563" customFormat="1" x14ac:dyDescent="0.3">
      <c r="A324" s="574" t="s">
        <v>662</v>
      </c>
      <c r="B324" s="574" t="s">
        <v>662</v>
      </c>
      <c r="C324" s="628">
        <v>41132</v>
      </c>
      <c r="D324" s="629" t="s">
        <v>205</v>
      </c>
      <c r="E324" s="630">
        <v>0</v>
      </c>
      <c r="F324" s="630">
        <v>1233133.17</v>
      </c>
      <c r="G324" s="630">
        <v>-71.88</v>
      </c>
      <c r="H324" s="630">
        <v>1233061.29</v>
      </c>
      <c r="I324" s="630">
        <v>1233061.29</v>
      </c>
      <c r="J324" s="631">
        <f t="shared" si="8"/>
        <v>1233.0612900000001</v>
      </c>
      <c r="K324" s="631">
        <f t="shared" si="9"/>
        <v>1233</v>
      </c>
    </row>
    <row r="325" spans="1:11" s="563" customFormat="1" x14ac:dyDescent="0.3">
      <c r="A325" s="574" t="s">
        <v>477</v>
      </c>
      <c r="B325" s="574" t="s">
        <v>477</v>
      </c>
      <c r="C325" s="628">
        <v>41133</v>
      </c>
      <c r="D325" s="629" t="s">
        <v>478</v>
      </c>
      <c r="E325" s="630">
        <v>0</v>
      </c>
      <c r="F325" s="630">
        <v>13345.85</v>
      </c>
      <c r="G325" s="630">
        <v>-13345.85</v>
      </c>
      <c r="H325" s="630">
        <v>0</v>
      </c>
      <c r="I325" s="630">
        <v>0</v>
      </c>
      <c r="J325" s="631">
        <f t="shared" si="8"/>
        <v>0</v>
      </c>
      <c r="K325" s="631">
        <f t="shared" si="9"/>
        <v>0</v>
      </c>
    </row>
    <row r="326" spans="1:11" s="577" customFormat="1" x14ac:dyDescent="0.3">
      <c r="A326" s="574" t="s">
        <v>663</v>
      </c>
      <c r="B326" s="574" t="s">
        <v>663</v>
      </c>
      <c r="C326" s="628">
        <v>41135</v>
      </c>
      <c r="D326" s="629" t="s">
        <v>206</v>
      </c>
      <c r="E326" s="630">
        <v>0</v>
      </c>
      <c r="F326" s="630">
        <v>372174.78</v>
      </c>
      <c r="G326" s="630">
        <v>0</v>
      </c>
      <c r="H326" s="630">
        <v>372174.78</v>
      </c>
      <c r="I326" s="630">
        <v>372174.78</v>
      </c>
      <c r="J326" s="631">
        <f t="shared" si="8"/>
        <v>372.17478000000006</v>
      </c>
      <c r="K326" s="631">
        <f t="shared" si="9"/>
        <v>372</v>
      </c>
    </row>
    <row r="327" spans="1:11" s="577" customFormat="1" x14ac:dyDescent="0.3">
      <c r="A327" s="574" t="s">
        <v>664</v>
      </c>
      <c r="B327" s="574" t="s">
        <v>664</v>
      </c>
      <c r="C327" s="628">
        <v>41136</v>
      </c>
      <c r="D327" s="629" t="s">
        <v>479</v>
      </c>
      <c r="E327" s="630">
        <v>0</v>
      </c>
      <c r="F327" s="630">
        <v>965048.33</v>
      </c>
      <c r="G327" s="630">
        <v>-761.13</v>
      </c>
      <c r="H327" s="630">
        <v>964287.2</v>
      </c>
      <c r="I327" s="630">
        <v>964287.2</v>
      </c>
      <c r="J327" s="631">
        <f t="shared" si="8"/>
        <v>964.28719999999998</v>
      </c>
      <c r="K327" s="631">
        <f t="shared" si="9"/>
        <v>964</v>
      </c>
    </row>
    <row r="328" spans="1:11" s="563" customFormat="1" x14ac:dyDescent="0.3">
      <c r="A328" s="574" t="s">
        <v>665</v>
      </c>
      <c r="B328" s="574" t="s">
        <v>665</v>
      </c>
      <c r="C328" s="628">
        <v>411310</v>
      </c>
      <c r="D328" s="629" t="s">
        <v>207</v>
      </c>
      <c r="E328" s="630">
        <v>0</v>
      </c>
      <c r="F328" s="630">
        <v>4950</v>
      </c>
      <c r="G328" s="630">
        <v>-1930</v>
      </c>
      <c r="H328" s="630">
        <v>3020</v>
      </c>
      <c r="I328" s="630">
        <v>3020</v>
      </c>
      <c r="J328" s="631">
        <f t="shared" si="8"/>
        <v>3.02</v>
      </c>
      <c r="K328" s="631">
        <f t="shared" si="9"/>
        <v>3</v>
      </c>
    </row>
    <row r="329" spans="1:11" s="563" customFormat="1" x14ac:dyDescent="0.3">
      <c r="A329" s="574" t="s">
        <v>666</v>
      </c>
      <c r="B329" s="574" t="s">
        <v>666</v>
      </c>
      <c r="C329" s="628">
        <v>411311</v>
      </c>
      <c r="D329" s="629" t="s">
        <v>208</v>
      </c>
      <c r="E329" s="630">
        <v>0</v>
      </c>
      <c r="F329" s="630">
        <v>15834.17</v>
      </c>
      <c r="G329" s="630">
        <v>0</v>
      </c>
      <c r="H329" s="630">
        <v>15834.17</v>
      </c>
      <c r="I329" s="630">
        <v>15834.17</v>
      </c>
      <c r="J329" s="631">
        <f t="shared" ref="J329:J392" si="10">I329/1000</f>
        <v>15.83417</v>
      </c>
      <c r="K329" s="631">
        <f t="shared" ref="K329:K392" si="11">ROUND(J329,0)</f>
        <v>16</v>
      </c>
    </row>
    <row r="330" spans="1:11" s="577" customFormat="1" x14ac:dyDescent="0.3">
      <c r="A330" s="578" t="s">
        <v>480</v>
      </c>
      <c r="B330" s="578" t="s">
        <v>480</v>
      </c>
      <c r="C330" s="578">
        <v>41110</v>
      </c>
      <c r="D330" s="577" t="s">
        <v>481</v>
      </c>
      <c r="E330" s="579">
        <v>0</v>
      </c>
      <c r="F330" s="579">
        <v>134435.82999999999</v>
      </c>
      <c r="G330" s="579">
        <v>0</v>
      </c>
      <c r="H330" s="579">
        <v>134435.82999999999</v>
      </c>
      <c r="I330" s="579">
        <v>134435.82999999999</v>
      </c>
      <c r="J330" s="580">
        <f t="shared" si="10"/>
        <v>134.43582999999998</v>
      </c>
      <c r="K330" s="580">
        <f t="shared" si="11"/>
        <v>134</v>
      </c>
    </row>
    <row r="331" spans="1:11" s="577" customFormat="1" x14ac:dyDescent="0.3">
      <c r="A331" s="574" t="s">
        <v>482</v>
      </c>
      <c r="B331" s="574" t="s">
        <v>482</v>
      </c>
      <c r="C331" s="574">
        <v>411101</v>
      </c>
      <c r="D331" s="563" t="s">
        <v>483</v>
      </c>
      <c r="E331" s="575">
        <v>0</v>
      </c>
      <c r="F331" s="575">
        <v>134435.82999999999</v>
      </c>
      <c r="G331" s="575">
        <v>0</v>
      </c>
      <c r="H331" s="575">
        <v>134435.82999999999</v>
      </c>
      <c r="I331" s="575">
        <v>134435.82999999999</v>
      </c>
      <c r="J331" s="576">
        <f t="shared" si="10"/>
        <v>134.43582999999998</v>
      </c>
      <c r="K331" s="576">
        <f t="shared" si="11"/>
        <v>134</v>
      </c>
    </row>
    <row r="332" spans="1:11" s="577" customFormat="1" x14ac:dyDescent="0.3">
      <c r="A332" s="578" t="s">
        <v>667</v>
      </c>
      <c r="B332" s="578" t="s">
        <v>667</v>
      </c>
      <c r="C332" s="578">
        <v>413</v>
      </c>
      <c r="D332" s="577" t="s">
        <v>484</v>
      </c>
      <c r="E332" s="579">
        <v>0</v>
      </c>
      <c r="F332" s="579">
        <v>6539182.2199999997</v>
      </c>
      <c r="G332" s="579">
        <v>-8691.77</v>
      </c>
      <c r="H332" s="579">
        <v>6530490.4500000002</v>
      </c>
      <c r="I332" s="579">
        <v>6530490.4500000002</v>
      </c>
      <c r="J332" s="580">
        <f t="shared" si="10"/>
        <v>6530.4904500000002</v>
      </c>
      <c r="K332" s="580">
        <f t="shared" si="11"/>
        <v>6530</v>
      </c>
    </row>
    <row r="333" spans="1:11" s="577" customFormat="1" x14ac:dyDescent="0.3">
      <c r="A333" s="578" t="s">
        <v>668</v>
      </c>
      <c r="B333" s="578" t="s">
        <v>668</v>
      </c>
      <c r="C333" s="578">
        <v>4131</v>
      </c>
      <c r="D333" s="577" t="s">
        <v>35</v>
      </c>
      <c r="E333" s="579">
        <v>0</v>
      </c>
      <c r="F333" s="579">
        <v>6539182.2199999997</v>
      </c>
      <c r="G333" s="579">
        <v>-8691.77</v>
      </c>
      <c r="H333" s="579">
        <v>6530490.4500000002</v>
      </c>
      <c r="I333" s="579">
        <v>6530490.4500000002</v>
      </c>
      <c r="J333" s="580">
        <f t="shared" si="10"/>
        <v>6530.4904500000002</v>
      </c>
      <c r="K333" s="580">
        <f t="shared" si="11"/>
        <v>6530</v>
      </c>
    </row>
    <row r="334" spans="1:11" s="563" customFormat="1" x14ac:dyDescent="0.3">
      <c r="A334" s="574" t="s">
        <v>669</v>
      </c>
      <c r="B334" s="574" t="s">
        <v>669</v>
      </c>
      <c r="C334" s="574">
        <v>41311</v>
      </c>
      <c r="D334" s="563" t="s">
        <v>210</v>
      </c>
      <c r="E334" s="575">
        <v>0</v>
      </c>
      <c r="F334" s="575">
        <v>3192630.72</v>
      </c>
      <c r="G334" s="575">
        <v>0</v>
      </c>
      <c r="H334" s="575">
        <v>3192630.72</v>
      </c>
      <c r="I334" s="575">
        <v>3192630.72</v>
      </c>
      <c r="J334" s="576">
        <f t="shared" si="10"/>
        <v>3192.6307200000001</v>
      </c>
      <c r="K334" s="576">
        <f t="shared" si="11"/>
        <v>3193</v>
      </c>
    </row>
    <row r="335" spans="1:11" s="577" customFormat="1" x14ac:dyDescent="0.3">
      <c r="A335" s="574" t="s">
        <v>670</v>
      </c>
      <c r="B335" s="574" t="s">
        <v>670</v>
      </c>
      <c r="C335" s="574">
        <v>41312</v>
      </c>
      <c r="D335" s="563" t="s">
        <v>485</v>
      </c>
      <c r="E335" s="575">
        <v>0</v>
      </c>
      <c r="F335" s="575">
        <v>903120.31</v>
      </c>
      <c r="G335" s="575">
        <v>0</v>
      </c>
      <c r="H335" s="575">
        <v>903120.31</v>
      </c>
      <c r="I335" s="575">
        <v>903120.31</v>
      </c>
      <c r="J335" s="576">
        <f t="shared" si="10"/>
        <v>903.12031000000002</v>
      </c>
      <c r="K335" s="576">
        <f t="shared" si="11"/>
        <v>903</v>
      </c>
    </row>
    <row r="336" spans="1:11" s="563" customFormat="1" x14ac:dyDescent="0.3">
      <c r="A336" s="574" t="s">
        <v>671</v>
      </c>
      <c r="B336" s="574" t="s">
        <v>671</v>
      </c>
      <c r="C336" s="574">
        <v>41315</v>
      </c>
      <c r="D336" s="563" t="s">
        <v>212</v>
      </c>
      <c r="E336" s="575">
        <v>0</v>
      </c>
      <c r="F336" s="575">
        <v>667049.91</v>
      </c>
      <c r="G336" s="575">
        <v>-8691.77</v>
      </c>
      <c r="H336" s="575">
        <v>658358.14</v>
      </c>
      <c r="I336" s="575">
        <v>658358.14</v>
      </c>
      <c r="J336" s="576">
        <f t="shared" si="10"/>
        <v>658.35814000000005</v>
      </c>
      <c r="K336" s="576">
        <f t="shared" si="11"/>
        <v>658</v>
      </c>
    </row>
    <row r="337" spans="1:11" s="577" customFormat="1" x14ac:dyDescent="0.3">
      <c r="A337" s="574" t="s">
        <v>672</v>
      </c>
      <c r="B337" s="574" t="s">
        <v>672</v>
      </c>
      <c r="C337" s="574">
        <v>413114</v>
      </c>
      <c r="D337" s="563" t="s">
        <v>488</v>
      </c>
      <c r="E337" s="575">
        <v>0</v>
      </c>
      <c r="F337" s="575">
        <v>1448077.27</v>
      </c>
      <c r="G337" s="575">
        <v>0</v>
      </c>
      <c r="H337" s="575">
        <v>1448077.27</v>
      </c>
      <c r="I337" s="575">
        <v>1448077.27</v>
      </c>
      <c r="J337" s="576">
        <f t="shared" si="10"/>
        <v>1448.07727</v>
      </c>
      <c r="K337" s="576">
        <f t="shared" si="11"/>
        <v>1448</v>
      </c>
    </row>
    <row r="338" spans="1:11" s="577" customFormat="1" x14ac:dyDescent="0.3">
      <c r="A338" s="574" t="s">
        <v>673</v>
      </c>
      <c r="B338" s="574" t="s">
        <v>673</v>
      </c>
      <c r="C338" s="574">
        <v>413117</v>
      </c>
      <c r="D338" s="563" t="s">
        <v>213</v>
      </c>
      <c r="E338" s="575">
        <v>0</v>
      </c>
      <c r="F338" s="575">
        <v>316495.42</v>
      </c>
      <c r="G338" s="575">
        <v>0</v>
      </c>
      <c r="H338" s="575">
        <v>316495.42</v>
      </c>
      <c r="I338" s="575">
        <v>316495.42</v>
      </c>
      <c r="J338" s="576">
        <f t="shared" si="10"/>
        <v>316.49541999999997</v>
      </c>
      <c r="K338" s="576">
        <f t="shared" si="11"/>
        <v>316</v>
      </c>
    </row>
    <row r="339" spans="1:11" s="644" customFormat="1" x14ac:dyDescent="0.3">
      <c r="A339" s="640" t="s">
        <v>674</v>
      </c>
      <c r="B339" s="640" t="s">
        <v>674</v>
      </c>
      <c r="C339" s="640">
        <v>4131997</v>
      </c>
      <c r="D339" s="641" t="s">
        <v>214</v>
      </c>
      <c r="E339" s="642">
        <v>0</v>
      </c>
      <c r="F339" s="642">
        <v>11808.59</v>
      </c>
      <c r="G339" s="642">
        <v>0</v>
      </c>
      <c r="H339" s="642">
        <v>11808.59</v>
      </c>
      <c r="I339" s="642">
        <v>11808.59</v>
      </c>
      <c r="J339" s="643">
        <f t="shared" si="10"/>
        <v>11.808590000000001</v>
      </c>
      <c r="K339" s="643">
        <f>ROUND(J339,0)</f>
        <v>12</v>
      </c>
    </row>
    <row r="340" spans="1:11" s="144" customFormat="1" x14ac:dyDescent="0.3">
      <c r="A340" s="149" t="s">
        <v>675</v>
      </c>
      <c r="B340" s="149" t="s">
        <v>675</v>
      </c>
      <c r="C340" s="149">
        <v>414</v>
      </c>
      <c r="D340" s="144" t="s">
        <v>215</v>
      </c>
      <c r="E340" s="213">
        <v>0</v>
      </c>
      <c r="F340" s="213">
        <v>248366</v>
      </c>
      <c r="G340" s="213">
        <v>0</v>
      </c>
      <c r="H340" s="213">
        <v>248366</v>
      </c>
      <c r="I340" s="213">
        <v>248366</v>
      </c>
      <c r="J340" s="568">
        <f t="shared" si="10"/>
        <v>248.36600000000001</v>
      </c>
      <c r="K340" s="568">
        <f t="shared" si="11"/>
        <v>248</v>
      </c>
    </row>
    <row r="341" spans="1:11" s="144" customFormat="1" x14ac:dyDescent="0.3">
      <c r="A341" s="149" t="s">
        <v>676</v>
      </c>
      <c r="B341" s="149" t="s">
        <v>676</v>
      </c>
      <c r="C341" s="149">
        <v>4141</v>
      </c>
      <c r="D341" s="144" t="s">
        <v>38</v>
      </c>
      <c r="E341" s="213">
        <v>0</v>
      </c>
      <c r="F341" s="213">
        <v>248366</v>
      </c>
      <c r="G341" s="213">
        <v>0</v>
      </c>
      <c r="H341" s="213">
        <v>248366</v>
      </c>
      <c r="I341" s="213">
        <v>248366</v>
      </c>
      <c r="J341" s="568">
        <f t="shared" si="10"/>
        <v>248.36600000000001</v>
      </c>
      <c r="K341" s="568">
        <f t="shared" si="11"/>
        <v>248</v>
      </c>
    </row>
    <row r="342" spans="1:11" customFormat="1" x14ac:dyDescent="0.3">
      <c r="A342" s="145" t="s">
        <v>677</v>
      </c>
      <c r="B342" s="145" t="s">
        <v>677</v>
      </c>
      <c r="C342" s="145">
        <v>41412</v>
      </c>
      <c r="D342" t="s">
        <v>216</v>
      </c>
      <c r="E342" s="128">
        <v>0</v>
      </c>
      <c r="F342" s="128">
        <v>236508.53</v>
      </c>
      <c r="G342" s="128">
        <v>0</v>
      </c>
      <c r="H342" s="128">
        <v>236508.53</v>
      </c>
      <c r="I342" s="128">
        <v>236508.53</v>
      </c>
      <c r="J342" s="569">
        <f t="shared" si="10"/>
        <v>236.50853000000001</v>
      </c>
      <c r="K342" s="569">
        <f t="shared" si="11"/>
        <v>237</v>
      </c>
    </row>
    <row r="343" spans="1:11" s="626" customFormat="1" x14ac:dyDescent="0.3">
      <c r="A343" s="637" t="s">
        <v>678</v>
      </c>
      <c r="B343" s="637" t="s">
        <v>678</v>
      </c>
      <c r="C343" s="637">
        <v>41418</v>
      </c>
      <c r="D343" s="626" t="s">
        <v>217</v>
      </c>
      <c r="E343" s="638">
        <v>0</v>
      </c>
      <c r="F343" s="638">
        <v>11857.47</v>
      </c>
      <c r="G343" s="638">
        <v>0</v>
      </c>
      <c r="H343" s="638">
        <v>11857.47</v>
      </c>
      <c r="I343" s="638">
        <v>11857.47</v>
      </c>
      <c r="J343" s="639">
        <f t="shared" si="10"/>
        <v>11.857469999999999</v>
      </c>
      <c r="K343" s="639">
        <f>ROUND(J343,0)</f>
        <v>12</v>
      </c>
    </row>
    <row r="344" spans="1:11" s="144" customFormat="1" x14ac:dyDescent="0.3">
      <c r="A344" s="149" t="s">
        <v>679</v>
      </c>
      <c r="B344" s="149" t="s">
        <v>679</v>
      </c>
      <c r="C344" s="149">
        <v>416</v>
      </c>
      <c r="D344" s="144" t="s">
        <v>218</v>
      </c>
      <c r="E344" s="213">
        <v>0</v>
      </c>
      <c r="F344" s="213">
        <v>6832890.7400000002</v>
      </c>
      <c r="G344" s="213">
        <v>-23963.25</v>
      </c>
      <c r="H344" s="213">
        <v>6808927.4900000002</v>
      </c>
      <c r="I344" s="213">
        <v>6808927.4900000002</v>
      </c>
      <c r="J344" s="568">
        <f t="shared" si="10"/>
        <v>6808.92749</v>
      </c>
      <c r="K344" s="568">
        <f t="shared" si="11"/>
        <v>6809</v>
      </c>
    </row>
    <row r="345" spans="1:11" s="144" customFormat="1" x14ac:dyDescent="0.3">
      <c r="A345" s="149" t="s">
        <v>680</v>
      </c>
      <c r="B345" s="149" t="s">
        <v>680</v>
      </c>
      <c r="C345" s="149">
        <v>4161</v>
      </c>
      <c r="D345" s="144" t="s">
        <v>491</v>
      </c>
      <c r="E345" s="213">
        <v>0</v>
      </c>
      <c r="F345" s="213">
        <v>3623866.55</v>
      </c>
      <c r="G345" s="213">
        <v>-2398.64</v>
      </c>
      <c r="H345" s="213">
        <v>3621467.91</v>
      </c>
      <c r="I345" s="213">
        <v>3621467.91</v>
      </c>
      <c r="J345" s="568">
        <f t="shared" si="10"/>
        <v>3621.4679100000003</v>
      </c>
      <c r="K345" s="568">
        <f t="shared" si="11"/>
        <v>3621</v>
      </c>
    </row>
    <row r="346" spans="1:11" s="563" customFormat="1" x14ac:dyDescent="0.3">
      <c r="A346" s="574" t="s">
        <v>681</v>
      </c>
      <c r="B346" s="574" t="s">
        <v>681</v>
      </c>
      <c r="C346" s="574">
        <v>41611</v>
      </c>
      <c r="D346" s="563" t="s">
        <v>219</v>
      </c>
      <c r="E346" s="575">
        <v>0</v>
      </c>
      <c r="F346" s="575">
        <v>1776737.64</v>
      </c>
      <c r="G346" s="575">
        <v>0</v>
      </c>
      <c r="H346" s="575">
        <v>1776737.64</v>
      </c>
      <c r="I346" s="575">
        <v>1776737.64</v>
      </c>
      <c r="J346" s="576">
        <f t="shared" si="10"/>
        <v>1776.7376399999998</v>
      </c>
      <c r="K346" s="576">
        <f t="shared" si="11"/>
        <v>1777</v>
      </c>
    </row>
    <row r="347" spans="1:11" s="577" customFormat="1" x14ac:dyDescent="0.3">
      <c r="A347" s="574" t="s">
        <v>682</v>
      </c>
      <c r="B347" s="574" t="s">
        <v>682</v>
      </c>
      <c r="C347" s="574">
        <v>41614</v>
      </c>
      <c r="D347" s="563" t="s">
        <v>220</v>
      </c>
      <c r="E347" s="575">
        <v>0</v>
      </c>
      <c r="F347" s="575">
        <v>451796.49</v>
      </c>
      <c r="G347" s="575">
        <v>0</v>
      </c>
      <c r="H347" s="575">
        <v>451796.49</v>
      </c>
      <c r="I347" s="575">
        <v>451796.49</v>
      </c>
      <c r="J347" s="576">
        <f t="shared" si="10"/>
        <v>451.79649000000001</v>
      </c>
      <c r="K347" s="576">
        <f t="shared" si="11"/>
        <v>452</v>
      </c>
    </row>
    <row r="348" spans="1:11" s="563" customFormat="1" x14ac:dyDescent="0.3">
      <c r="A348" s="574" t="s">
        <v>683</v>
      </c>
      <c r="B348" s="574" t="s">
        <v>683</v>
      </c>
      <c r="C348" s="574">
        <v>41616</v>
      </c>
      <c r="D348" s="563" t="s">
        <v>221</v>
      </c>
      <c r="E348" s="575">
        <v>0</v>
      </c>
      <c r="F348" s="575">
        <v>15943.18</v>
      </c>
      <c r="G348" s="575">
        <v>-2398.64</v>
      </c>
      <c r="H348" s="575">
        <v>13544.54</v>
      </c>
      <c r="I348" s="575">
        <v>13544.54</v>
      </c>
      <c r="J348" s="576">
        <f t="shared" si="10"/>
        <v>13.544540000000001</v>
      </c>
      <c r="K348" s="576">
        <f t="shared" si="11"/>
        <v>14</v>
      </c>
    </row>
    <row r="349" spans="1:11" s="563" customFormat="1" x14ac:dyDescent="0.3">
      <c r="A349" s="574" t="s">
        <v>493</v>
      </c>
      <c r="B349" s="574" t="s">
        <v>493</v>
      </c>
      <c r="C349" s="574">
        <v>416110</v>
      </c>
      <c r="D349" s="563" t="s">
        <v>1361</v>
      </c>
      <c r="E349" s="575">
        <v>0</v>
      </c>
      <c r="F349" s="575">
        <v>115.84</v>
      </c>
      <c r="G349" s="575">
        <v>0</v>
      </c>
      <c r="H349" s="575">
        <v>115.84</v>
      </c>
      <c r="I349" s="575">
        <v>115.84</v>
      </c>
      <c r="J349" s="576">
        <f t="shared" si="10"/>
        <v>0.11584</v>
      </c>
      <c r="K349" s="576">
        <f t="shared" si="11"/>
        <v>0</v>
      </c>
    </row>
    <row r="350" spans="1:11" s="563" customFormat="1" x14ac:dyDescent="0.3">
      <c r="A350" s="574" t="s">
        <v>684</v>
      </c>
      <c r="B350" s="574" t="s">
        <v>684</v>
      </c>
      <c r="C350" s="574">
        <v>416112</v>
      </c>
      <c r="D350" s="563" t="s">
        <v>494</v>
      </c>
      <c r="E350" s="575">
        <v>0</v>
      </c>
      <c r="F350" s="575">
        <v>52780.33</v>
      </c>
      <c r="G350" s="575">
        <v>0</v>
      </c>
      <c r="H350" s="575">
        <v>52780.33</v>
      </c>
      <c r="I350" s="575">
        <v>52780.33</v>
      </c>
      <c r="J350" s="576">
        <f t="shared" si="10"/>
        <v>52.780329999999999</v>
      </c>
      <c r="K350" s="576">
        <f t="shared" si="11"/>
        <v>53</v>
      </c>
    </row>
    <row r="351" spans="1:11" s="563" customFormat="1" x14ac:dyDescent="0.3">
      <c r="A351" s="574" t="s">
        <v>685</v>
      </c>
      <c r="B351" s="574" t="s">
        <v>685</v>
      </c>
      <c r="C351" s="574">
        <v>416114</v>
      </c>
      <c r="D351" s="563" t="s">
        <v>223</v>
      </c>
      <c r="E351" s="575">
        <v>0</v>
      </c>
      <c r="F351" s="575">
        <v>396131.85</v>
      </c>
      <c r="G351" s="575">
        <v>0</v>
      </c>
      <c r="H351" s="575">
        <v>396131.85</v>
      </c>
      <c r="I351" s="575">
        <v>396131.85</v>
      </c>
      <c r="J351" s="576">
        <f t="shared" si="10"/>
        <v>396.13184999999999</v>
      </c>
      <c r="K351" s="576">
        <f t="shared" si="11"/>
        <v>396</v>
      </c>
    </row>
    <row r="352" spans="1:11" s="563" customFormat="1" x14ac:dyDescent="0.3">
      <c r="A352" s="574" t="s">
        <v>686</v>
      </c>
      <c r="B352" s="574" t="s">
        <v>686</v>
      </c>
      <c r="C352" s="574">
        <v>416115</v>
      </c>
      <c r="D352" s="563" t="s">
        <v>246</v>
      </c>
      <c r="E352" s="575">
        <v>0</v>
      </c>
      <c r="F352" s="575">
        <v>255104.71</v>
      </c>
      <c r="G352" s="575">
        <v>0</v>
      </c>
      <c r="H352" s="575">
        <v>255104.71</v>
      </c>
      <c r="I352" s="575">
        <v>255104.71</v>
      </c>
      <c r="J352" s="576">
        <f t="shared" si="10"/>
        <v>255.10470999999998</v>
      </c>
      <c r="K352" s="576">
        <f t="shared" si="11"/>
        <v>255</v>
      </c>
    </row>
    <row r="353" spans="1:11" s="563" customFormat="1" x14ac:dyDescent="0.3">
      <c r="A353" s="574" t="s">
        <v>687</v>
      </c>
      <c r="B353" s="574" t="s">
        <v>687</v>
      </c>
      <c r="C353" s="574">
        <v>416116</v>
      </c>
      <c r="D353" s="563" t="s">
        <v>224</v>
      </c>
      <c r="E353" s="575">
        <v>0</v>
      </c>
      <c r="F353" s="575">
        <v>675256.51</v>
      </c>
      <c r="G353" s="575">
        <v>0</v>
      </c>
      <c r="H353" s="575">
        <v>675256.51</v>
      </c>
      <c r="I353" s="575">
        <v>675256.51</v>
      </c>
      <c r="J353" s="576">
        <f t="shared" si="10"/>
        <v>675.25651000000005</v>
      </c>
      <c r="K353" s="576">
        <f t="shared" si="11"/>
        <v>675</v>
      </c>
    </row>
    <row r="354" spans="1:11" s="144" customFormat="1" x14ac:dyDescent="0.3">
      <c r="A354" s="149" t="s">
        <v>688</v>
      </c>
      <c r="B354" s="149" t="s">
        <v>688</v>
      </c>
      <c r="C354" s="149">
        <v>4162</v>
      </c>
      <c r="D354" s="144" t="s">
        <v>225</v>
      </c>
      <c r="E354" s="213">
        <v>0</v>
      </c>
      <c r="F354" s="213">
        <v>3209024.19</v>
      </c>
      <c r="G354" s="213">
        <v>-21564.61</v>
      </c>
      <c r="H354" s="213">
        <v>3187459.58</v>
      </c>
      <c r="I354" s="213">
        <v>3187459.58</v>
      </c>
      <c r="J354" s="568">
        <f t="shared" si="10"/>
        <v>3187.4595800000002</v>
      </c>
      <c r="K354" s="568">
        <f t="shared" si="11"/>
        <v>3187</v>
      </c>
    </row>
    <row r="355" spans="1:11" customFormat="1" x14ac:dyDescent="0.3">
      <c r="A355" s="145" t="s">
        <v>689</v>
      </c>
      <c r="B355" s="145" t="s">
        <v>689</v>
      </c>
      <c r="C355" s="145">
        <v>41621</v>
      </c>
      <c r="D355" t="s">
        <v>226</v>
      </c>
      <c r="E355" s="128">
        <v>0</v>
      </c>
      <c r="F355" s="128">
        <v>444905.13</v>
      </c>
      <c r="G355" s="128">
        <v>0</v>
      </c>
      <c r="H355" s="128">
        <v>444905.13</v>
      </c>
      <c r="I355" s="128">
        <v>444905.13</v>
      </c>
      <c r="J355" s="569">
        <f t="shared" si="10"/>
        <v>444.90512999999999</v>
      </c>
      <c r="K355" s="576">
        <f t="shared" si="11"/>
        <v>445</v>
      </c>
    </row>
    <row r="356" spans="1:11" customFormat="1" x14ac:dyDescent="0.3">
      <c r="A356" s="145" t="s">
        <v>1117</v>
      </c>
      <c r="B356" s="145" t="s">
        <v>1117</v>
      </c>
      <c r="C356" s="145">
        <v>41622</v>
      </c>
      <c r="D356" t="s">
        <v>495</v>
      </c>
      <c r="E356" s="128">
        <v>0</v>
      </c>
      <c r="F356" s="128">
        <v>15960.43</v>
      </c>
      <c r="G356" s="128">
        <v>-15960.43</v>
      </c>
      <c r="H356" s="128">
        <v>0</v>
      </c>
      <c r="I356" s="128">
        <v>0</v>
      </c>
      <c r="J356" s="569">
        <f t="shared" si="10"/>
        <v>0</v>
      </c>
      <c r="K356" s="576">
        <f t="shared" si="11"/>
        <v>0</v>
      </c>
    </row>
    <row r="357" spans="1:11" customFormat="1" x14ac:dyDescent="0.3">
      <c r="A357" s="145" t="s">
        <v>690</v>
      </c>
      <c r="B357" s="145" t="s">
        <v>690</v>
      </c>
      <c r="C357" s="145">
        <v>41624</v>
      </c>
      <c r="D357" t="s">
        <v>496</v>
      </c>
      <c r="E357" s="128">
        <v>0</v>
      </c>
      <c r="F357" s="128">
        <v>771139.43</v>
      </c>
      <c r="G357" s="128">
        <v>0</v>
      </c>
      <c r="H357" s="128">
        <v>771139.43</v>
      </c>
      <c r="I357" s="128">
        <v>771139.43</v>
      </c>
      <c r="J357" s="569">
        <f t="shared" si="10"/>
        <v>771.13943000000006</v>
      </c>
      <c r="K357" s="576">
        <f t="shared" si="11"/>
        <v>771</v>
      </c>
    </row>
    <row r="358" spans="1:11" customFormat="1" x14ac:dyDescent="0.3">
      <c r="A358" s="145" t="s">
        <v>691</v>
      </c>
      <c r="B358" s="145" t="s">
        <v>691</v>
      </c>
      <c r="C358" s="145">
        <v>41626</v>
      </c>
      <c r="D358" t="s">
        <v>227</v>
      </c>
      <c r="E358" s="128">
        <v>0</v>
      </c>
      <c r="F358" s="128">
        <v>221607.13</v>
      </c>
      <c r="G358" s="128">
        <v>-5604.18</v>
      </c>
      <c r="H358" s="128">
        <v>216002.95</v>
      </c>
      <c r="I358" s="128">
        <v>216002.95</v>
      </c>
      <c r="J358" s="569">
        <f t="shared" si="10"/>
        <v>216.00295</v>
      </c>
      <c r="K358" s="576">
        <f t="shared" si="11"/>
        <v>216</v>
      </c>
    </row>
    <row r="359" spans="1:11" customFormat="1" x14ac:dyDescent="0.3">
      <c r="A359" s="145" t="s">
        <v>692</v>
      </c>
      <c r="B359" s="145" t="s">
        <v>692</v>
      </c>
      <c r="C359" s="145">
        <v>41627</v>
      </c>
      <c r="D359" t="s">
        <v>497</v>
      </c>
      <c r="E359" s="128">
        <v>0</v>
      </c>
      <c r="F359" s="128">
        <v>1455190.71</v>
      </c>
      <c r="G359" s="128">
        <v>0</v>
      </c>
      <c r="H359" s="128">
        <v>1455190.71</v>
      </c>
      <c r="I359" s="128">
        <v>1455190.71</v>
      </c>
      <c r="J359" s="569">
        <f t="shared" si="10"/>
        <v>1455.1907099999999</v>
      </c>
      <c r="K359" s="569">
        <f t="shared" si="11"/>
        <v>1455</v>
      </c>
    </row>
    <row r="360" spans="1:11" customFormat="1" x14ac:dyDescent="0.3">
      <c r="A360" s="145" t="s">
        <v>693</v>
      </c>
      <c r="B360" s="145" t="s">
        <v>693</v>
      </c>
      <c r="C360" s="145">
        <v>416210</v>
      </c>
      <c r="D360" t="s">
        <v>228</v>
      </c>
      <c r="E360" s="128">
        <v>0</v>
      </c>
      <c r="F360" s="128">
        <v>300221.36</v>
      </c>
      <c r="G360" s="128">
        <v>0</v>
      </c>
      <c r="H360" s="128">
        <v>300221.36</v>
      </c>
      <c r="I360" s="128">
        <v>300221.36</v>
      </c>
      <c r="J360" s="569">
        <f t="shared" si="10"/>
        <v>300.22136</v>
      </c>
      <c r="K360" s="576">
        <f t="shared" si="11"/>
        <v>300</v>
      </c>
    </row>
    <row r="361" spans="1:11" s="144" customFormat="1" x14ac:dyDescent="0.3">
      <c r="A361" s="149" t="s">
        <v>694</v>
      </c>
      <c r="B361" s="149" t="s">
        <v>694</v>
      </c>
      <c r="C361" s="149">
        <v>42</v>
      </c>
      <c r="D361" s="144" t="s">
        <v>229</v>
      </c>
      <c r="E361" s="213">
        <v>0</v>
      </c>
      <c r="F361" s="213">
        <v>34823150.140000001</v>
      </c>
      <c r="G361" s="213">
        <v>-1820010.6</v>
      </c>
      <c r="H361" s="213">
        <v>33003139.539999999</v>
      </c>
      <c r="I361" s="213">
        <v>33003139.539999999</v>
      </c>
      <c r="J361" s="568">
        <f t="shared" si="10"/>
        <v>33003.139539999996</v>
      </c>
      <c r="K361" s="568">
        <f t="shared" si="11"/>
        <v>33003</v>
      </c>
    </row>
    <row r="362" spans="1:11" s="577" customFormat="1" x14ac:dyDescent="0.3">
      <c r="A362" s="578" t="s">
        <v>695</v>
      </c>
      <c r="B362" s="578" t="s">
        <v>695</v>
      </c>
      <c r="C362" s="578">
        <v>421</v>
      </c>
      <c r="D362" s="577" t="s">
        <v>230</v>
      </c>
      <c r="E362" s="579">
        <v>0</v>
      </c>
      <c r="F362" s="579">
        <v>19603600.579999998</v>
      </c>
      <c r="G362" s="579">
        <v>-230028.79</v>
      </c>
      <c r="H362" s="579">
        <v>19373571.789999999</v>
      </c>
      <c r="I362" s="579">
        <v>19373571.789999999</v>
      </c>
      <c r="J362" s="580">
        <f t="shared" si="10"/>
        <v>19373.571789999998</v>
      </c>
      <c r="K362" s="580">
        <f t="shared" si="11"/>
        <v>19374</v>
      </c>
    </row>
    <row r="363" spans="1:11" s="577" customFormat="1" x14ac:dyDescent="0.3">
      <c r="A363" s="578" t="s">
        <v>696</v>
      </c>
      <c r="B363" s="578" t="s">
        <v>696</v>
      </c>
      <c r="C363" s="578">
        <v>4211</v>
      </c>
      <c r="D363" s="577" t="s">
        <v>31</v>
      </c>
      <c r="E363" s="579">
        <v>0</v>
      </c>
      <c r="F363" s="579">
        <v>13544364.869999999</v>
      </c>
      <c r="G363" s="579">
        <v>-137894.17000000001</v>
      </c>
      <c r="H363" s="579">
        <v>13406470.699999999</v>
      </c>
      <c r="I363" s="579">
        <v>13406470.699999999</v>
      </c>
      <c r="J363" s="580">
        <f t="shared" si="10"/>
        <v>13406.4707</v>
      </c>
      <c r="K363" s="580">
        <f t="shared" si="11"/>
        <v>13406</v>
      </c>
    </row>
    <row r="364" spans="1:11" s="577" customFormat="1" x14ac:dyDescent="0.3">
      <c r="A364" s="574" t="s">
        <v>697</v>
      </c>
      <c r="B364" s="574" t="s">
        <v>697</v>
      </c>
      <c r="C364" s="574">
        <v>42111</v>
      </c>
      <c r="D364" s="563" t="s">
        <v>199</v>
      </c>
      <c r="E364" s="575">
        <v>0</v>
      </c>
      <c r="F364" s="575">
        <v>10924584.1</v>
      </c>
      <c r="G364" s="575">
        <v>-6757.36</v>
      </c>
      <c r="H364" s="575">
        <v>10917826.74</v>
      </c>
      <c r="I364" s="575">
        <v>10917826.74</v>
      </c>
      <c r="J364" s="576">
        <f t="shared" si="10"/>
        <v>10917.82674</v>
      </c>
      <c r="K364" s="576">
        <f t="shared" si="11"/>
        <v>10918</v>
      </c>
    </row>
    <row r="365" spans="1:11" s="577" customFormat="1" x14ac:dyDescent="0.3">
      <c r="A365" s="574" t="s">
        <v>698</v>
      </c>
      <c r="B365" s="574" t="s">
        <v>698</v>
      </c>
      <c r="C365" s="574">
        <v>42117</v>
      </c>
      <c r="D365" s="563" t="s">
        <v>472</v>
      </c>
      <c r="E365" s="575">
        <v>0</v>
      </c>
      <c r="F365" s="575">
        <v>1405635.57</v>
      </c>
      <c r="G365" s="575">
        <v>-131136.81</v>
      </c>
      <c r="H365" s="575">
        <v>1274498.76</v>
      </c>
      <c r="I365" s="575">
        <v>1274498.76</v>
      </c>
      <c r="J365" s="576">
        <f t="shared" si="10"/>
        <v>1274.4987599999999</v>
      </c>
      <c r="K365" s="576">
        <f t="shared" si="11"/>
        <v>1274</v>
      </c>
    </row>
    <row r="366" spans="1:11" s="563" customFormat="1" x14ac:dyDescent="0.3">
      <c r="A366" s="574" t="s">
        <v>699</v>
      </c>
      <c r="B366" s="574" t="s">
        <v>699</v>
      </c>
      <c r="C366" s="574">
        <v>42118</v>
      </c>
      <c r="D366" s="563" t="s">
        <v>200</v>
      </c>
      <c r="E366" s="575">
        <v>0</v>
      </c>
      <c r="F366" s="575">
        <v>120125.84</v>
      </c>
      <c r="G366" s="575">
        <v>0</v>
      </c>
      <c r="H366" s="575">
        <v>120125.84</v>
      </c>
      <c r="I366" s="575">
        <v>120125.84</v>
      </c>
      <c r="J366" s="576">
        <f t="shared" si="10"/>
        <v>120.12584</v>
      </c>
      <c r="K366" s="576">
        <f t="shared" si="11"/>
        <v>120</v>
      </c>
    </row>
    <row r="367" spans="1:11" s="563" customFormat="1" x14ac:dyDescent="0.3">
      <c r="A367" s="574" t="s">
        <v>700</v>
      </c>
      <c r="B367" s="574" t="s">
        <v>700</v>
      </c>
      <c r="C367" s="574">
        <v>42119</v>
      </c>
      <c r="D367" s="563" t="s">
        <v>498</v>
      </c>
      <c r="E367" s="575">
        <v>0</v>
      </c>
      <c r="F367" s="575">
        <v>1017474.39</v>
      </c>
      <c r="G367" s="575">
        <v>0</v>
      </c>
      <c r="H367" s="575">
        <v>1017474.39</v>
      </c>
      <c r="I367" s="575">
        <v>1017474.39</v>
      </c>
      <c r="J367" s="576">
        <f t="shared" si="10"/>
        <v>1017.47439</v>
      </c>
      <c r="K367" s="576">
        <f t="shared" si="11"/>
        <v>1017</v>
      </c>
    </row>
    <row r="368" spans="1:11" s="563" customFormat="1" x14ac:dyDescent="0.3">
      <c r="A368" s="574" t="s">
        <v>499</v>
      </c>
      <c r="B368" s="574" t="s">
        <v>499</v>
      </c>
      <c r="C368" s="574">
        <v>421110</v>
      </c>
      <c r="D368" s="563" t="s">
        <v>474</v>
      </c>
      <c r="E368" s="575">
        <v>0</v>
      </c>
      <c r="F368" s="575">
        <v>53008.9</v>
      </c>
      <c r="G368" s="575">
        <v>0</v>
      </c>
      <c r="H368" s="575">
        <v>53008.9</v>
      </c>
      <c r="I368" s="575">
        <v>53008.9</v>
      </c>
      <c r="J368" s="576">
        <f t="shared" si="10"/>
        <v>53.008900000000004</v>
      </c>
      <c r="K368" s="576">
        <f t="shared" si="11"/>
        <v>53</v>
      </c>
    </row>
    <row r="369" spans="1:11" s="563" customFormat="1" x14ac:dyDescent="0.3">
      <c r="A369" s="574" t="s">
        <v>1247</v>
      </c>
      <c r="B369" s="574" t="s">
        <v>1247</v>
      </c>
      <c r="C369" s="574">
        <v>421112</v>
      </c>
      <c r="D369" s="563" t="s">
        <v>476</v>
      </c>
      <c r="E369" s="575">
        <v>0</v>
      </c>
      <c r="F369" s="575">
        <v>23536.07</v>
      </c>
      <c r="G369" s="575">
        <v>0</v>
      </c>
      <c r="H369" s="575">
        <v>23536.07</v>
      </c>
      <c r="I369" s="575">
        <v>23536.07</v>
      </c>
      <c r="J369" s="576">
        <f t="shared" si="10"/>
        <v>23.536069999999999</v>
      </c>
      <c r="K369" s="576">
        <f t="shared" si="11"/>
        <v>24</v>
      </c>
    </row>
    <row r="370" spans="1:11" s="577" customFormat="1" x14ac:dyDescent="0.3">
      <c r="A370" s="578" t="s">
        <v>701</v>
      </c>
      <c r="B370" s="578" t="s">
        <v>701</v>
      </c>
      <c r="C370" s="578">
        <v>4212</v>
      </c>
      <c r="D370" s="577" t="s">
        <v>32</v>
      </c>
      <c r="E370" s="579">
        <v>0</v>
      </c>
      <c r="F370" s="579">
        <v>3977537.08</v>
      </c>
      <c r="G370" s="579">
        <v>-68520.95</v>
      </c>
      <c r="H370" s="579">
        <v>3909016.13</v>
      </c>
      <c r="I370" s="579">
        <v>3909016.13</v>
      </c>
      <c r="J370" s="580">
        <f t="shared" si="10"/>
        <v>3909.01613</v>
      </c>
      <c r="K370" s="580">
        <f t="shared" si="11"/>
        <v>3909</v>
      </c>
    </row>
    <row r="371" spans="1:11" s="563" customFormat="1" x14ac:dyDescent="0.3">
      <c r="A371" s="574" t="s">
        <v>702</v>
      </c>
      <c r="B371" s="574" t="s">
        <v>702</v>
      </c>
      <c r="C371" s="574">
        <v>42121</v>
      </c>
      <c r="D371" s="563" t="s">
        <v>160</v>
      </c>
      <c r="E371" s="575">
        <v>0</v>
      </c>
      <c r="F371" s="575">
        <v>2377931.87</v>
      </c>
      <c r="G371" s="575">
        <v>-1980.49</v>
      </c>
      <c r="H371" s="575">
        <v>2375951.38</v>
      </c>
      <c r="I371" s="575">
        <v>2375951.38</v>
      </c>
      <c r="J371" s="576">
        <f t="shared" si="10"/>
        <v>2375.95138</v>
      </c>
      <c r="K371" s="576">
        <f t="shared" si="11"/>
        <v>2376</v>
      </c>
    </row>
    <row r="372" spans="1:11" s="563" customFormat="1" x14ac:dyDescent="0.3">
      <c r="A372" s="574" t="s">
        <v>703</v>
      </c>
      <c r="B372" s="574" t="s">
        <v>703</v>
      </c>
      <c r="C372" s="574">
        <v>42122</v>
      </c>
      <c r="D372" s="563" t="s">
        <v>70</v>
      </c>
      <c r="E372" s="575">
        <v>0</v>
      </c>
      <c r="F372" s="575">
        <v>903282.42</v>
      </c>
      <c r="G372" s="575">
        <v>0</v>
      </c>
      <c r="H372" s="575">
        <v>903282.42</v>
      </c>
      <c r="I372" s="575">
        <v>903282.42</v>
      </c>
      <c r="J372" s="576">
        <f t="shared" si="10"/>
        <v>903.28242</v>
      </c>
      <c r="K372" s="576">
        <f t="shared" si="11"/>
        <v>903</v>
      </c>
    </row>
    <row r="373" spans="1:11" s="577" customFormat="1" x14ac:dyDescent="0.3">
      <c r="A373" s="574" t="s">
        <v>704</v>
      </c>
      <c r="B373" s="574" t="s">
        <v>704</v>
      </c>
      <c r="C373" s="574">
        <v>42124</v>
      </c>
      <c r="D373" s="563" t="s">
        <v>201</v>
      </c>
      <c r="E373" s="575">
        <v>0</v>
      </c>
      <c r="F373" s="575">
        <v>209602.81</v>
      </c>
      <c r="G373" s="575">
        <v>0</v>
      </c>
      <c r="H373" s="575">
        <v>209602.81</v>
      </c>
      <c r="I373" s="575">
        <v>209602.81</v>
      </c>
      <c r="J373" s="576">
        <f t="shared" si="10"/>
        <v>209.60281000000001</v>
      </c>
      <c r="K373" s="576">
        <f t="shared" si="11"/>
        <v>210</v>
      </c>
    </row>
    <row r="374" spans="1:11" s="577" customFormat="1" x14ac:dyDescent="0.3">
      <c r="A374" s="574" t="s">
        <v>705</v>
      </c>
      <c r="B374" s="574" t="s">
        <v>705</v>
      </c>
      <c r="C374" s="574">
        <v>42125</v>
      </c>
      <c r="D374" s="563" t="s">
        <v>202</v>
      </c>
      <c r="E374" s="575">
        <v>0</v>
      </c>
      <c r="F374" s="575">
        <v>294630.90000000002</v>
      </c>
      <c r="G374" s="575">
        <v>-47382.27</v>
      </c>
      <c r="H374" s="575">
        <v>247248.63</v>
      </c>
      <c r="I374" s="575">
        <v>247248.63</v>
      </c>
      <c r="J374" s="576">
        <f t="shared" si="10"/>
        <v>247.24862999999999</v>
      </c>
      <c r="K374" s="576">
        <f t="shared" si="11"/>
        <v>247</v>
      </c>
    </row>
    <row r="375" spans="1:11" s="563" customFormat="1" x14ac:dyDescent="0.3">
      <c r="A375" s="574" t="s">
        <v>706</v>
      </c>
      <c r="B375" s="574" t="s">
        <v>706</v>
      </c>
      <c r="C375" s="574">
        <v>42126</v>
      </c>
      <c r="D375" s="563" t="s">
        <v>203</v>
      </c>
      <c r="E375" s="575">
        <v>0</v>
      </c>
      <c r="F375" s="575">
        <v>112239.91</v>
      </c>
      <c r="G375" s="575">
        <v>-18050.490000000002</v>
      </c>
      <c r="H375" s="575">
        <v>94189.42</v>
      </c>
      <c r="I375" s="575">
        <v>94189.42</v>
      </c>
      <c r="J375" s="576">
        <f t="shared" si="10"/>
        <v>94.189419999999998</v>
      </c>
      <c r="K375" s="576">
        <f t="shared" si="11"/>
        <v>94</v>
      </c>
    </row>
    <row r="376" spans="1:11" s="563" customFormat="1" x14ac:dyDescent="0.3">
      <c r="A376" s="574" t="s">
        <v>707</v>
      </c>
      <c r="B376" s="574" t="s">
        <v>707</v>
      </c>
      <c r="C376" s="574">
        <v>42127</v>
      </c>
      <c r="D376" s="563" t="s">
        <v>204</v>
      </c>
      <c r="E376" s="575">
        <v>0</v>
      </c>
      <c r="F376" s="575">
        <v>79849.17</v>
      </c>
      <c r="G376" s="575">
        <v>-1107.7</v>
      </c>
      <c r="H376" s="575">
        <v>78741.47</v>
      </c>
      <c r="I376" s="575">
        <v>78741.47</v>
      </c>
      <c r="J376" s="576">
        <f t="shared" si="10"/>
        <v>78.741470000000007</v>
      </c>
      <c r="K376" s="576">
        <f t="shared" si="11"/>
        <v>79</v>
      </c>
    </row>
    <row r="377" spans="1:11" s="577" customFormat="1" x14ac:dyDescent="0.3">
      <c r="A377" s="633" t="s">
        <v>708</v>
      </c>
      <c r="B377" s="633" t="s">
        <v>708</v>
      </c>
      <c r="C377" s="633">
        <v>4213</v>
      </c>
      <c r="D377" s="634" t="s">
        <v>33</v>
      </c>
      <c r="E377" s="635">
        <v>0</v>
      </c>
      <c r="F377" s="635">
        <v>2081698.63</v>
      </c>
      <c r="G377" s="635">
        <v>-23613.67</v>
      </c>
      <c r="H377" s="635">
        <v>2058084.96</v>
      </c>
      <c r="I377" s="635">
        <v>2058084.96</v>
      </c>
      <c r="J377" s="636">
        <f t="shared" si="10"/>
        <v>2058.0849600000001</v>
      </c>
      <c r="K377" s="636">
        <f t="shared" si="11"/>
        <v>2058</v>
      </c>
    </row>
    <row r="378" spans="1:11" s="577" customFormat="1" x14ac:dyDescent="0.3">
      <c r="A378" s="628" t="s">
        <v>709</v>
      </c>
      <c r="B378" s="628" t="s">
        <v>709</v>
      </c>
      <c r="C378" s="628">
        <v>42131</v>
      </c>
      <c r="D378" s="629" t="s">
        <v>171</v>
      </c>
      <c r="E378" s="630">
        <v>0</v>
      </c>
      <c r="F378" s="630">
        <v>879377.82</v>
      </c>
      <c r="G378" s="630">
        <v>-267.77999999999997</v>
      </c>
      <c r="H378" s="630">
        <v>879110.04</v>
      </c>
      <c r="I378" s="630">
        <v>879110.04</v>
      </c>
      <c r="J378" s="631">
        <f t="shared" si="10"/>
        <v>879.11004000000003</v>
      </c>
      <c r="K378" s="631">
        <f t="shared" si="11"/>
        <v>879</v>
      </c>
    </row>
    <row r="379" spans="1:11" s="563" customFormat="1" x14ac:dyDescent="0.3">
      <c r="A379" s="628" t="s">
        <v>710</v>
      </c>
      <c r="B379" s="628" t="s">
        <v>710</v>
      </c>
      <c r="C379" s="628">
        <v>42132</v>
      </c>
      <c r="D379" s="629" t="s">
        <v>205</v>
      </c>
      <c r="E379" s="630">
        <v>0</v>
      </c>
      <c r="F379" s="630">
        <v>567048.12</v>
      </c>
      <c r="G379" s="630">
        <v>-1172.73</v>
      </c>
      <c r="H379" s="630">
        <v>565875.39</v>
      </c>
      <c r="I379" s="630">
        <v>565875.39</v>
      </c>
      <c r="J379" s="631">
        <f t="shared" si="10"/>
        <v>565.87539000000004</v>
      </c>
      <c r="K379" s="631">
        <f t="shared" si="11"/>
        <v>566</v>
      </c>
    </row>
    <row r="380" spans="1:11" s="563" customFormat="1" x14ac:dyDescent="0.3">
      <c r="A380" s="628" t="s">
        <v>500</v>
      </c>
      <c r="B380" s="628" t="s">
        <v>500</v>
      </c>
      <c r="C380" s="628">
        <v>42133</v>
      </c>
      <c r="D380" s="629" t="s">
        <v>478</v>
      </c>
      <c r="E380" s="630">
        <v>0</v>
      </c>
      <c r="F380" s="630">
        <v>32815.519999999997</v>
      </c>
      <c r="G380" s="630">
        <v>-19277.41</v>
      </c>
      <c r="H380" s="630">
        <v>13538.11</v>
      </c>
      <c r="I380" s="630">
        <v>13538.11</v>
      </c>
      <c r="J380" s="631">
        <f t="shared" si="10"/>
        <v>13.538110000000001</v>
      </c>
      <c r="K380" s="631">
        <f t="shared" si="11"/>
        <v>14</v>
      </c>
    </row>
    <row r="381" spans="1:11" s="563" customFormat="1" x14ac:dyDescent="0.3">
      <c r="A381" s="628" t="s">
        <v>711</v>
      </c>
      <c r="B381" s="628" t="s">
        <v>711</v>
      </c>
      <c r="C381" s="628">
        <v>42134</v>
      </c>
      <c r="D381" s="629" t="s">
        <v>231</v>
      </c>
      <c r="E381" s="630">
        <v>0</v>
      </c>
      <c r="F381" s="630">
        <v>35100</v>
      </c>
      <c r="G381" s="630">
        <v>0</v>
      </c>
      <c r="H381" s="630">
        <v>35100</v>
      </c>
      <c r="I381" s="630">
        <v>35100</v>
      </c>
      <c r="J381" s="631">
        <f t="shared" si="10"/>
        <v>35.1</v>
      </c>
      <c r="K381" s="631">
        <f t="shared" si="11"/>
        <v>35</v>
      </c>
    </row>
    <row r="382" spans="1:11" s="563" customFormat="1" x14ac:dyDescent="0.3">
      <c r="A382" s="628" t="s">
        <v>712</v>
      </c>
      <c r="B382" s="628" t="s">
        <v>712</v>
      </c>
      <c r="C382" s="628">
        <v>42135</v>
      </c>
      <c r="D382" s="629" t="s">
        <v>206</v>
      </c>
      <c r="E382" s="630">
        <v>0</v>
      </c>
      <c r="F382" s="630">
        <v>118438.47</v>
      </c>
      <c r="G382" s="630">
        <v>0</v>
      </c>
      <c r="H382" s="630">
        <v>118438.47</v>
      </c>
      <c r="I382" s="630">
        <v>118438.47</v>
      </c>
      <c r="J382" s="631">
        <f t="shared" si="10"/>
        <v>118.43847</v>
      </c>
      <c r="K382" s="631">
        <f t="shared" si="11"/>
        <v>118</v>
      </c>
    </row>
    <row r="383" spans="1:11" s="563" customFormat="1" x14ac:dyDescent="0.3">
      <c r="A383" s="628" t="s">
        <v>713</v>
      </c>
      <c r="B383" s="628" t="s">
        <v>713</v>
      </c>
      <c r="C383" s="628">
        <v>42136</v>
      </c>
      <c r="D383" s="629" t="s">
        <v>479</v>
      </c>
      <c r="E383" s="630">
        <v>0</v>
      </c>
      <c r="F383" s="630">
        <v>359455.83</v>
      </c>
      <c r="G383" s="630">
        <v>-1317.75</v>
      </c>
      <c r="H383" s="630">
        <v>358138.08</v>
      </c>
      <c r="I383" s="630">
        <v>358138.08</v>
      </c>
      <c r="J383" s="631">
        <f t="shared" si="10"/>
        <v>358.13808</v>
      </c>
      <c r="K383" s="631">
        <f t="shared" si="11"/>
        <v>358</v>
      </c>
    </row>
    <row r="384" spans="1:11" s="563" customFormat="1" x14ac:dyDescent="0.3">
      <c r="A384" s="628" t="s">
        <v>714</v>
      </c>
      <c r="B384" s="628" t="s">
        <v>714</v>
      </c>
      <c r="C384" s="628">
        <v>421310</v>
      </c>
      <c r="D384" s="629" t="s">
        <v>207</v>
      </c>
      <c r="E384" s="630">
        <v>0</v>
      </c>
      <c r="F384" s="630">
        <v>7200</v>
      </c>
      <c r="G384" s="630">
        <v>-1578</v>
      </c>
      <c r="H384" s="630">
        <v>5622</v>
      </c>
      <c r="I384" s="630">
        <v>5622</v>
      </c>
      <c r="J384" s="631">
        <f t="shared" si="10"/>
        <v>5.6219999999999999</v>
      </c>
      <c r="K384" s="631">
        <f t="shared" si="11"/>
        <v>6</v>
      </c>
    </row>
    <row r="385" spans="1:11" s="563" customFormat="1" x14ac:dyDescent="0.3">
      <c r="A385" s="628" t="s">
        <v>715</v>
      </c>
      <c r="B385" s="628" t="s">
        <v>715</v>
      </c>
      <c r="C385" s="628">
        <v>421311</v>
      </c>
      <c r="D385" s="629" t="s">
        <v>208</v>
      </c>
      <c r="E385" s="630">
        <v>0</v>
      </c>
      <c r="F385" s="630">
        <v>82262.87</v>
      </c>
      <c r="G385" s="630">
        <v>0</v>
      </c>
      <c r="H385" s="630">
        <v>82262.87</v>
      </c>
      <c r="I385" s="630">
        <v>82262.87</v>
      </c>
      <c r="J385" s="631">
        <f t="shared" si="10"/>
        <v>82.262869999999992</v>
      </c>
      <c r="K385" s="631">
        <f t="shared" si="11"/>
        <v>82</v>
      </c>
    </row>
    <row r="386" spans="1:11" s="144" customFormat="1" x14ac:dyDescent="0.3">
      <c r="A386" s="149" t="s">
        <v>716</v>
      </c>
      <c r="B386" s="149" t="s">
        <v>716</v>
      </c>
      <c r="C386" s="149">
        <v>422</v>
      </c>
      <c r="D386" s="144" t="s">
        <v>232</v>
      </c>
      <c r="E386" s="213">
        <v>0</v>
      </c>
      <c r="F386" s="213">
        <v>22920.5</v>
      </c>
      <c r="G386" s="213">
        <v>0</v>
      </c>
      <c r="H386" s="213">
        <v>22920.5</v>
      </c>
      <c r="I386" s="213">
        <v>22920.5</v>
      </c>
      <c r="J386" s="568">
        <f t="shared" si="10"/>
        <v>22.920500000000001</v>
      </c>
      <c r="K386" s="568">
        <f t="shared" si="11"/>
        <v>23</v>
      </c>
    </row>
    <row r="387" spans="1:11" s="144" customFormat="1" x14ac:dyDescent="0.3">
      <c r="A387" s="149" t="s">
        <v>717</v>
      </c>
      <c r="B387" s="149" t="s">
        <v>717</v>
      </c>
      <c r="C387" s="149">
        <v>4221</v>
      </c>
      <c r="D387" s="144" t="s">
        <v>233</v>
      </c>
      <c r="E387" s="213">
        <v>0</v>
      </c>
      <c r="F387" s="213">
        <v>22920.5</v>
      </c>
      <c r="G387" s="213">
        <v>0</v>
      </c>
      <c r="H387" s="213">
        <v>22920.5</v>
      </c>
      <c r="I387" s="213">
        <v>22920.5</v>
      </c>
      <c r="J387" s="568">
        <f t="shared" si="10"/>
        <v>22.920500000000001</v>
      </c>
      <c r="K387" s="568">
        <f t="shared" si="11"/>
        <v>23</v>
      </c>
    </row>
    <row r="388" spans="1:11" customFormat="1" x14ac:dyDescent="0.3">
      <c r="A388" s="145" t="s">
        <v>718</v>
      </c>
      <c r="B388" s="145" t="s">
        <v>718</v>
      </c>
      <c r="C388" s="145">
        <v>42211</v>
      </c>
      <c r="D388" t="s">
        <v>209</v>
      </c>
      <c r="E388" s="128">
        <v>0</v>
      </c>
      <c r="F388" s="128">
        <v>22920.5</v>
      </c>
      <c r="G388" s="128">
        <v>0</v>
      </c>
      <c r="H388" s="128">
        <v>22920.5</v>
      </c>
      <c r="I388" s="128">
        <v>22920.5</v>
      </c>
      <c r="J388" s="569">
        <f t="shared" si="10"/>
        <v>22.920500000000001</v>
      </c>
      <c r="K388" s="569">
        <f t="shared" si="11"/>
        <v>23</v>
      </c>
    </row>
    <row r="389" spans="1:11" s="577" customFormat="1" x14ac:dyDescent="0.3">
      <c r="A389" s="578" t="s">
        <v>719</v>
      </c>
      <c r="B389" s="578" t="s">
        <v>719</v>
      </c>
      <c r="C389" s="578">
        <v>423</v>
      </c>
      <c r="D389" s="577" t="s">
        <v>234</v>
      </c>
      <c r="E389" s="579">
        <v>0</v>
      </c>
      <c r="F389" s="579">
        <v>4349545.8600000003</v>
      </c>
      <c r="G389" s="579">
        <v>-100449.31</v>
      </c>
      <c r="H389" s="579">
        <v>4249096.55</v>
      </c>
      <c r="I389" s="579">
        <v>4249096.55</v>
      </c>
      <c r="J389" s="580">
        <f>I389/1000</f>
        <v>4249.0965500000002</v>
      </c>
      <c r="K389" s="580">
        <f t="shared" si="11"/>
        <v>4249</v>
      </c>
    </row>
    <row r="390" spans="1:11" s="577" customFormat="1" x14ac:dyDescent="0.3">
      <c r="A390" s="578" t="s">
        <v>720</v>
      </c>
      <c r="B390" s="578" t="s">
        <v>720</v>
      </c>
      <c r="C390" s="578">
        <v>4231</v>
      </c>
      <c r="D390" s="577" t="s">
        <v>234</v>
      </c>
      <c r="E390" s="579">
        <v>0</v>
      </c>
      <c r="F390" s="579">
        <v>4349545.8600000003</v>
      </c>
      <c r="G390" s="579">
        <v>-100449.31</v>
      </c>
      <c r="H390" s="579">
        <v>4249096.55</v>
      </c>
      <c r="I390" s="579">
        <v>4249096.55</v>
      </c>
      <c r="J390" s="580">
        <f t="shared" si="10"/>
        <v>4249.0965500000002</v>
      </c>
      <c r="K390" s="580">
        <f t="shared" si="11"/>
        <v>4249</v>
      </c>
    </row>
    <row r="391" spans="1:11" s="563" customFormat="1" x14ac:dyDescent="0.3">
      <c r="A391" s="574" t="s">
        <v>721</v>
      </c>
      <c r="B391" s="574" t="s">
        <v>721</v>
      </c>
      <c r="C391" s="574">
        <v>42311</v>
      </c>
      <c r="D391" s="563" t="s">
        <v>210</v>
      </c>
      <c r="E391" s="575">
        <v>0</v>
      </c>
      <c r="F391" s="575">
        <v>334441.59999999998</v>
      </c>
      <c r="G391" s="575">
        <v>0</v>
      </c>
      <c r="H391" s="575">
        <v>334441.59999999998</v>
      </c>
      <c r="I391" s="575">
        <v>334441.59999999998</v>
      </c>
      <c r="J391" s="576">
        <f t="shared" si="10"/>
        <v>334.44159999999999</v>
      </c>
      <c r="K391" s="576">
        <f t="shared" si="11"/>
        <v>334</v>
      </c>
    </row>
    <row r="392" spans="1:11" s="563" customFormat="1" x14ac:dyDescent="0.3">
      <c r="A392" s="574" t="s">
        <v>722</v>
      </c>
      <c r="B392" s="574" t="s">
        <v>722</v>
      </c>
      <c r="C392" s="574">
        <v>42312</v>
      </c>
      <c r="D392" s="563" t="s">
        <v>485</v>
      </c>
      <c r="E392" s="575">
        <v>0</v>
      </c>
      <c r="F392" s="575">
        <v>1284090.1000000001</v>
      </c>
      <c r="G392" s="575">
        <v>-70361.899999999994</v>
      </c>
      <c r="H392" s="575">
        <v>1213728.2</v>
      </c>
      <c r="I392" s="575">
        <v>1213728.2</v>
      </c>
      <c r="J392" s="576">
        <f t="shared" si="10"/>
        <v>1213.7282</v>
      </c>
      <c r="K392" s="576">
        <f t="shared" si="11"/>
        <v>1214</v>
      </c>
    </row>
    <row r="393" spans="1:11" s="563" customFormat="1" x14ac:dyDescent="0.3">
      <c r="A393" s="574" t="s">
        <v>723</v>
      </c>
      <c r="B393" s="574" t="s">
        <v>723</v>
      </c>
      <c r="C393" s="574">
        <v>42313</v>
      </c>
      <c r="D393" s="563" t="s">
        <v>211</v>
      </c>
      <c r="E393" s="575">
        <v>0</v>
      </c>
      <c r="F393" s="575">
        <v>237873.06</v>
      </c>
      <c r="G393" s="575">
        <v>0</v>
      </c>
      <c r="H393" s="575">
        <v>237873.06</v>
      </c>
      <c r="I393" s="575">
        <v>237873.06</v>
      </c>
      <c r="J393" s="576">
        <f t="shared" ref="J393:J456" si="12">I393/1000</f>
        <v>237.87306000000001</v>
      </c>
      <c r="K393" s="576">
        <f t="shared" ref="K393:K456" si="13">ROUND(J393,0)</f>
        <v>238</v>
      </c>
    </row>
    <row r="394" spans="1:11" s="563" customFormat="1" x14ac:dyDescent="0.3">
      <c r="A394" s="574" t="s">
        <v>724</v>
      </c>
      <c r="B394" s="574" t="s">
        <v>724</v>
      </c>
      <c r="C394" s="574">
        <v>42315</v>
      </c>
      <c r="D394" s="563" t="s">
        <v>212</v>
      </c>
      <c r="E394" s="575">
        <v>0</v>
      </c>
      <c r="F394" s="575">
        <v>385601.58</v>
      </c>
      <c r="G394" s="575">
        <v>-13296.16</v>
      </c>
      <c r="H394" s="575">
        <v>372305.42</v>
      </c>
      <c r="I394" s="575">
        <v>372305.42</v>
      </c>
      <c r="J394" s="576">
        <f t="shared" si="12"/>
        <v>372.30541999999997</v>
      </c>
      <c r="K394" s="576">
        <f t="shared" si="13"/>
        <v>372</v>
      </c>
    </row>
    <row r="395" spans="1:11" s="577" customFormat="1" x14ac:dyDescent="0.3">
      <c r="A395" s="574" t="s">
        <v>725</v>
      </c>
      <c r="B395" s="574" t="s">
        <v>725</v>
      </c>
      <c r="C395" s="574">
        <v>42316</v>
      </c>
      <c r="D395" s="563" t="s">
        <v>486</v>
      </c>
      <c r="E395" s="575">
        <v>0</v>
      </c>
      <c r="F395" s="575">
        <v>23556</v>
      </c>
      <c r="G395" s="575">
        <v>0</v>
      </c>
      <c r="H395" s="575">
        <v>23556</v>
      </c>
      <c r="I395" s="575">
        <v>23556</v>
      </c>
      <c r="J395" s="576">
        <f t="shared" si="12"/>
        <v>23.556000000000001</v>
      </c>
      <c r="K395" s="576">
        <f t="shared" si="13"/>
        <v>24</v>
      </c>
    </row>
    <row r="396" spans="1:11" s="577" customFormat="1" x14ac:dyDescent="0.3">
      <c r="A396" s="574" t="s">
        <v>726</v>
      </c>
      <c r="B396" s="574" t="s">
        <v>726</v>
      </c>
      <c r="C396" s="574">
        <v>42317</v>
      </c>
      <c r="D396" s="563" t="s">
        <v>501</v>
      </c>
      <c r="E396" s="575">
        <v>0</v>
      </c>
      <c r="F396" s="575">
        <v>222986.46</v>
      </c>
      <c r="G396" s="575">
        <v>-14496</v>
      </c>
      <c r="H396" s="575">
        <v>208490.46</v>
      </c>
      <c r="I396" s="575">
        <v>208490.46</v>
      </c>
      <c r="J396" s="576">
        <f t="shared" si="12"/>
        <v>208.49045999999998</v>
      </c>
      <c r="K396" s="576">
        <f t="shared" si="13"/>
        <v>208</v>
      </c>
    </row>
    <row r="397" spans="1:11" s="577" customFormat="1" x14ac:dyDescent="0.3">
      <c r="A397" s="574" t="s">
        <v>727</v>
      </c>
      <c r="B397" s="574" t="s">
        <v>727</v>
      </c>
      <c r="C397" s="574">
        <v>42318</v>
      </c>
      <c r="D397" s="563" t="s">
        <v>235</v>
      </c>
      <c r="E397" s="575">
        <v>0</v>
      </c>
      <c r="F397" s="575">
        <v>160242.81</v>
      </c>
      <c r="G397" s="575">
        <v>0</v>
      </c>
      <c r="H397" s="575">
        <v>160242.81</v>
      </c>
      <c r="I397" s="575">
        <v>160242.81</v>
      </c>
      <c r="J397" s="576">
        <f t="shared" si="12"/>
        <v>160.24280999999999</v>
      </c>
      <c r="K397" s="576">
        <f t="shared" si="13"/>
        <v>160</v>
      </c>
    </row>
    <row r="398" spans="1:11" s="563" customFormat="1" x14ac:dyDescent="0.3">
      <c r="A398" s="574" t="s">
        <v>502</v>
      </c>
      <c r="B398" s="574" t="s">
        <v>502</v>
      </c>
      <c r="C398" s="574">
        <v>423113</v>
      </c>
      <c r="D398" s="563" t="s">
        <v>487</v>
      </c>
      <c r="E398" s="575">
        <v>0</v>
      </c>
      <c r="F398" s="575">
        <v>166391.85</v>
      </c>
      <c r="G398" s="575">
        <v>0</v>
      </c>
      <c r="H398" s="575">
        <v>166391.85</v>
      </c>
      <c r="I398" s="575">
        <v>166391.85</v>
      </c>
      <c r="J398" s="576">
        <f t="shared" si="12"/>
        <v>166.39185000000001</v>
      </c>
      <c r="K398" s="576">
        <f t="shared" si="13"/>
        <v>166</v>
      </c>
    </row>
    <row r="399" spans="1:11" s="563" customFormat="1" x14ac:dyDescent="0.3">
      <c r="A399" s="574" t="s">
        <v>728</v>
      </c>
      <c r="B399" s="574" t="s">
        <v>728</v>
      </c>
      <c r="C399" s="574">
        <v>423114</v>
      </c>
      <c r="D399" s="563" t="s">
        <v>503</v>
      </c>
      <c r="E399" s="575">
        <v>0</v>
      </c>
      <c r="F399" s="575">
        <v>1206309.3899999999</v>
      </c>
      <c r="G399" s="575">
        <v>-2295.25</v>
      </c>
      <c r="H399" s="575">
        <v>1204014.1399999999</v>
      </c>
      <c r="I399" s="575">
        <v>1204014.1399999999</v>
      </c>
      <c r="J399" s="576">
        <f t="shared" si="12"/>
        <v>1204.01414</v>
      </c>
      <c r="K399" s="576">
        <f t="shared" si="13"/>
        <v>1204</v>
      </c>
    </row>
    <row r="400" spans="1:11" s="563" customFormat="1" x14ac:dyDescent="0.3">
      <c r="A400" s="574" t="s">
        <v>1248</v>
      </c>
      <c r="B400" s="574" t="s">
        <v>1248</v>
      </c>
      <c r="C400" s="574">
        <v>423115</v>
      </c>
      <c r="D400" s="563" t="s">
        <v>1249</v>
      </c>
      <c r="E400" s="575">
        <v>0</v>
      </c>
      <c r="F400" s="575">
        <v>36000</v>
      </c>
      <c r="G400" s="575">
        <v>0</v>
      </c>
      <c r="H400" s="575">
        <v>36000</v>
      </c>
      <c r="I400" s="575">
        <v>36000</v>
      </c>
      <c r="J400" s="576">
        <f t="shared" si="12"/>
        <v>36</v>
      </c>
      <c r="K400" s="576">
        <f t="shared" si="13"/>
        <v>36</v>
      </c>
    </row>
    <row r="401" spans="1:11" s="563" customFormat="1" x14ac:dyDescent="0.3">
      <c r="A401" s="574" t="s">
        <v>729</v>
      </c>
      <c r="B401" s="574" t="s">
        <v>729</v>
      </c>
      <c r="C401" s="574">
        <v>423117</v>
      </c>
      <c r="D401" s="563" t="s">
        <v>236</v>
      </c>
      <c r="E401" s="575">
        <v>0</v>
      </c>
      <c r="F401" s="575">
        <v>259949.99</v>
      </c>
      <c r="G401" s="575">
        <v>0</v>
      </c>
      <c r="H401" s="575">
        <v>259949.99</v>
      </c>
      <c r="I401" s="575">
        <v>259949.99</v>
      </c>
      <c r="J401" s="576">
        <f t="shared" si="12"/>
        <v>259.94999000000001</v>
      </c>
      <c r="K401" s="576">
        <f t="shared" si="13"/>
        <v>260</v>
      </c>
    </row>
    <row r="402" spans="1:11" s="563" customFormat="1" x14ac:dyDescent="0.3">
      <c r="A402" s="574" t="s">
        <v>730</v>
      </c>
      <c r="B402" s="574" t="s">
        <v>730</v>
      </c>
      <c r="C402" s="574">
        <v>423119</v>
      </c>
      <c r="D402" s="563" t="s">
        <v>237</v>
      </c>
      <c r="E402" s="575">
        <v>0</v>
      </c>
      <c r="F402" s="575">
        <v>32103.02</v>
      </c>
      <c r="G402" s="575">
        <v>0</v>
      </c>
      <c r="H402" s="575">
        <v>32103.02</v>
      </c>
      <c r="I402" s="575">
        <v>32103.02</v>
      </c>
      <c r="J402" s="576">
        <f t="shared" si="12"/>
        <v>32.103020000000001</v>
      </c>
      <c r="K402" s="576">
        <f t="shared" si="13"/>
        <v>32</v>
      </c>
    </row>
    <row r="403" spans="1:11" s="144" customFormat="1" x14ac:dyDescent="0.3">
      <c r="A403" s="149" t="s">
        <v>731</v>
      </c>
      <c r="B403" s="149" t="s">
        <v>731</v>
      </c>
      <c r="C403" s="149">
        <v>424</v>
      </c>
      <c r="D403" s="144" t="s">
        <v>238</v>
      </c>
      <c r="E403" s="213">
        <v>0</v>
      </c>
      <c r="F403" s="213">
        <v>515875.68</v>
      </c>
      <c r="G403" s="213">
        <v>0</v>
      </c>
      <c r="H403" s="213">
        <v>515875.68</v>
      </c>
      <c r="I403" s="213">
        <v>515875.68</v>
      </c>
      <c r="J403" s="568">
        <f t="shared" si="12"/>
        <v>515.87567999999999</v>
      </c>
      <c r="K403" s="568">
        <f t="shared" si="13"/>
        <v>516</v>
      </c>
    </row>
    <row r="404" spans="1:11" s="144" customFormat="1" x14ac:dyDescent="0.3">
      <c r="A404" s="149" t="s">
        <v>732</v>
      </c>
      <c r="B404" s="149" t="s">
        <v>732</v>
      </c>
      <c r="C404" s="149">
        <v>4241</v>
      </c>
      <c r="D404" s="144" t="s">
        <v>504</v>
      </c>
      <c r="E404" s="213">
        <v>0</v>
      </c>
      <c r="F404" s="213">
        <v>515875.68</v>
      </c>
      <c r="G404" s="213">
        <v>0</v>
      </c>
      <c r="H404" s="213">
        <v>515875.68</v>
      </c>
      <c r="I404" s="213">
        <v>515875.68</v>
      </c>
      <c r="J404" s="568">
        <f t="shared" si="12"/>
        <v>515.87567999999999</v>
      </c>
      <c r="K404" s="568">
        <f t="shared" si="13"/>
        <v>516</v>
      </c>
    </row>
    <row r="405" spans="1:11" customFormat="1" x14ac:dyDescent="0.3">
      <c r="A405" s="145" t="s">
        <v>733</v>
      </c>
      <c r="B405" s="145" t="s">
        <v>733</v>
      </c>
      <c r="C405" s="145">
        <v>42412</v>
      </c>
      <c r="D405" t="s">
        <v>216</v>
      </c>
      <c r="E405" s="128">
        <v>0</v>
      </c>
      <c r="F405" s="128">
        <v>97873.64</v>
      </c>
      <c r="G405" s="128">
        <v>0</v>
      </c>
      <c r="H405" s="128">
        <v>97873.64</v>
      </c>
      <c r="I405" s="128">
        <v>97873.64</v>
      </c>
      <c r="J405" s="569">
        <f t="shared" si="12"/>
        <v>97.873639999999995</v>
      </c>
      <c r="K405" s="569">
        <f t="shared" si="13"/>
        <v>98</v>
      </c>
    </row>
    <row r="406" spans="1:11" customFormat="1" x14ac:dyDescent="0.3">
      <c r="A406" s="145" t="s">
        <v>734</v>
      </c>
      <c r="B406" s="145" t="s">
        <v>734</v>
      </c>
      <c r="C406" s="145">
        <v>42415</v>
      </c>
      <c r="D406" t="s">
        <v>239</v>
      </c>
      <c r="E406" s="128">
        <v>0</v>
      </c>
      <c r="F406" s="128">
        <v>71840.28</v>
      </c>
      <c r="G406" s="128">
        <v>0</v>
      </c>
      <c r="H406" s="128">
        <v>71840.28</v>
      </c>
      <c r="I406" s="128">
        <v>71840.28</v>
      </c>
      <c r="J406" s="569">
        <f t="shared" si="12"/>
        <v>71.840279999999993</v>
      </c>
      <c r="K406" s="569">
        <f t="shared" si="13"/>
        <v>72</v>
      </c>
    </row>
    <row r="407" spans="1:11" customFormat="1" x14ac:dyDescent="0.3">
      <c r="A407" s="145" t="s">
        <v>735</v>
      </c>
      <c r="B407" s="145" t="s">
        <v>735</v>
      </c>
      <c r="C407" s="145">
        <v>42416</v>
      </c>
      <c r="D407" t="s">
        <v>240</v>
      </c>
      <c r="E407" s="128">
        <v>0</v>
      </c>
      <c r="F407" s="128">
        <v>335796.67</v>
      </c>
      <c r="G407" s="128">
        <v>0</v>
      </c>
      <c r="H407" s="128">
        <v>335796.67</v>
      </c>
      <c r="I407" s="128">
        <v>335796.67</v>
      </c>
      <c r="J407" s="569">
        <f t="shared" si="12"/>
        <v>335.79667000000001</v>
      </c>
      <c r="K407" s="569">
        <f t="shared" si="13"/>
        <v>336</v>
      </c>
    </row>
    <row r="408" spans="1:11" customFormat="1" x14ac:dyDescent="0.3">
      <c r="A408" s="145" t="s">
        <v>736</v>
      </c>
      <c r="B408" s="145" t="s">
        <v>736</v>
      </c>
      <c r="C408" s="145">
        <v>424112</v>
      </c>
      <c r="D408" t="s">
        <v>217</v>
      </c>
      <c r="E408" s="128">
        <v>0</v>
      </c>
      <c r="F408" s="128">
        <v>10365.09</v>
      </c>
      <c r="G408" s="128">
        <v>0</v>
      </c>
      <c r="H408" s="128">
        <v>10365.09</v>
      </c>
      <c r="I408" s="128">
        <v>10365.09</v>
      </c>
      <c r="J408" s="569">
        <f t="shared" si="12"/>
        <v>10.36509</v>
      </c>
      <c r="K408" s="569">
        <f t="shared" si="13"/>
        <v>10</v>
      </c>
    </row>
    <row r="409" spans="1:11" s="144" customFormat="1" x14ac:dyDescent="0.3">
      <c r="A409" s="149" t="s">
        <v>737</v>
      </c>
      <c r="B409" s="149" t="s">
        <v>737</v>
      </c>
      <c r="C409" s="149">
        <v>425</v>
      </c>
      <c r="D409" s="144" t="s">
        <v>241</v>
      </c>
      <c r="E409" s="213">
        <v>0</v>
      </c>
      <c r="F409" s="213">
        <v>1589722.22</v>
      </c>
      <c r="G409" s="213">
        <v>-818286.5</v>
      </c>
      <c r="H409" s="213">
        <v>771435.72</v>
      </c>
      <c r="I409" s="213">
        <v>771435.72</v>
      </c>
      <c r="J409" s="568">
        <f t="shared" si="12"/>
        <v>771.43571999999995</v>
      </c>
      <c r="K409" s="568">
        <f t="shared" si="13"/>
        <v>771</v>
      </c>
    </row>
    <row r="410" spans="1:11" s="144" customFormat="1" x14ac:dyDescent="0.3">
      <c r="A410" s="149" t="s">
        <v>738</v>
      </c>
      <c r="B410" s="149" t="s">
        <v>738</v>
      </c>
      <c r="C410" s="149">
        <v>4251</v>
      </c>
      <c r="D410" s="144" t="s">
        <v>242</v>
      </c>
      <c r="E410" s="213">
        <v>0</v>
      </c>
      <c r="F410" s="213">
        <v>1116090.79</v>
      </c>
      <c r="G410" s="213">
        <v>-615232.9</v>
      </c>
      <c r="H410" s="213">
        <v>500857.89</v>
      </c>
      <c r="I410" s="213">
        <v>500857.89</v>
      </c>
      <c r="J410" s="568">
        <f t="shared" si="12"/>
        <v>500.85789</v>
      </c>
      <c r="K410" s="568">
        <f t="shared" si="13"/>
        <v>501</v>
      </c>
    </row>
    <row r="411" spans="1:11" customFormat="1" x14ac:dyDescent="0.3">
      <c r="A411" s="145" t="s">
        <v>739</v>
      </c>
      <c r="B411" s="145" t="s">
        <v>739</v>
      </c>
      <c r="C411" s="145">
        <v>42511</v>
      </c>
      <c r="D411" t="s">
        <v>243</v>
      </c>
      <c r="E411" s="128">
        <v>0</v>
      </c>
      <c r="F411" s="128">
        <v>1116090.79</v>
      </c>
      <c r="G411" s="128">
        <v>-615232.9</v>
      </c>
      <c r="H411" s="128">
        <v>500857.89</v>
      </c>
      <c r="I411" s="128">
        <v>500857.89</v>
      </c>
      <c r="J411" s="569">
        <f t="shared" si="12"/>
        <v>500.85789</v>
      </c>
      <c r="K411" s="569">
        <f t="shared" si="13"/>
        <v>501</v>
      </c>
    </row>
    <row r="412" spans="1:11" s="144" customFormat="1" x14ac:dyDescent="0.3">
      <c r="A412" s="149" t="s">
        <v>740</v>
      </c>
      <c r="B412" s="149" t="s">
        <v>740</v>
      </c>
      <c r="C412" s="149">
        <v>4252</v>
      </c>
      <c r="D412" s="144" t="s">
        <v>505</v>
      </c>
      <c r="E412" s="213">
        <v>0</v>
      </c>
      <c r="F412" s="213">
        <v>457280.54</v>
      </c>
      <c r="G412" s="213">
        <v>-203053.6</v>
      </c>
      <c r="H412" s="213">
        <v>254226.94</v>
      </c>
      <c r="I412" s="213">
        <v>254226.94</v>
      </c>
      <c r="J412" s="568">
        <f t="shared" si="12"/>
        <v>254.22694000000001</v>
      </c>
      <c r="K412" s="568">
        <f t="shared" si="13"/>
        <v>254</v>
      </c>
    </row>
    <row r="413" spans="1:11" customFormat="1" x14ac:dyDescent="0.3">
      <c r="A413" s="145" t="s">
        <v>741</v>
      </c>
      <c r="B413" s="145" t="s">
        <v>741</v>
      </c>
      <c r="C413" s="145">
        <v>42521</v>
      </c>
      <c r="D413" t="s">
        <v>244</v>
      </c>
      <c r="E413" s="128">
        <v>0</v>
      </c>
      <c r="F413" s="128">
        <v>457280.54</v>
      </c>
      <c r="G413" s="128">
        <v>-203053.6</v>
      </c>
      <c r="H413" s="128">
        <v>254226.94</v>
      </c>
      <c r="I413" s="128">
        <v>254226.94</v>
      </c>
      <c r="J413" s="569">
        <f t="shared" si="12"/>
        <v>254.22694000000001</v>
      </c>
      <c r="K413" s="569">
        <f t="shared" si="13"/>
        <v>254</v>
      </c>
    </row>
    <row r="414" spans="1:11" s="144" customFormat="1" x14ac:dyDescent="0.3">
      <c r="A414" s="149" t="s">
        <v>742</v>
      </c>
      <c r="B414" s="149" t="s">
        <v>742</v>
      </c>
      <c r="C414" s="149">
        <v>4254</v>
      </c>
      <c r="D414" s="144" t="s">
        <v>506</v>
      </c>
      <c r="E414" s="213">
        <v>0</v>
      </c>
      <c r="F414" s="213">
        <v>16350.89</v>
      </c>
      <c r="G414" s="213">
        <v>0</v>
      </c>
      <c r="H414" s="213">
        <v>16350.89</v>
      </c>
      <c r="I414" s="213">
        <v>16350.89</v>
      </c>
      <c r="J414" s="568">
        <f t="shared" si="12"/>
        <v>16.35089</v>
      </c>
      <c r="K414" s="568">
        <f t="shared" si="13"/>
        <v>16</v>
      </c>
    </row>
    <row r="415" spans="1:11" customFormat="1" x14ac:dyDescent="0.3">
      <c r="A415" s="145" t="s">
        <v>743</v>
      </c>
      <c r="B415" s="145" t="s">
        <v>743</v>
      </c>
      <c r="C415" s="145">
        <v>42541</v>
      </c>
      <c r="D415" t="s">
        <v>489</v>
      </c>
      <c r="E415" s="128">
        <v>0</v>
      </c>
      <c r="F415" s="128">
        <v>16350.89</v>
      </c>
      <c r="G415" s="128">
        <v>0</v>
      </c>
      <c r="H415" s="128">
        <v>16350.89</v>
      </c>
      <c r="I415" s="128">
        <v>16350.89</v>
      </c>
      <c r="J415" s="569">
        <f t="shared" si="12"/>
        <v>16.35089</v>
      </c>
      <c r="K415" s="569">
        <f t="shared" si="13"/>
        <v>16</v>
      </c>
    </row>
    <row r="416" spans="1:11" s="144" customFormat="1" x14ac:dyDescent="0.3">
      <c r="A416" s="149" t="s">
        <v>744</v>
      </c>
      <c r="B416" s="149" t="s">
        <v>744</v>
      </c>
      <c r="C416" s="149">
        <v>426</v>
      </c>
      <c r="D416" s="144" t="s">
        <v>245</v>
      </c>
      <c r="E416" s="213">
        <v>0</v>
      </c>
      <c r="F416" s="213">
        <v>6437469.4100000001</v>
      </c>
      <c r="G416" s="213">
        <v>-30888.61</v>
      </c>
      <c r="H416" s="213">
        <v>6406580.7999999998</v>
      </c>
      <c r="I416" s="213">
        <v>6406580.7999999998</v>
      </c>
      <c r="J416" s="568">
        <f t="shared" si="12"/>
        <v>6406.5807999999997</v>
      </c>
      <c r="K416" s="568">
        <f t="shared" si="13"/>
        <v>6407</v>
      </c>
    </row>
    <row r="417" spans="1:11" s="144" customFormat="1" x14ac:dyDescent="0.3">
      <c r="A417" s="149" t="s">
        <v>745</v>
      </c>
      <c r="B417" s="149" t="s">
        <v>745</v>
      </c>
      <c r="C417" s="149">
        <v>4261</v>
      </c>
      <c r="D417" s="144" t="s">
        <v>507</v>
      </c>
      <c r="E417" s="213">
        <v>0</v>
      </c>
      <c r="F417" s="213">
        <v>3971234.63</v>
      </c>
      <c r="G417" s="213">
        <v>-992.62</v>
      </c>
      <c r="H417" s="213">
        <v>3970242.01</v>
      </c>
      <c r="I417" s="213">
        <v>3970242.01</v>
      </c>
      <c r="J417" s="568">
        <f>I417/1000+1</f>
        <v>3971.2420099999999</v>
      </c>
      <c r="K417" s="568">
        <f t="shared" si="13"/>
        <v>3971</v>
      </c>
    </row>
    <row r="418" spans="1:11" s="563" customFormat="1" x14ac:dyDescent="0.3">
      <c r="A418" s="574" t="s">
        <v>746</v>
      </c>
      <c r="B418" s="574" t="s">
        <v>746</v>
      </c>
      <c r="C418" s="574">
        <v>42611</v>
      </c>
      <c r="D418" s="563" t="s">
        <v>219</v>
      </c>
      <c r="E418" s="575">
        <v>0</v>
      </c>
      <c r="F418" s="575">
        <v>743228</v>
      </c>
      <c r="G418" s="575">
        <v>0</v>
      </c>
      <c r="H418" s="575">
        <v>743228</v>
      </c>
      <c r="I418" s="575">
        <v>743228</v>
      </c>
      <c r="J418" s="576">
        <f t="shared" si="12"/>
        <v>743.22799999999995</v>
      </c>
      <c r="K418" s="576">
        <f t="shared" si="13"/>
        <v>743</v>
      </c>
    </row>
    <row r="419" spans="1:11" s="577" customFormat="1" x14ac:dyDescent="0.3">
      <c r="A419" s="574" t="s">
        <v>747</v>
      </c>
      <c r="B419" s="574" t="s">
        <v>747</v>
      </c>
      <c r="C419" s="574">
        <v>42613</v>
      </c>
      <c r="D419" s="563" t="s">
        <v>492</v>
      </c>
      <c r="E419" s="575">
        <v>0</v>
      </c>
      <c r="F419" s="575">
        <v>22723.67</v>
      </c>
      <c r="G419" s="575">
        <v>0</v>
      </c>
      <c r="H419" s="575">
        <v>22723.67</v>
      </c>
      <c r="I419" s="575">
        <v>22723.67</v>
      </c>
      <c r="J419" s="576">
        <f t="shared" si="12"/>
        <v>22.723669999999998</v>
      </c>
      <c r="K419" s="576">
        <f t="shared" si="13"/>
        <v>23</v>
      </c>
    </row>
    <row r="420" spans="1:11" s="577" customFormat="1" x14ac:dyDescent="0.3">
      <c r="A420" s="574" t="s">
        <v>748</v>
      </c>
      <c r="B420" s="574" t="s">
        <v>748</v>
      </c>
      <c r="C420" s="574">
        <v>42614</v>
      </c>
      <c r="D420" s="563" t="s">
        <v>220</v>
      </c>
      <c r="E420" s="575">
        <v>0</v>
      </c>
      <c r="F420" s="575">
        <v>186965.7</v>
      </c>
      <c r="G420" s="575">
        <v>0</v>
      </c>
      <c r="H420" s="575">
        <v>186965.7</v>
      </c>
      <c r="I420" s="575">
        <v>186965.7</v>
      </c>
      <c r="J420" s="576">
        <f t="shared" si="12"/>
        <v>186.9657</v>
      </c>
      <c r="K420" s="576">
        <f t="shared" si="13"/>
        <v>187</v>
      </c>
    </row>
    <row r="421" spans="1:11" s="563" customFormat="1" x14ac:dyDescent="0.3">
      <c r="A421" s="574" t="s">
        <v>749</v>
      </c>
      <c r="B421" s="574" t="s">
        <v>749</v>
      </c>
      <c r="C421" s="574">
        <v>42616</v>
      </c>
      <c r="D421" s="563" t="s">
        <v>221</v>
      </c>
      <c r="E421" s="575">
        <v>0</v>
      </c>
      <c r="F421" s="575">
        <v>6595.81</v>
      </c>
      <c r="G421" s="575">
        <v>-992.62</v>
      </c>
      <c r="H421" s="575">
        <v>5603.19</v>
      </c>
      <c r="I421" s="575">
        <v>5603.19</v>
      </c>
      <c r="J421" s="576">
        <f t="shared" si="12"/>
        <v>5.6031899999999997</v>
      </c>
      <c r="K421" s="576">
        <f t="shared" si="13"/>
        <v>6</v>
      </c>
    </row>
    <row r="422" spans="1:11" s="563" customFormat="1" x14ac:dyDescent="0.3">
      <c r="A422" s="574" t="s">
        <v>750</v>
      </c>
      <c r="B422" s="574" t="s">
        <v>750</v>
      </c>
      <c r="C422" s="574">
        <v>42617</v>
      </c>
      <c r="D422" s="563" t="s">
        <v>222</v>
      </c>
      <c r="E422" s="575">
        <v>0</v>
      </c>
      <c r="F422" s="575">
        <v>1693.06</v>
      </c>
      <c r="G422" s="575">
        <v>0</v>
      </c>
      <c r="H422" s="575">
        <v>1693.06</v>
      </c>
      <c r="I422" s="575">
        <v>1693.06</v>
      </c>
      <c r="J422" s="576">
        <f t="shared" si="12"/>
        <v>1.69306</v>
      </c>
      <c r="K422" s="576">
        <f t="shared" si="13"/>
        <v>2</v>
      </c>
    </row>
    <row r="423" spans="1:11" s="563" customFormat="1" x14ac:dyDescent="0.3">
      <c r="A423" s="574" t="s">
        <v>1250</v>
      </c>
      <c r="B423" s="574" t="s">
        <v>1250</v>
      </c>
      <c r="C423" s="574">
        <v>426110</v>
      </c>
      <c r="D423" s="563" t="s">
        <v>1361</v>
      </c>
      <c r="E423" s="575">
        <v>0</v>
      </c>
      <c r="F423" s="575">
        <v>273.52999999999997</v>
      </c>
      <c r="G423" s="575">
        <v>0</v>
      </c>
      <c r="H423" s="575">
        <v>273.52999999999997</v>
      </c>
      <c r="I423" s="575">
        <v>273.52999999999997</v>
      </c>
      <c r="J423" s="576">
        <f t="shared" si="12"/>
        <v>0.27353</v>
      </c>
      <c r="K423" s="576">
        <f t="shared" si="13"/>
        <v>0</v>
      </c>
    </row>
    <row r="424" spans="1:11" s="563" customFormat="1" x14ac:dyDescent="0.3">
      <c r="A424" s="628" t="s">
        <v>751</v>
      </c>
      <c r="B424" s="628" t="s">
        <v>751</v>
      </c>
      <c r="C424" s="628">
        <v>426111</v>
      </c>
      <c r="D424" s="629" t="s">
        <v>62</v>
      </c>
      <c r="E424" s="630">
        <v>0</v>
      </c>
      <c r="F424" s="630">
        <v>2420628.5</v>
      </c>
      <c r="G424" s="630">
        <v>0</v>
      </c>
      <c r="H424" s="630">
        <v>2420628.5</v>
      </c>
      <c r="I424" s="630">
        <v>2420628.5</v>
      </c>
      <c r="J424" s="631">
        <f t="shared" si="12"/>
        <v>2420.6284999999998</v>
      </c>
      <c r="K424" s="631">
        <f t="shared" si="13"/>
        <v>2421</v>
      </c>
    </row>
    <row r="425" spans="1:11" s="563" customFormat="1" x14ac:dyDescent="0.3">
      <c r="A425" s="574" t="s">
        <v>508</v>
      </c>
      <c r="B425" s="574" t="s">
        <v>508</v>
      </c>
      <c r="C425" s="574">
        <v>426112</v>
      </c>
      <c r="D425" s="563" t="s">
        <v>494</v>
      </c>
      <c r="E425" s="575">
        <v>0</v>
      </c>
      <c r="F425" s="575">
        <v>29968.31</v>
      </c>
      <c r="G425" s="575">
        <v>0</v>
      </c>
      <c r="H425" s="575">
        <v>29968.31</v>
      </c>
      <c r="I425" s="575">
        <v>29968.31</v>
      </c>
      <c r="J425" s="576">
        <f t="shared" si="12"/>
        <v>29.968310000000002</v>
      </c>
      <c r="K425" s="576">
        <f t="shared" si="13"/>
        <v>30</v>
      </c>
    </row>
    <row r="426" spans="1:11" s="563" customFormat="1" x14ac:dyDescent="0.3">
      <c r="A426" s="574" t="s">
        <v>752</v>
      </c>
      <c r="B426" s="574" t="s">
        <v>752</v>
      </c>
      <c r="C426" s="574">
        <v>426114</v>
      </c>
      <c r="D426" s="563" t="s">
        <v>223</v>
      </c>
      <c r="E426" s="575">
        <v>0</v>
      </c>
      <c r="F426" s="575">
        <v>174150.2</v>
      </c>
      <c r="G426" s="575">
        <v>0</v>
      </c>
      <c r="H426" s="575">
        <v>174150.2</v>
      </c>
      <c r="I426" s="575">
        <v>174150.2</v>
      </c>
      <c r="J426" s="576">
        <f t="shared" si="12"/>
        <v>174.15020000000001</v>
      </c>
      <c r="K426" s="576">
        <f t="shared" si="13"/>
        <v>174</v>
      </c>
    </row>
    <row r="427" spans="1:11" s="563" customFormat="1" x14ac:dyDescent="0.3">
      <c r="A427" s="574" t="s">
        <v>753</v>
      </c>
      <c r="B427" s="574" t="s">
        <v>753</v>
      </c>
      <c r="C427" s="574">
        <v>426116</v>
      </c>
      <c r="D427" s="563" t="s">
        <v>224</v>
      </c>
      <c r="E427" s="575">
        <v>0</v>
      </c>
      <c r="F427" s="575">
        <v>279439.53000000003</v>
      </c>
      <c r="G427" s="575">
        <v>0</v>
      </c>
      <c r="H427" s="575">
        <v>279439.53000000003</v>
      </c>
      <c r="I427" s="575">
        <v>279439.53000000003</v>
      </c>
      <c r="J427" s="576">
        <f t="shared" si="12"/>
        <v>279.43953000000005</v>
      </c>
      <c r="K427" s="576">
        <f t="shared" si="13"/>
        <v>279</v>
      </c>
    </row>
    <row r="428" spans="1:11" s="563" customFormat="1" x14ac:dyDescent="0.3">
      <c r="A428" s="574" t="s">
        <v>754</v>
      </c>
      <c r="B428" s="574" t="s">
        <v>754</v>
      </c>
      <c r="C428" s="574">
        <v>426117</v>
      </c>
      <c r="D428" s="563" t="s">
        <v>246</v>
      </c>
      <c r="E428" s="575">
        <v>0</v>
      </c>
      <c r="F428" s="575">
        <v>105568.32000000001</v>
      </c>
      <c r="G428" s="575">
        <v>0</v>
      </c>
      <c r="H428" s="575">
        <v>105568.32000000001</v>
      </c>
      <c r="I428" s="575">
        <v>105568.32000000001</v>
      </c>
      <c r="J428" s="576">
        <f t="shared" si="12"/>
        <v>105.56832</v>
      </c>
      <c r="K428" s="576">
        <f t="shared" si="13"/>
        <v>106</v>
      </c>
    </row>
    <row r="429" spans="1:11" s="144" customFormat="1" x14ac:dyDescent="0.3">
      <c r="A429" s="149" t="s">
        <v>755</v>
      </c>
      <c r="B429" s="149" t="s">
        <v>755</v>
      </c>
      <c r="C429" s="149">
        <v>4262</v>
      </c>
      <c r="D429" s="144" t="s">
        <v>247</v>
      </c>
      <c r="E429" s="213">
        <v>0</v>
      </c>
      <c r="F429" s="213">
        <v>2466234.7799999998</v>
      </c>
      <c r="G429" s="213">
        <v>-29895.99</v>
      </c>
      <c r="H429" s="213">
        <v>2436338.79</v>
      </c>
      <c r="I429" s="213">
        <v>2436338.79</v>
      </c>
      <c r="J429" s="568">
        <f>I429/1000+2</f>
        <v>2438.3387900000002</v>
      </c>
      <c r="K429" s="568">
        <f t="shared" si="13"/>
        <v>2438</v>
      </c>
    </row>
    <row r="430" spans="1:11" customFormat="1" x14ac:dyDescent="0.3">
      <c r="A430" s="145" t="s">
        <v>756</v>
      </c>
      <c r="B430" s="145" t="s">
        <v>756</v>
      </c>
      <c r="C430" s="145">
        <v>42621</v>
      </c>
      <c r="D430" t="s">
        <v>226</v>
      </c>
      <c r="E430" s="128">
        <v>0</v>
      </c>
      <c r="F430" s="128">
        <v>378259.25</v>
      </c>
      <c r="G430" s="128">
        <v>0</v>
      </c>
      <c r="H430" s="128">
        <v>378259.25</v>
      </c>
      <c r="I430" s="128">
        <v>378259.25</v>
      </c>
      <c r="J430" s="569">
        <f t="shared" si="12"/>
        <v>378.25925000000001</v>
      </c>
      <c r="K430" s="576">
        <f t="shared" si="13"/>
        <v>378</v>
      </c>
    </row>
    <row r="431" spans="1:11" customFormat="1" x14ac:dyDescent="0.3">
      <c r="A431" s="145" t="s">
        <v>757</v>
      </c>
      <c r="B431" s="145" t="s">
        <v>757</v>
      </c>
      <c r="C431" s="145">
        <v>42622</v>
      </c>
      <c r="D431" t="s">
        <v>495</v>
      </c>
      <c r="E431" s="128">
        <v>0</v>
      </c>
      <c r="F431" s="128">
        <v>283611.34999999998</v>
      </c>
      <c r="G431" s="128">
        <v>-52.94</v>
      </c>
      <c r="H431" s="128">
        <v>283558.40999999997</v>
      </c>
      <c r="I431" s="128">
        <v>283558.40999999997</v>
      </c>
      <c r="J431" s="569">
        <f t="shared" si="12"/>
        <v>283.55840999999998</v>
      </c>
      <c r="K431" s="576">
        <f t="shared" si="13"/>
        <v>284</v>
      </c>
    </row>
    <row r="432" spans="1:11" customFormat="1" x14ac:dyDescent="0.3">
      <c r="A432" s="145" t="s">
        <v>758</v>
      </c>
      <c r="B432" s="145" t="s">
        <v>758</v>
      </c>
      <c r="C432" s="145">
        <v>42624</v>
      </c>
      <c r="D432" t="s">
        <v>509</v>
      </c>
      <c r="E432" s="128">
        <v>0</v>
      </c>
      <c r="F432" s="128">
        <v>260865.53</v>
      </c>
      <c r="G432" s="128">
        <v>0</v>
      </c>
      <c r="H432" s="128">
        <v>260865.53</v>
      </c>
      <c r="I432" s="128">
        <v>260865.53</v>
      </c>
      <c r="J432" s="569">
        <f t="shared" si="12"/>
        <v>260.86552999999998</v>
      </c>
      <c r="K432" s="576">
        <f t="shared" si="13"/>
        <v>261</v>
      </c>
    </row>
    <row r="433" spans="1:11" s="626" customFormat="1" x14ac:dyDescent="0.3">
      <c r="A433" s="637" t="s">
        <v>759</v>
      </c>
      <c r="B433" s="637" t="s">
        <v>759</v>
      </c>
      <c r="C433" s="637">
        <v>42625</v>
      </c>
      <c r="D433" s="626" t="s">
        <v>510</v>
      </c>
      <c r="E433" s="638">
        <v>0</v>
      </c>
      <c r="F433" s="638">
        <v>11628.27</v>
      </c>
      <c r="G433" s="638">
        <v>0</v>
      </c>
      <c r="H433" s="638">
        <v>11628.27</v>
      </c>
      <c r="I433" s="638">
        <v>11628.27</v>
      </c>
      <c r="J433" s="639">
        <f t="shared" si="12"/>
        <v>11.628270000000001</v>
      </c>
      <c r="K433" s="643">
        <f>ROUND(J433,0)</f>
        <v>12</v>
      </c>
    </row>
    <row r="434" spans="1:11" customFormat="1" x14ac:dyDescent="0.3">
      <c r="A434" s="145" t="s">
        <v>760</v>
      </c>
      <c r="B434" s="145" t="s">
        <v>760</v>
      </c>
      <c r="C434" s="145">
        <v>42626</v>
      </c>
      <c r="D434" t="s">
        <v>248</v>
      </c>
      <c r="E434" s="128">
        <v>0</v>
      </c>
      <c r="F434" s="128">
        <v>104927.67</v>
      </c>
      <c r="G434" s="128">
        <v>-19175.89</v>
      </c>
      <c r="H434" s="128">
        <v>85751.78</v>
      </c>
      <c r="I434" s="128">
        <v>85751.78</v>
      </c>
      <c r="J434" s="569">
        <f t="shared" si="12"/>
        <v>85.751779999999997</v>
      </c>
      <c r="K434" s="576">
        <f t="shared" si="13"/>
        <v>86</v>
      </c>
    </row>
    <row r="435" spans="1:11" customFormat="1" x14ac:dyDescent="0.3">
      <c r="A435" s="145" t="s">
        <v>761</v>
      </c>
      <c r="B435" s="145" t="s">
        <v>761</v>
      </c>
      <c r="C435" s="145">
        <v>42627</v>
      </c>
      <c r="D435" t="s">
        <v>511</v>
      </c>
      <c r="E435" s="128">
        <v>0</v>
      </c>
      <c r="F435" s="128">
        <v>1116570.92</v>
      </c>
      <c r="G435" s="128">
        <v>0</v>
      </c>
      <c r="H435" s="128">
        <v>1116570.92</v>
      </c>
      <c r="I435" s="128">
        <v>1116570.92</v>
      </c>
      <c r="J435" s="569">
        <f t="shared" si="12"/>
        <v>1116.5709199999999</v>
      </c>
      <c r="K435" s="569">
        <f t="shared" si="13"/>
        <v>1117</v>
      </c>
    </row>
    <row r="436" spans="1:11" customFormat="1" x14ac:dyDescent="0.3">
      <c r="A436" s="145" t="s">
        <v>762</v>
      </c>
      <c r="B436" s="145" t="s">
        <v>762</v>
      </c>
      <c r="C436" s="145">
        <v>42629</v>
      </c>
      <c r="D436" t="s">
        <v>249</v>
      </c>
      <c r="E436" s="128">
        <v>0</v>
      </c>
      <c r="F436" s="128">
        <v>9340.24</v>
      </c>
      <c r="G436" s="128">
        <v>0</v>
      </c>
      <c r="H436" s="128">
        <v>9340.24</v>
      </c>
      <c r="I436" s="128">
        <v>9340.24</v>
      </c>
      <c r="J436" s="569">
        <f t="shared" si="12"/>
        <v>9.3402399999999997</v>
      </c>
      <c r="K436" s="576">
        <f t="shared" si="13"/>
        <v>9</v>
      </c>
    </row>
    <row r="437" spans="1:11" customFormat="1" x14ac:dyDescent="0.3">
      <c r="A437" s="145" t="s">
        <v>763</v>
      </c>
      <c r="B437" s="145" t="s">
        <v>763</v>
      </c>
      <c r="C437" s="145">
        <v>426210</v>
      </c>
      <c r="D437" t="s">
        <v>512</v>
      </c>
      <c r="E437" s="128">
        <v>0</v>
      </c>
      <c r="F437" s="128">
        <v>49751.13</v>
      </c>
      <c r="G437" s="128">
        <v>-5686.66</v>
      </c>
      <c r="H437" s="128">
        <v>44064.47</v>
      </c>
      <c r="I437" s="128">
        <v>44064.47</v>
      </c>
      <c r="J437" s="569">
        <f t="shared" si="12"/>
        <v>44.06447</v>
      </c>
      <c r="K437" s="576">
        <f t="shared" si="13"/>
        <v>44</v>
      </c>
    </row>
    <row r="438" spans="1:11" customFormat="1" x14ac:dyDescent="0.3">
      <c r="A438" s="145" t="s">
        <v>764</v>
      </c>
      <c r="B438" s="145" t="s">
        <v>764</v>
      </c>
      <c r="C438" s="145">
        <v>426213</v>
      </c>
      <c r="D438" t="s">
        <v>250</v>
      </c>
      <c r="E438" s="128">
        <v>0</v>
      </c>
      <c r="F438" s="128">
        <v>4980.5</v>
      </c>
      <c r="G438" s="128">
        <v>-4980.5</v>
      </c>
      <c r="H438" s="128">
        <v>0</v>
      </c>
      <c r="I438" s="128">
        <v>0</v>
      </c>
      <c r="J438" s="569">
        <f t="shared" si="12"/>
        <v>0</v>
      </c>
      <c r="K438" s="569">
        <f t="shared" si="13"/>
        <v>0</v>
      </c>
    </row>
    <row r="439" spans="1:11" customFormat="1" x14ac:dyDescent="0.3">
      <c r="A439" s="145" t="s">
        <v>765</v>
      </c>
      <c r="B439" s="145" t="s">
        <v>765</v>
      </c>
      <c r="C439" s="145">
        <v>426214</v>
      </c>
      <c r="D439" t="s">
        <v>513</v>
      </c>
      <c r="E439" s="128">
        <v>0</v>
      </c>
      <c r="F439" s="128">
        <v>100710.9</v>
      </c>
      <c r="G439" s="128">
        <v>0</v>
      </c>
      <c r="H439" s="128">
        <v>100710.9</v>
      </c>
      <c r="I439" s="128">
        <v>100710.9</v>
      </c>
      <c r="J439" s="569">
        <f t="shared" si="12"/>
        <v>100.7109</v>
      </c>
      <c r="K439" s="576">
        <f t="shared" si="13"/>
        <v>101</v>
      </c>
    </row>
    <row r="440" spans="1:11" x14ac:dyDescent="0.3">
      <c r="A440" s="145" t="s">
        <v>766</v>
      </c>
      <c r="B440" s="145" t="s">
        <v>766</v>
      </c>
      <c r="C440" s="145">
        <v>426215</v>
      </c>
      <c r="D440" t="s">
        <v>251</v>
      </c>
      <c r="E440" s="128">
        <v>0</v>
      </c>
      <c r="F440" s="128">
        <v>145589.01999999999</v>
      </c>
      <c r="G440" s="128">
        <v>0</v>
      </c>
      <c r="H440" s="128">
        <v>145589.01999999999</v>
      </c>
      <c r="I440" s="128">
        <v>145589.01999999999</v>
      </c>
      <c r="J440" s="569">
        <f t="shared" si="12"/>
        <v>145.58901999999998</v>
      </c>
      <c r="K440" s="576">
        <f t="shared" si="13"/>
        <v>146</v>
      </c>
    </row>
    <row r="441" spans="1:11" s="143" customFormat="1" x14ac:dyDescent="0.3">
      <c r="A441" s="149" t="s">
        <v>767</v>
      </c>
      <c r="B441" s="149" t="s">
        <v>767</v>
      </c>
      <c r="C441" s="149">
        <v>427</v>
      </c>
      <c r="D441" s="144" t="s">
        <v>45</v>
      </c>
      <c r="E441" s="213">
        <v>0</v>
      </c>
      <c r="F441" s="213">
        <v>2304015.89</v>
      </c>
      <c r="G441" s="213">
        <v>-640357.39</v>
      </c>
      <c r="H441" s="213">
        <v>1663658.5</v>
      </c>
      <c r="I441" s="213">
        <v>1663658.5</v>
      </c>
      <c r="J441" s="568">
        <f t="shared" si="12"/>
        <v>1663.6585</v>
      </c>
      <c r="K441" s="568">
        <f t="shared" si="13"/>
        <v>1664</v>
      </c>
    </row>
    <row r="442" spans="1:11" s="143" customFormat="1" x14ac:dyDescent="0.3">
      <c r="A442" s="149" t="s">
        <v>768</v>
      </c>
      <c r="B442" s="149" t="s">
        <v>768</v>
      </c>
      <c r="C442" s="149">
        <v>42701</v>
      </c>
      <c r="D442" s="144" t="s">
        <v>45</v>
      </c>
      <c r="E442" s="213">
        <v>0</v>
      </c>
      <c r="F442" s="213">
        <v>2304015.89</v>
      </c>
      <c r="G442" s="213">
        <v>-640357.39</v>
      </c>
      <c r="H442" s="213">
        <v>1663658.5</v>
      </c>
      <c r="I442" s="213">
        <v>1663658.5</v>
      </c>
      <c r="J442" s="568">
        <f t="shared" si="12"/>
        <v>1663.6585</v>
      </c>
      <c r="K442" s="568">
        <f t="shared" si="13"/>
        <v>1664</v>
      </c>
    </row>
    <row r="443" spans="1:11" x14ac:dyDescent="0.3">
      <c r="A443" s="145" t="s">
        <v>1118</v>
      </c>
      <c r="B443" s="145" t="s">
        <v>1118</v>
      </c>
      <c r="C443" s="145">
        <v>42711</v>
      </c>
      <c r="D443" t="s">
        <v>252</v>
      </c>
      <c r="E443" s="128">
        <v>0</v>
      </c>
      <c r="F443" s="128">
        <v>501</v>
      </c>
      <c r="G443" s="128">
        <v>0</v>
      </c>
      <c r="H443" s="128">
        <v>501</v>
      </c>
      <c r="I443" s="128">
        <v>501</v>
      </c>
      <c r="J443" s="569">
        <f>I443/1000</f>
        <v>0.501</v>
      </c>
      <c r="K443" s="569">
        <f>ROUND(J443,0)</f>
        <v>1</v>
      </c>
    </row>
    <row r="444" spans="1:11" x14ac:dyDescent="0.3">
      <c r="A444" s="145" t="s">
        <v>769</v>
      </c>
      <c r="B444" s="145" t="s">
        <v>769</v>
      </c>
      <c r="C444" s="145">
        <v>42720</v>
      </c>
      <c r="D444" t="s">
        <v>514</v>
      </c>
      <c r="E444" s="128">
        <v>0</v>
      </c>
      <c r="F444" s="128">
        <v>2303514.89</v>
      </c>
      <c r="G444" s="128">
        <v>-640357.39</v>
      </c>
      <c r="H444" s="128">
        <v>1663157.5</v>
      </c>
      <c r="I444" s="128">
        <v>1663157.5</v>
      </c>
      <c r="J444" s="569">
        <f t="shared" si="12"/>
        <v>1663.1575</v>
      </c>
      <c r="K444" s="569">
        <f t="shared" si="13"/>
        <v>1663</v>
      </c>
    </row>
    <row r="445" spans="1:11" s="143" customFormat="1" x14ac:dyDescent="0.3">
      <c r="A445" s="149">
        <v>5</v>
      </c>
      <c r="B445" s="149">
        <v>5</v>
      </c>
      <c r="C445" s="149">
        <v>5</v>
      </c>
      <c r="D445" s="144" t="s">
        <v>254</v>
      </c>
      <c r="E445" s="213">
        <v>0</v>
      </c>
      <c r="F445" s="213">
        <v>4960732.3099999996</v>
      </c>
      <c r="G445" s="213">
        <v>-3526598.82</v>
      </c>
      <c r="H445" s="213">
        <v>1434133.49</v>
      </c>
      <c r="I445" s="213">
        <v>1434133.49</v>
      </c>
      <c r="J445" s="568">
        <f t="shared" si="12"/>
        <v>1434.1334899999999</v>
      </c>
      <c r="K445" s="568">
        <f t="shared" si="13"/>
        <v>1434</v>
      </c>
    </row>
    <row r="446" spans="1:11" x14ac:dyDescent="0.3">
      <c r="A446" s="145" t="s">
        <v>770</v>
      </c>
      <c r="B446" s="145" t="s">
        <v>770</v>
      </c>
      <c r="C446" s="145">
        <v>51</v>
      </c>
      <c r="D446" t="s">
        <v>254</v>
      </c>
      <c r="E446" s="128">
        <v>0</v>
      </c>
      <c r="F446" s="128">
        <v>4960732.3099999996</v>
      </c>
      <c r="G446" s="128">
        <v>-3526598.82</v>
      </c>
      <c r="H446" s="128">
        <v>1434133.49</v>
      </c>
      <c r="I446" s="128">
        <v>1434133.49</v>
      </c>
      <c r="J446" s="569">
        <f t="shared" si="12"/>
        <v>1434.1334899999999</v>
      </c>
      <c r="K446" s="569">
        <f t="shared" si="13"/>
        <v>1434</v>
      </c>
    </row>
    <row r="447" spans="1:11" x14ac:dyDescent="0.3">
      <c r="A447" s="145" t="s">
        <v>771</v>
      </c>
      <c r="B447" s="145" t="s">
        <v>771</v>
      </c>
      <c r="C447" s="145">
        <v>511</v>
      </c>
      <c r="D447" t="s">
        <v>255</v>
      </c>
      <c r="E447" s="128">
        <v>0</v>
      </c>
      <c r="F447" s="128">
        <v>4960732.3099999996</v>
      </c>
      <c r="G447" s="128">
        <v>0</v>
      </c>
      <c r="H447" s="128">
        <v>4960732.3099999996</v>
      </c>
      <c r="I447" s="128">
        <v>4960732.3099999996</v>
      </c>
      <c r="J447" s="569">
        <f t="shared" si="12"/>
        <v>4960.7323099999994</v>
      </c>
      <c r="K447" s="569">
        <f t="shared" si="13"/>
        <v>4961</v>
      </c>
    </row>
    <row r="448" spans="1:11" x14ac:dyDescent="0.3">
      <c r="A448" s="145" t="s">
        <v>772</v>
      </c>
      <c r="B448" s="145" t="s">
        <v>772</v>
      </c>
      <c r="C448" s="145">
        <v>5111</v>
      </c>
      <c r="D448" t="s">
        <v>256</v>
      </c>
      <c r="E448" s="128">
        <v>0</v>
      </c>
      <c r="F448" s="128">
        <v>1198297.77</v>
      </c>
      <c r="G448" s="128">
        <v>0</v>
      </c>
      <c r="H448" s="128">
        <v>1198297.77</v>
      </c>
      <c r="I448" s="128">
        <v>1198297.77</v>
      </c>
      <c r="J448" s="569">
        <f t="shared" si="12"/>
        <v>1198.2977700000001</v>
      </c>
      <c r="K448" s="569">
        <f t="shared" si="13"/>
        <v>1198</v>
      </c>
    </row>
    <row r="449" spans="1:11" s="143" customFormat="1" x14ac:dyDescent="0.3">
      <c r="A449" s="145" t="s">
        <v>773</v>
      </c>
      <c r="B449" s="145" t="s">
        <v>773</v>
      </c>
      <c r="C449" s="145">
        <v>5112</v>
      </c>
      <c r="D449" t="s">
        <v>258</v>
      </c>
      <c r="E449" s="128">
        <v>0</v>
      </c>
      <c r="F449" s="128">
        <v>1804659.7</v>
      </c>
      <c r="G449" s="128">
        <v>0</v>
      </c>
      <c r="H449" s="128">
        <v>1804659.7</v>
      </c>
      <c r="I449" s="128">
        <v>1804659.7</v>
      </c>
      <c r="J449" s="569">
        <f t="shared" si="12"/>
        <v>1804.6596999999999</v>
      </c>
      <c r="K449" s="569">
        <f t="shared" si="13"/>
        <v>1805</v>
      </c>
    </row>
    <row r="450" spans="1:11" x14ac:dyDescent="0.3">
      <c r="A450" s="145" t="s">
        <v>516</v>
      </c>
      <c r="B450" s="145" t="s">
        <v>516</v>
      </c>
      <c r="C450" s="145">
        <v>5114</v>
      </c>
      <c r="D450" t="s">
        <v>260</v>
      </c>
      <c r="E450" s="128">
        <v>0</v>
      </c>
      <c r="F450" s="128">
        <v>430516.94</v>
      </c>
      <c r="G450" s="128">
        <v>0</v>
      </c>
      <c r="H450" s="128">
        <v>430516.94</v>
      </c>
      <c r="I450" s="128">
        <v>430516.94</v>
      </c>
      <c r="J450" s="569">
        <f t="shared" si="12"/>
        <v>430.51693999999998</v>
      </c>
      <c r="K450" s="569">
        <f t="shared" si="13"/>
        <v>431</v>
      </c>
    </row>
    <row r="451" spans="1:11" x14ac:dyDescent="0.3">
      <c r="A451" s="145" t="s">
        <v>1252</v>
      </c>
      <c r="B451" s="145" t="s">
        <v>1252</v>
      </c>
      <c r="C451" s="145">
        <v>5116</v>
      </c>
      <c r="D451" t="s">
        <v>262</v>
      </c>
      <c r="E451" s="128">
        <v>0</v>
      </c>
      <c r="F451" s="128">
        <v>1480970.36</v>
      </c>
      <c r="G451" s="128">
        <v>0</v>
      </c>
      <c r="H451" s="128">
        <v>1480970.36</v>
      </c>
      <c r="I451" s="128">
        <v>1480970.36</v>
      </c>
      <c r="J451" s="569">
        <f t="shared" si="12"/>
        <v>1480.97036</v>
      </c>
      <c r="K451" s="569">
        <f t="shared" si="13"/>
        <v>1481</v>
      </c>
    </row>
    <row r="452" spans="1:11" x14ac:dyDescent="0.3">
      <c r="A452" s="145" t="s">
        <v>1253</v>
      </c>
      <c r="B452" s="145" t="s">
        <v>1253</v>
      </c>
      <c r="C452" s="145">
        <v>5119</v>
      </c>
      <c r="D452" t="s">
        <v>265</v>
      </c>
      <c r="E452" s="128">
        <v>0</v>
      </c>
      <c r="F452" s="128">
        <v>46287.54</v>
      </c>
      <c r="G452" s="128">
        <v>0</v>
      </c>
      <c r="H452" s="128">
        <v>46287.54</v>
      </c>
      <c r="I452" s="128">
        <v>46287.54</v>
      </c>
      <c r="J452" s="569">
        <f t="shared" si="12"/>
        <v>46.28754</v>
      </c>
      <c r="K452" s="569">
        <f t="shared" si="13"/>
        <v>46</v>
      </c>
    </row>
    <row r="453" spans="1:11" x14ac:dyDescent="0.3">
      <c r="A453" s="145" t="s">
        <v>774</v>
      </c>
      <c r="B453" s="145" t="s">
        <v>774</v>
      </c>
      <c r="C453" s="145">
        <v>512</v>
      </c>
      <c r="D453" t="s">
        <v>257</v>
      </c>
      <c r="E453" s="128">
        <v>0</v>
      </c>
      <c r="F453" s="128">
        <v>0</v>
      </c>
      <c r="G453" s="128">
        <v>-3526598.82</v>
      </c>
      <c r="H453" s="128">
        <v>-3526598.82</v>
      </c>
      <c r="I453" s="128">
        <v>-3526598.82</v>
      </c>
      <c r="J453" s="569">
        <f t="shared" si="12"/>
        <v>-3526.5988199999997</v>
      </c>
      <c r="K453" s="569">
        <f t="shared" si="13"/>
        <v>-3527</v>
      </c>
    </row>
    <row r="454" spans="1:11" x14ac:dyDescent="0.3">
      <c r="A454" s="145" t="s">
        <v>775</v>
      </c>
      <c r="B454" s="145" t="s">
        <v>775</v>
      </c>
      <c r="C454" s="145">
        <v>5123</v>
      </c>
      <c r="D454" t="s">
        <v>259</v>
      </c>
      <c r="E454" s="128">
        <v>0</v>
      </c>
      <c r="F454" s="128">
        <v>0</v>
      </c>
      <c r="G454" s="128">
        <v>-903438.85</v>
      </c>
      <c r="H454" s="128">
        <v>-903438.85</v>
      </c>
      <c r="I454" s="128">
        <v>-903438.85</v>
      </c>
      <c r="J454" s="569">
        <f t="shared" si="12"/>
        <v>-903.43885</v>
      </c>
      <c r="K454" s="569">
        <f t="shared" si="13"/>
        <v>-903</v>
      </c>
    </row>
    <row r="455" spans="1:11" x14ac:dyDescent="0.3">
      <c r="A455" s="145" t="s">
        <v>517</v>
      </c>
      <c r="B455" s="145" t="s">
        <v>517</v>
      </c>
      <c r="C455" s="145">
        <v>5125</v>
      </c>
      <c r="D455" t="s">
        <v>261</v>
      </c>
      <c r="E455" s="128">
        <v>0</v>
      </c>
      <c r="F455" s="128">
        <v>0</v>
      </c>
      <c r="G455" s="128">
        <v>-1810413.32</v>
      </c>
      <c r="H455" s="128">
        <v>-1810413.32</v>
      </c>
      <c r="I455" s="128">
        <v>-1810413.32</v>
      </c>
      <c r="J455" s="569">
        <f t="shared" si="12"/>
        <v>-1810.4133200000001</v>
      </c>
      <c r="K455" s="569">
        <f t="shared" si="13"/>
        <v>-1810</v>
      </c>
    </row>
    <row r="456" spans="1:11" x14ac:dyDescent="0.3">
      <c r="A456" s="145" t="s">
        <v>1254</v>
      </c>
      <c r="B456" s="145" t="s">
        <v>1254</v>
      </c>
      <c r="C456" s="145">
        <v>5127</v>
      </c>
      <c r="D456" t="s">
        <v>263</v>
      </c>
      <c r="E456" s="128">
        <v>0</v>
      </c>
      <c r="F456" s="128">
        <v>0</v>
      </c>
      <c r="G456" s="128">
        <v>-795077.21</v>
      </c>
      <c r="H456" s="128">
        <v>-795077.21</v>
      </c>
      <c r="I456" s="128">
        <v>-795077.21</v>
      </c>
      <c r="J456" s="569">
        <f t="shared" si="12"/>
        <v>-795.07720999999992</v>
      </c>
      <c r="K456" s="569">
        <f t="shared" si="13"/>
        <v>-795</v>
      </c>
    </row>
    <row r="457" spans="1:11" x14ac:dyDescent="0.3">
      <c r="A457" s="145" t="s">
        <v>518</v>
      </c>
      <c r="B457" s="145" t="s">
        <v>518</v>
      </c>
      <c r="C457" s="145">
        <v>5128</v>
      </c>
      <c r="D457" t="s">
        <v>264</v>
      </c>
      <c r="E457" s="128">
        <v>0</v>
      </c>
      <c r="F457" s="128">
        <v>0</v>
      </c>
      <c r="G457" s="128">
        <v>-17669.439999999999</v>
      </c>
      <c r="H457" s="128">
        <v>-17669.439999999999</v>
      </c>
      <c r="I457" s="128">
        <v>-17669.439999999999</v>
      </c>
      <c r="J457" s="569">
        <f t="shared" ref="J457" si="14">I457/1000</f>
        <v>-17.669439999999998</v>
      </c>
      <c r="K457" s="569">
        <f t="shared" ref="K457" si="15">ROUND(J457,0)</f>
        <v>-18</v>
      </c>
    </row>
  </sheetData>
  <autoFilter ref="A287:K457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6"/>
  <sheetViews>
    <sheetView showGridLines="0" topLeftCell="A57" workbookViewId="0">
      <selection activeCell="K82" sqref="K82"/>
    </sheetView>
  </sheetViews>
  <sheetFormatPr defaultColWidth="9.140625" defaultRowHeight="12.75" x14ac:dyDescent="0.2"/>
  <cols>
    <col min="1" max="1" width="9.140625" style="14"/>
    <col min="2" max="2" width="39.85546875" style="14" bestFit="1" customWidth="1"/>
    <col min="3" max="4" width="12" style="14" bestFit="1" customWidth="1"/>
    <col min="5" max="5" width="9.42578125" style="14" bestFit="1" customWidth="1"/>
    <col min="6" max="6" width="13.42578125" style="14" customWidth="1"/>
    <col min="7" max="7" width="9.140625" style="14"/>
    <col min="8" max="8" width="10.28515625" style="71" bestFit="1" customWidth="1"/>
    <col min="9" max="9" width="38.7109375" style="14" bestFit="1" customWidth="1"/>
    <col min="10" max="11" width="11.5703125" style="14" bestFit="1" customWidth="1"/>
    <col min="12" max="12" width="9.7109375" style="14" bestFit="1" customWidth="1"/>
    <col min="13" max="16384" width="9.140625" style="14"/>
  </cols>
  <sheetData>
    <row r="1" spans="2:10" x14ac:dyDescent="0.2">
      <c r="B1" s="14" t="s">
        <v>789</v>
      </c>
    </row>
    <row r="2" spans="2:10" s="151" customFormat="1" x14ac:dyDescent="0.2">
      <c r="D2" s="152">
        <v>45199</v>
      </c>
      <c r="E2" s="165"/>
      <c r="F2" s="152">
        <v>44834</v>
      </c>
      <c r="H2" s="153"/>
    </row>
    <row r="3" spans="2:10" x14ac:dyDescent="0.2">
      <c r="B3" s="55" t="s">
        <v>778</v>
      </c>
      <c r="C3" s="55"/>
      <c r="E3" s="146"/>
      <c r="G3" s="71"/>
    </row>
    <row r="4" spans="2:10" x14ac:dyDescent="0.2">
      <c r="B4" s="147" t="s">
        <v>779</v>
      </c>
      <c r="C4" s="147"/>
      <c r="D4" s="8">
        <f>DRE!E19</f>
        <v>-61626</v>
      </c>
      <c r="E4" s="21"/>
      <c r="F4" s="8">
        <f>DRE!I19</f>
        <v>-54747</v>
      </c>
      <c r="G4" s="71"/>
    </row>
    <row r="5" spans="2:10" x14ac:dyDescent="0.2">
      <c r="B5" s="148" t="s">
        <v>780</v>
      </c>
      <c r="C5" s="148"/>
      <c r="D5" s="8">
        <f>DRE!E33</f>
        <v>-30586</v>
      </c>
      <c r="E5" s="21"/>
      <c r="F5" s="8">
        <f>DRE!I33</f>
        <v>-31175</v>
      </c>
      <c r="G5" s="71"/>
    </row>
    <row r="6" spans="2:10" x14ac:dyDescent="0.2">
      <c r="D6" s="24">
        <f>SUM(D4:D5)</f>
        <v>-92212</v>
      </c>
      <c r="E6" s="7"/>
      <c r="F6" s="24">
        <f>SUM(F4:F5)</f>
        <v>-85922</v>
      </c>
      <c r="G6" s="71"/>
    </row>
    <row r="7" spans="2:10" x14ac:dyDescent="0.2">
      <c r="D7" s="8"/>
      <c r="E7" s="21"/>
      <c r="F7" s="8"/>
      <c r="G7" s="71"/>
    </row>
    <row r="8" spans="2:10" x14ac:dyDescent="0.2">
      <c r="B8" s="55" t="s">
        <v>781</v>
      </c>
      <c r="C8" s="55"/>
      <c r="D8" s="8"/>
      <c r="E8" s="21"/>
      <c r="F8" s="8"/>
      <c r="G8" s="71"/>
    </row>
    <row r="9" spans="2:10" x14ac:dyDescent="0.2">
      <c r="B9" s="14" t="s">
        <v>782</v>
      </c>
      <c r="D9" s="8">
        <f>+DRE!E11+DRE!E12+DRE!E13+DRE!E24+DRE!E25+DRE!E26</f>
        <v>-67413</v>
      </c>
      <c r="E9" s="21"/>
      <c r="F9" s="8">
        <f>+DRE!I11+DRE!I12+DRE!I13+DRE!I24+DRE!I25+DRE!I26</f>
        <v>-63876</v>
      </c>
      <c r="G9" s="71"/>
    </row>
    <row r="10" spans="2:10" x14ac:dyDescent="0.2">
      <c r="B10" s="14" t="s">
        <v>788</v>
      </c>
      <c r="D10" s="8">
        <f>+DRE!E27</f>
        <v>-23</v>
      </c>
      <c r="E10" s="21"/>
      <c r="F10" s="8">
        <f>+DRE!I27</f>
        <v>-128</v>
      </c>
      <c r="G10" s="71"/>
    </row>
    <row r="11" spans="2:10" x14ac:dyDescent="0.2">
      <c r="B11" s="14" t="s">
        <v>783</v>
      </c>
      <c r="D11" s="8">
        <f>+DRE!E15+DRE!E28</f>
        <v>-10779</v>
      </c>
      <c r="E11" s="21"/>
      <c r="F11" s="8">
        <f>+DRE!I15+DRE!I28</f>
        <v>-8363</v>
      </c>
      <c r="G11" s="71"/>
    </row>
    <row r="12" spans="2:10" x14ac:dyDescent="0.2">
      <c r="B12" s="14" t="s">
        <v>784</v>
      </c>
      <c r="D12" s="8">
        <f>+DRE!E16+DRE!E30</f>
        <v>-7592</v>
      </c>
      <c r="E12" s="21"/>
      <c r="F12" s="8">
        <f>+DRE!I16+DRE!I30</f>
        <v>-6754</v>
      </c>
      <c r="G12" s="71"/>
    </row>
    <row r="13" spans="2:10" x14ac:dyDescent="0.2">
      <c r="B13" s="14" t="s">
        <v>785</v>
      </c>
      <c r="D13" s="8">
        <f>+DRE!E17+DRE!E31</f>
        <v>-5625</v>
      </c>
      <c r="E13" s="21"/>
      <c r="F13" s="8">
        <f>+DRE!I17+DRE!I31</f>
        <v>-5593</v>
      </c>
      <c r="G13" s="71"/>
    </row>
    <row r="14" spans="2:10" ht="15.75" x14ac:dyDescent="0.25">
      <c r="B14" s="14" t="s">
        <v>786</v>
      </c>
      <c r="D14" s="8">
        <f>+DRE!E18+DRE!E29</f>
        <v>-764</v>
      </c>
      <c r="E14" s="21"/>
      <c r="F14" s="8">
        <f>+DRE!I18+DRE!I29</f>
        <v>-972</v>
      </c>
      <c r="G14" s="71"/>
      <c r="J14" s="135"/>
    </row>
    <row r="15" spans="2:10" x14ac:dyDescent="0.2">
      <c r="B15" s="14" t="s">
        <v>787</v>
      </c>
      <c r="D15" s="8">
        <f>+DRE!E32</f>
        <v>-16</v>
      </c>
      <c r="E15" s="21"/>
      <c r="F15" s="105">
        <f>+DRE!I32</f>
        <v>-236</v>
      </c>
      <c r="G15" s="71"/>
    </row>
    <row r="16" spans="2:10" x14ac:dyDescent="0.2">
      <c r="B16" s="55" t="s">
        <v>53</v>
      </c>
      <c r="C16" s="55"/>
      <c r="D16" s="24">
        <f>SUM(D9:D15)</f>
        <v>-92212</v>
      </c>
      <c r="E16" s="7"/>
      <c r="F16" s="24">
        <f>SUM(F9:F15)</f>
        <v>-85922</v>
      </c>
      <c r="G16" s="71"/>
    </row>
    <row r="17" spans="2:8" x14ac:dyDescent="0.2">
      <c r="D17" s="8"/>
      <c r="E17" s="21"/>
      <c r="F17" s="8"/>
      <c r="G17" s="71"/>
    </row>
    <row r="18" spans="2:8" x14ac:dyDescent="0.2">
      <c r="D18" s="8">
        <f>D6-D16</f>
        <v>0</v>
      </c>
      <c r="E18" s="8"/>
      <c r="F18" s="8">
        <f t="shared" ref="F18" si="0">F6-F16</f>
        <v>0</v>
      </c>
      <c r="G18" s="71"/>
    </row>
    <row r="19" spans="2:8" x14ac:dyDescent="0.2">
      <c r="D19" s="8"/>
      <c r="E19" s="21"/>
      <c r="F19" s="8"/>
      <c r="G19" s="71"/>
    </row>
    <row r="20" spans="2:8" x14ac:dyDescent="0.2">
      <c r="B20" s="14" t="s">
        <v>790</v>
      </c>
      <c r="G20" s="71"/>
    </row>
    <row r="21" spans="2:8" x14ac:dyDescent="0.2">
      <c r="D21" s="55"/>
      <c r="E21" s="55"/>
      <c r="F21" s="55"/>
      <c r="G21" s="71"/>
    </row>
    <row r="22" spans="2:8" s="151" customFormat="1" x14ac:dyDescent="0.2">
      <c r="B22" s="154" t="s">
        <v>791</v>
      </c>
      <c r="D22" s="152">
        <v>45199</v>
      </c>
      <c r="E22" s="165"/>
      <c r="F22" s="152">
        <v>44834</v>
      </c>
      <c r="G22" s="153"/>
      <c r="H22" s="153"/>
    </row>
    <row r="23" spans="2:8" x14ac:dyDescent="0.2">
      <c r="B23" s="14" t="s">
        <v>792</v>
      </c>
      <c r="D23" s="8">
        <f>DRE!E45</f>
        <v>487</v>
      </c>
      <c r="E23" s="21"/>
      <c r="F23" s="8">
        <f>DRE!I45</f>
        <v>940</v>
      </c>
      <c r="G23" s="71"/>
    </row>
    <row r="24" spans="2:8" x14ac:dyDescent="0.2">
      <c r="B24" s="55" t="s">
        <v>793</v>
      </c>
      <c r="D24" s="24">
        <f>SUM(D23)</f>
        <v>487</v>
      </c>
      <c r="E24" s="7"/>
      <c r="F24" s="24">
        <f>SUM(F23)</f>
        <v>940</v>
      </c>
      <c r="G24" s="71"/>
    </row>
    <row r="25" spans="2:8" x14ac:dyDescent="0.2">
      <c r="D25" s="8"/>
      <c r="E25" s="21"/>
      <c r="F25" s="8"/>
      <c r="G25" s="71"/>
    </row>
    <row r="26" spans="2:8" x14ac:dyDescent="0.2">
      <c r="B26" s="55" t="s">
        <v>794</v>
      </c>
      <c r="D26" s="8"/>
      <c r="E26" s="21"/>
      <c r="F26" s="8"/>
      <c r="G26" s="71"/>
    </row>
    <row r="27" spans="2:8" x14ac:dyDescent="0.2">
      <c r="B27" s="14" t="s">
        <v>795</v>
      </c>
      <c r="D27" s="8">
        <f>DRE!E46</f>
        <v>-1664</v>
      </c>
      <c r="E27" s="21"/>
      <c r="F27" s="8">
        <f>DRE!I46</f>
        <v>-803</v>
      </c>
      <c r="G27" s="71"/>
    </row>
    <row r="28" spans="2:8" x14ac:dyDescent="0.2">
      <c r="B28" s="55" t="s">
        <v>793</v>
      </c>
      <c r="D28" s="24">
        <f>SUM(D27)</f>
        <v>-1664</v>
      </c>
      <c r="E28" s="7"/>
      <c r="F28" s="24">
        <f>SUM(F27)</f>
        <v>-803</v>
      </c>
      <c r="G28" s="71"/>
    </row>
    <row r="29" spans="2:8" x14ac:dyDescent="0.2">
      <c r="D29" s="8"/>
      <c r="E29" s="21"/>
      <c r="F29" s="8"/>
      <c r="G29" s="71"/>
    </row>
    <row r="30" spans="2:8" x14ac:dyDescent="0.2">
      <c r="B30" s="55" t="s">
        <v>796</v>
      </c>
      <c r="D30" s="24">
        <f>D24+D28</f>
        <v>-1177</v>
      </c>
      <c r="E30" s="7"/>
      <c r="F30" s="24">
        <f>F24+F28</f>
        <v>137</v>
      </c>
      <c r="G30" s="71"/>
    </row>
    <row r="31" spans="2:8" x14ac:dyDescent="0.2">
      <c r="D31" s="8"/>
      <c r="E31" s="21"/>
      <c r="F31" s="8"/>
      <c r="G31" s="71"/>
    </row>
    <row r="32" spans="2:8" x14ac:dyDescent="0.2">
      <c r="D32" s="8"/>
      <c r="E32" s="21"/>
      <c r="F32" s="8"/>
      <c r="G32" s="71"/>
    </row>
    <row r="33" spans="2:9" x14ac:dyDescent="0.2">
      <c r="D33" s="55"/>
      <c r="E33" s="55"/>
      <c r="F33" s="55"/>
      <c r="G33" s="71"/>
    </row>
    <row r="34" spans="2:9" x14ac:dyDescent="0.2">
      <c r="D34" s="136"/>
      <c r="E34" s="150"/>
      <c r="F34" s="136"/>
      <c r="G34" s="71"/>
    </row>
    <row r="35" spans="2:9" x14ac:dyDescent="0.2">
      <c r="B35" s="55"/>
      <c r="D35" s="8"/>
      <c r="E35" s="21"/>
      <c r="F35" s="8"/>
      <c r="G35" s="71"/>
    </row>
    <row r="36" spans="2:9" x14ac:dyDescent="0.2">
      <c r="B36" s="55"/>
      <c r="D36" s="8"/>
      <c r="E36" s="21"/>
      <c r="F36" s="8"/>
      <c r="G36" s="71"/>
    </row>
    <row r="37" spans="2:9" x14ac:dyDescent="0.2">
      <c r="B37" s="55"/>
      <c r="D37" s="8"/>
      <c r="E37" s="21"/>
      <c r="F37" s="8"/>
      <c r="G37" s="71"/>
      <c r="H37" s="8"/>
    </row>
    <row r="38" spans="2:9" x14ac:dyDescent="0.2">
      <c r="B38" s="55"/>
      <c r="D38" s="8"/>
      <c r="E38" s="21"/>
      <c r="F38" s="8"/>
      <c r="G38" s="71"/>
    </row>
    <row r="39" spans="2:9" ht="13.5" thickBot="1" x14ac:dyDescent="0.25">
      <c r="B39" s="55"/>
      <c r="D39" s="8"/>
      <c r="E39" s="21"/>
      <c r="F39" s="8"/>
      <c r="G39" s="71"/>
    </row>
    <row r="40" spans="2:9" ht="13.5" thickBot="1" x14ac:dyDescent="0.25">
      <c r="B40" s="293" t="s">
        <v>1388</v>
      </c>
      <c r="C40" s="294" t="s">
        <v>1389</v>
      </c>
      <c r="D40" s="294" t="s">
        <v>1390</v>
      </c>
      <c r="E40" s="294" t="s">
        <v>1391</v>
      </c>
      <c r="F40" s="8"/>
      <c r="G40" s="71"/>
    </row>
    <row r="41" spans="2:9" ht="13.5" thickBot="1" x14ac:dyDescent="0.25">
      <c r="B41" s="295" t="s">
        <v>515</v>
      </c>
      <c r="C41" s="296">
        <v>35405.519999999997</v>
      </c>
      <c r="D41" s="297">
        <v>12475.78</v>
      </c>
      <c r="E41" s="296">
        <v>23490.65</v>
      </c>
      <c r="F41" s="8"/>
      <c r="G41" s="71"/>
    </row>
    <row r="42" spans="2:9" ht="13.5" thickBot="1" x14ac:dyDescent="0.25">
      <c r="B42" s="295" t="s">
        <v>1392</v>
      </c>
      <c r="C42" s="299">
        <v>31925.31</v>
      </c>
      <c r="D42" s="296">
        <v>4369.54</v>
      </c>
      <c r="E42" s="296">
        <v>7887.61</v>
      </c>
      <c r="F42" s="8"/>
      <c r="G42" s="71"/>
    </row>
    <row r="43" spans="2:9" ht="13.5" thickBot="1" x14ac:dyDescent="0.25">
      <c r="B43" s="295" t="s">
        <v>1393</v>
      </c>
      <c r="C43" s="299">
        <v>31925.31</v>
      </c>
      <c r="D43" s="299">
        <v>12376.98</v>
      </c>
      <c r="E43" s="296">
        <v>18590.43</v>
      </c>
      <c r="F43" s="8"/>
      <c r="G43" s="71"/>
    </row>
    <row r="44" spans="2:9" x14ac:dyDescent="0.2">
      <c r="B44" s="298"/>
      <c r="C44" s="298"/>
      <c r="D44" s="298"/>
      <c r="E44" s="298"/>
      <c r="F44" s="8"/>
      <c r="G44" s="71"/>
    </row>
    <row r="45" spans="2:9" ht="15.75" thickBot="1" x14ac:dyDescent="0.3">
      <c r="B45" s="116"/>
      <c r="C45" s="116"/>
      <c r="D45" s="116"/>
      <c r="E45" s="116"/>
      <c r="F45" s="8"/>
      <c r="G45" s="71"/>
      <c r="H45" s="137"/>
      <c r="I45" s="71"/>
    </row>
    <row r="46" spans="2:9" ht="13.5" thickBot="1" x14ac:dyDescent="0.25">
      <c r="B46" s="293" t="s">
        <v>1388</v>
      </c>
      <c r="C46" s="294" t="s">
        <v>1389</v>
      </c>
      <c r="D46" s="294" t="s">
        <v>1390</v>
      </c>
      <c r="E46" s="294" t="s">
        <v>1391</v>
      </c>
      <c r="F46" s="8"/>
      <c r="G46" s="71"/>
    </row>
    <row r="47" spans="2:9" ht="13.5" thickBot="1" x14ac:dyDescent="0.25">
      <c r="B47" s="295" t="s">
        <v>515</v>
      </c>
      <c r="C47" s="296">
        <f t="shared" ref="C47:E49" si="1">C41/1000</f>
        <v>35.405519999999996</v>
      </c>
      <c r="D47" s="297">
        <f t="shared" si="1"/>
        <v>12.47578</v>
      </c>
      <c r="E47" s="296">
        <f t="shared" si="1"/>
        <v>23.490650000000002</v>
      </c>
      <c r="F47" s="8"/>
      <c r="G47" s="71"/>
    </row>
    <row r="48" spans="2:9" ht="13.5" thickBot="1" x14ac:dyDescent="0.25">
      <c r="B48" s="295" t="s">
        <v>1392</v>
      </c>
      <c r="C48" s="299">
        <f t="shared" si="1"/>
        <v>31.92531</v>
      </c>
      <c r="D48" s="296">
        <f t="shared" si="1"/>
        <v>4.3695399999999998</v>
      </c>
      <c r="E48" s="296">
        <f t="shared" si="1"/>
        <v>7.8876099999999996</v>
      </c>
      <c r="F48" s="8"/>
      <c r="G48" s="71"/>
    </row>
    <row r="49" spans="2:12" ht="13.5" thickBot="1" x14ac:dyDescent="0.25">
      <c r="B49" s="295" t="s">
        <v>1393</v>
      </c>
      <c r="C49" s="299">
        <f t="shared" si="1"/>
        <v>31.92531</v>
      </c>
      <c r="D49" s="299">
        <f t="shared" si="1"/>
        <v>12.37698</v>
      </c>
      <c r="E49" s="296">
        <f t="shared" si="1"/>
        <v>18.590430000000001</v>
      </c>
      <c r="F49" s="8"/>
      <c r="G49" s="71"/>
    </row>
    <row r="50" spans="2:12" ht="15" x14ac:dyDescent="0.25">
      <c r="B50" s="116"/>
      <c r="C50" s="116"/>
      <c r="D50" s="116"/>
      <c r="E50" s="116"/>
      <c r="F50" s="8"/>
      <c r="G50" s="71"/>
    </row>
    <row r="51" spans="2:12" ht="15.75" thickBot="1" x14ac:dyDescent="0.3">
      <c r="B51" s="116"/>
      <c r="C51" s="116"/>
      <c r="D51" s="116"/>
      <c r="E51" s="116"/>
      <c r="F51" s="8"/>
      <c r="G51" s="71"/>
    </row>
    <row r="52" spans="2:12" ht="13.5" thickBot="1" x14ac:dyDescent="0.25">
      <c r="B52" s="293" t="s">
        <v>1388</v>
      </c>
      <c r="C52" s="294" t="s">
        <v>1389</v>
      </c>
      <c r="D52" s="294" t="s">
        <v>1390</v>
      </c>
      <c r="E52" s="294" t="s">
        <v>1391</v>
      </c>
      <c r="F52" s="8"/>
      <c r="G52" s="71"/>
    </row>
    <row r="53" spans="2:12" ht="13.5" thickBot="1" x14ac:dyDescent="0.25">
      <c r="B53" s="295" t="s">
        <v>515</v>
      </c>
      <c r="C53" s="296">
        <f t="shared" ref="C53:E55" si="2">ROUND(C47,0)</f>
        <v>35</v>
      </c>
      <c r="D53" s="296">
        <f t="shared" si="2"/>
        <v>12</v>
      </c>
      <c r="E53" s="296">
        <f t="shared" si="2"/>
        <v>23</v>
      </c>
      <c r="F53" s="8"/>
    </row>
    <row r="54" spans="2:12" ht="13.5" thickBot="1" x14ac:dyDescent="0.25">
      <c r="B54" s="295" t="s">
        <v>1392</v>
      </c>
      <c r="C54" s="296">
        <f t="shared" si="2"/>
        <v>32</v>
      </c>
      <c r="D54" s="296">
        <f t="shared" si="2"/>
        <v>4</v>
      </c>
      <c r="E54" s="296">
        <f t="shared" si="2"/>
        <v>8</v>
      </c>
      <c r="F54" s="8"/>
    </row>
    <row r="55" spans="2:12" ht="13.5" thickBot="1" x14ac:dyDescent="0.25">
      <c r="B55" s="295" t="s">
        <v>1393</v>
      </c>
      <c r="C55" s="296">
        <f t="shared" si="2"/>
        <v>32</v>
      </c>
      <c r="D55" s="296">
        <f t="shared" si="2"/>
        <v>12</v>
      </c>
      <c r="E55" s="296">
        <f t="shared" si="2"/>
        <v>19</v>
      </c>
      <c r="F55" s="8"/>
    </row>
    <row r="56" spans="2:12" x14ac:dyDescent="0.2">
      <c r="D56" s="8"/>
      <c r="E56" s="21"/>
      <c r="F56" s="8"/>
    </row>
    <row r="57" spans="2:12" x14ac:dyDescent="0.2">
      <c r="D57" s="8"/>
      <c r="E57" s="21"/>
      <c r="F57" s="8"/>
    </row>
    <row r="58" spans="2:12" x14ac:dyDescent="0.2">
      <c r="D58" s="8"/>
      <c r="E58" s="21"/>
      <c r="F58" s="8"/>
    </row>
    <row r="59" spans="2:12" ht="13.5" thickBot="1" x14ac:dyDescent="0.25">
      <c r="D59" s="8"/>
      <c r="E59" s="21"/>
      <c r="F59" s="8"/>
    </row>
    <row r="60" spans="2:12" ht="13.5" thickBot="1" x14ac:dyDescent="0.25">
      <c r="B60" s="590" t="s">
        <v>266</v>
      </c>
      <c r="C60" s="596" t="s">
        <v>1304</v>
      </c>
      <c r="D60" s="594" t="s">
        <v>1305</v>
      </c>
      <c r="E60" s="589" t="s">
        <v>1306</v>
      </c>
      <c r="F60" s="8"/>
      <c r="I60" s="586" t="s">
        <v>266</v>
      </c>
      <c r="J60" s="587" t="s">
        <v>1304</v>
      </c>
      <c r="K60" s="587" t="s">
        <v>1305</v>
      </c>
      <c r="L60" s="587" t="s">
        <v>1306</v>
      </c>
    </row>
    <row r="61" spans="2:12" ht="13.5" thickBot="1" x14ac:dyDescent="0.25">
      <c r="B61" s="591" t="s">
        <v>1302</v>
      </c>
      <c r="C61" s="597">
        <v>46108</v>
      </c>
      <c r="D61" s="602">
        <v>46135</v>
      </c>
      <c r="E61" s="600">
        <f>D61-C61</f>
        <v>27</v>
      </c>
      <c r="F61" s="8"/>
      <c r="I61" s="581" t="s">
        <v>1602</v>
      </c>
      <c r="J61" s="582">
        <v>0</v>
      </c>
      <c r="K61" s="582">
        <v>27</v>
      </c>
      <c r="L61" s="582">
        <f>K61-J61</f>
        <v>27</v>
      </c>
    </row>
    <row r="62" spans="2:12" ht="13.5" thickBot="1" x14ac:dyDescent="0.25">
      <c r="B62" s="591" t="s">
        <v>112</v>
      </c>
      <c r="C62" s="597">
        <v>13735</v>
      </c>
      <c r="D62" s="602">
        <v>13705</v>
      </c>
      <c r="E62" s="600">
        <f>D62-C62</f>
        <v>-30</v>
      </c>
      <c r="F62" s="8"/>
      <c r="I62" s="581"/>
      <c r="J62" s="582"/>
      <c r="K62" s="582"/>
      <c r="L62" s="582">
        <f t="shared" ref="L62:L63" si="3">K62-J62</f>
        <v>0</v>
      </c>
    </row>
    <row r="63" spans="2:12" ht="13.5" thickBot="1" x14ac:dyDescent="0.25">
      <c r="B63" s="592" t="s">
        <v>1303</v>
      </c>
      <c r="C63" s="598">
        <f>SUM(C61:C62)</f>
        <v>59843</v>
      </c>
      <c r="D63" s="595">
        <f>SUM(D61:D62)</f>
        <v>59840</v>
      </c>
      <c r="E63" s="585">
        <f>SUM(E61:E62)</f>
        <v>-3</v>
      </c>
      <c r="F63" s="8"/>
      <c r="I63" s="581"/>
      <c r="J63" s="582"/>
      <c r="K63" s="582"/>
      <c r="L63" s="582">
        <f t="shared" si="3"/>
        <v>0</v>
      </c>
    </row>
    <row r="64" spans="2:12" ht="13.5" thickBot="1" x14ac:dyDescent="0.25">
      <c r="B64" s="593" t="s">
        <v>1307</v>
      </c>
      <c r="C64" s="599">
        <v>20393</v>
      </c>
      <c r="D64" s="603">
        <v>21419</v>
      </c>
      <c r="E64" s="601">
        <f>D64-C64</f>
        <v>1026</v>
      </c>
      <c r="F64" s="8"/>
      <c r="I64" s="584" t="s">
        <v>53</v>
      </c>
      <c r="J64" s="585">
        <f t="shared" ref="J64:K64" si="4">SUM(J61:J63)</f>
        <v>0</v>
      </c>
      <c r="K64" s="585">
        <f t="shared" si="4"/>
        <v>27</v>
      </c>
      <c r="L64" s="585">
        <f>SUM(L61:L63)</f>
        <v>27</v>
      </c>
    </row>
    <row r="65" spans="2:12" ht="13.5" thickBot="1" x14ac:dyDescent="0.25">
      <c r="B65" s="591" t="s">
        <v>179</v>
      </c>
      <c r="C65" s="597">
        <v>11118</v>
      </c>
      <c r="D65" s="602">
        <v>10925</v>
      </c>
      <c r="E65" s="600">
        <f t="shared" ref="E65:E66" si="5">D65-C65</f>
        <v>-193</v>
      </c>
      <c r="F65" s="8"/>
    </row>
    <row r="66" spans="2:12" ht="13.5" thickBot="1" x14ac:dyDescent="0.25">
      <c r="B66" s="591" t="s">
        <v>183</v>
      </c>
      <c r="C66" s="597">
        <v>28332</v>
      </c>
      <c r="D66" s="602">
        <v>27496</v>
      </c>
      <c r="E66" s="600">
        <f t="shared" si="5"/>
        <v>-836</v>
      </c>
      <c r="F66" s="8"/>
      <c r="I66" s="586" t="s">
        <v>266</v>
      </c>
      <c r="J66" s="587" t="s">
        <v>1304</v>
      </c>
      <c r="K66" s="587" t="s">
        <v>1305</v>
      </c>
      <c r="L66" s="587" t="s">
        <v>1306</v>
      </c>
    </row>
    <row r="67" spans="2:12" ht="13.5" thickBot="1" x14ac:dyDescent="0.25">
      <c r="B67" s="592" t="s">
        <v>1599</v>
      </c>
      <c r="C67" s="598">
        <f>SUM(C64:C66)</f>
        <v>59843</v>
      </c>
      <c r="D67" s="595">
        <f>SUM(D64:D66)</f>
        <v>59840</v>
      </c>
      <c r="E67" s="585">
        <f>SUM(E64:E66)</f>
        <v>-3</v>
      </c>
      <c r="F67" s="8"/>
      <c r="I67" s="581"/>
      <c r="J67" s="583"/>
      <c r="K67" s="583"/>
      <c r="L67" s="583">
        <f>K67-J67</f>
        <v>0</v>
      </c>
    </row>
    <row r="68" spans="2:12" ht="13.5" thickBot="1" x14ac:dyDescent="0.25">
      <c r="D68" s="8"/>
      <c r="E68" s="21"/>
      <c r="F68" s="8"/>
      <c r="I68" s="581"/>
      <c r="J68" s="582"/>
      <c r="K68" s="582"/>
      <c r="L68" s="583">
        <f t="shared" ref="L68:L70" si="6">K68-J68</f>
        <v>0</v>
      </c>
    </row>
    <row r="69" spans="2:12" ht="13.5" thickBot="1" x14ac:dyDescent="0.25">
      <c r="D69" s="8"/>
      <c r="E69" s="21"/>
      <c r="F69" s="8"/>
      <c r="I69" s="581"/>
      <c r="J69" s="582"/>
      <c r="K69" s="582"/>
      <c r="L69" s="583">
        <f t="shared" si="6"/>
        <v>0</v>
      </c>
    </row>
    <row r="70" spans="2:12" ht="13.5" thickBot="1" x14ac:dyDescent="0.25">
      <c r="D70" s="8"/>
      <c r="E70" s="21"/>
      <c r="F70" s="8"/>
      <c r="I70" s="581" t="s">
        <v>130</v>
      </c>
      <c r="J70" s="582">
        <v>3074</v>
      </c>
      <c r="K70" s="582">
        <v>3044</v>
      </c>
      <c r="L70" s="583">
        <f t="shared" si="6"/>
        <v>-30</v>
      </c>
    </row>
    <row r="71" spans="2:12" ht="13.5" thickBot="1" x14ac:dyDescent="0.25">
      <c r="D71" s="8"/>
      <c r="E71" s="21"/>
      <c r="F71" s="8"/>
      <c r="I71" s="584" t="s">
        <v>53</v>
      </c>
      <c r="J71" s="585">
        <f>SUM(J67:J70)</f>
        <v>3074</v>
      </c>
      <c r="K71" s="585">
        <f>SUM(K67:K70)</f>
        <v>3044</v>
      </c>
      <c r="L71" s="588">
        <f>SUM(L67:L70)</f>
        <v>-30</v>
      </c>
    </row>
    <row r="72" spans="2:12" ht="13.5" thickBot="1" x14ac:dyDescent="0.25">
      <c r="D72" s="8"/>
      <c r="E72" s="21"/>
      <c r="F72" s="8"/>
    </row>
    <row r="73" spans="2:12" ht="13.5" thickBot="1" x14ac:dyDescent="0.25">
      <c r="D73" s="8"/>
      <c r="E73" s="21"/>
      <c r="F73" s="8"/>
      <c r="I73" s="586" t="s">
        <v>266</v>
      </c>
      <c r="J73" s="587" t="s">
        <v>1304</v>
      </c>
      <c r="K73" s="587" t="s">
        <v>1305</v>
      </c>
      <c r="L73" s="587" t="s">
        <v>1306</v>
      </c>
    </row>
    <row r="74" spans="2:12" ht="13.5" thickBot="1" x14ac:dyDescent="0.25">
      <c r="D74" s="8"/>
      <c r="E74" s="21"/>
      <c r="F74" s="8"/>
      <c r="I74" s="581" t="s">
        <v>297</v>
      </c>
      <c r="J74" s="583">
        <v>640</v>
      </c>
      <c r="K74" s="583">
        <v>805</v>
      </c>
      <c r="L74" s="583">
        <f>K74-J74</f>
        <v>165</v>
      </c>
    </row>
    <row r="75" spans="2:12" ht="13.5" thickBot="1" x14ac:dyDescent="0.25">
      <c r="D75" s="8"/>
      <c r="E75" s="21"/>
      <c r="F75" s="8"/>
      <c r="I75" s="581" t="s">
        <v>1600</v>
      </c>
      <c r="J75" s="582">
        <v>1538</v>
      </c>
      <c r="K75" s="582">
        <v>1879</v>
      </c>
      <c r="L75" s="583">
        <f t="shared" ref="L75:L76" si="7">K75-J75</f>
        <v>341</v>
      </c>
    </row>
    <row r="76" spans="2:12" ht="13.5" thickBot="1" x14ac:dyDescent="0.25">
      <c r="D76" s="8"/>
      <c r="E76" s="21"/>
      <c r="F76" s="8"/>
      <c r="I76" s="581" t="s">
        <v>1601</v>
      </c>
      <c r="J76" s="582">
        <v>18215</v>
      </c>
      <c r="K76" s="582">
        <v>18735</v>
      </c>
      <c r="L76" s="583">
        <f t="shared" si="7"/>
        <v>520</v>
      </c>
    </row>
    <row r="77" spans="2:12" ht="13.5" thickBot="1" x14ac:dyDescent="0.25">
      <c r="D77" s="8"/>
      <c r="E77" s="21"/>
      <c r="F77" s="8"/>
      <c r="I77" s="584" t="s">
        <v>53</v>
      </c>
      <c r="J77" s="588">
        <f t="shared" ref="J77:K77" si="8">SUM(J74:J76)</f>
        <v>20393</v>
      </c>
      <c r="K77" s="588">
        <f t="shared" si="8"/>
        <v>21419</v>
      </c>
      <c r="L77" s="588">
        <f>SUM(L74:L76)</f>
        <v>1026</v>
      </c>
    </row>
    <row r="78" spans="2:12" x14ac:dyDescent="0.2">
      <c r="D78" s="8"/>
      <c r="E78" s="21"/>
      <c r="F78" s="8"/>
    </row>
    <row r="79" spans="2:12" ht="13.5" thickBot="1" x14ac:dyDescent="0.25">
      <c r="D79" s="8"/>
      <c r="E79" s="21"/>
      <c r="F79" s="8"/>
    </row>
    <row r="80" spans="2:12" ht="13.5" thickBot="1" x14ac:dyDescent="0.25">
      <c r="D80" s="8"/>
      <c r="E80" s="21"/>
      <c r="F80" s="8"/>
      <c r="I80" s="586" t="s">
        <v>266</v>
      </c>
      <c r="J80" s="587" t="s">
        <v>1304</v>
      </c>
      <c r="K80" s="587" t="s">
        <v>1305</v>
      </c>
      <c r="L80" s="587" t="s">
        <v>1306</v>
      </c>
    </row>
    <row r="81" spans="4:12" ht="13.5" thickBot="1" x14ac:dyDescent="0.25">
      <c r="D81" s="8"/>
      <c r="E81" s="21"/>
      <c r="F81" s="8"/>
      <c r="I81" s="581" t="s">
        <v>22</v>
      </c>
      <c r="J81" s="582">
        <v>11118</v>
      </c>
      <c r="K81" s="582">
        <v>10925</v>
      </c>
      <c r="L81" s="582">
        <f>K81-J81</f>
        <v>-193</v>
      </c>
    </row>
    <row r="82" spans="4:12" ht="13.5" thickBot="1" x14ac:dyDescent="0.25">
      <c r="D82" s="8"/>
      <c r="E82" s="21"/>
      <c r="F82" s="8"/>
      <c r="I82" s="584" t="s">
        <v>53</v>
      </c>
      <c r="J82" s="585">
        <f t="shared" ref="J82:K82" si="9">SUM(J81)</f>
        <v>11118</v>
      </c>
      <c r="K82" s="585">
        <f t="shared" si="9"/>
        <v>10925</v>
      </c>
      <c r="L82" s="585">
        <f>SUM(L81)</f>
        <v>-193</v>
      </c>
    </row>
    <row r="83" spans="4:12" x14ac:dyDescent="0.2">
      <c r="D83" s="8"/>
      <c r="E83" s="21"/>
      <c r="F83" s="8"/>
    </row>
    <row r="84" spans="4:12" x14ac:dyDescent="0.2">
      <c r="D84" s="8"/>
      <c r="E84" s="21"/>
      <c r="F84" s="8"/>
    </row>
    <row r="85" spans="4:12" x14ac:dyDescent="0.2">
      <c r="D85" s="8"/>
      <c r="E85" s="21"/>
      <c r="F85" s="8"/>
    </row>
    <row r="86" spans="4:12" x14ac:dyDescent="0.2">
      <c r="D86" s="8"/>
      <c r="E86" s="21"/>
      <c r="F86" s="8"/>
    </row>
    <row r="87" spans="4:12" x14ac:dyDescent="0.2">
      <c r="D87" s="8"/>
      <c r="E87" s="21"/>
      <c r="F87" s="8"/>
    </row>
    <row r="88" spans="4:12" x14ac:dyDescent="0.2">
      <c r="D88" s="8"/>
      <c r="E88" s="21"/>
      <c r="F88" s="8"/>
    </row>
    <row r="89" spans="4:12" ht="13.5" thickBot="1" x14ac:dyDescent="0.25">
      <c r="D89" s="8"/>
      <c r="E89" s="21"/>
      <c r="F89" s="8"/>
    </row>
    <row r="90" spans="4:12" ht="13.5" thickBot="1" x14ac:dyDescent="0.25">
      <c r="D90" s="8"/>
      <c r="E90" s="21"/>
      <c r="F90" s="8"/>
      <c r="I90" s="586" t="s">
        <v>266</v>
      </c>
      <c r="J90" s="587" t="s">
        <v>1304</v>
      </c>
      <c r="K90" s="587" t="s">
        <v>1305</v>
      </c>
      <c r="L90" s="587" t="s">
        <v>1306</v>
      </c>
    </row>
    <row r="91" spans="4:12" ht="13.5" thickBot="1" x14ac:dyDescent="0.25">
      <c r="D91" s="8"/>
      <c r="E91" s="21"/>
      <c r="F91" s="8"/>
      <c r="I91" s="581" t="s">
        <v>22</v>
      </c>
      <c r="J91" s="582">
        <v>11446</v>
      </c>
      <c r="K91" s="582">
        <v>10844</v>
      </c>
      <c r="L91" s="583">
        <v>-602</v>
      </c>
    </row>
    <row r="92" spans="4:12" ht="13.5" thickBot="1" x14ac:dyDescent="0.25">
      <c r="D92" s="8"/>
      <c r="E92" s="21"/>
      <c r="F92" s="8"/>
      <c r="I92" s="584" t="s">
        <v>53</v>
      </c>
      <c r="J92" s="585">
        <v>11446</v>
      </c>
      <c r="K92" s="585">
        <v>10844</v>
      </c>
      <c r="L92" s="588">
        <v>-602</v>
      </c>
    </row>
    <row r="93" spans="4:12" x14ac:dyDescent="0.2">
      <c r="D93" s="8"/>
      <c r="E93" s="21"/>
      <c r="F93" s="8"/>
    </row>
    <row r="94" spans="4:12" x14ac:dyDescent="0.2">
      <c r="D94" s="8"/>
      <c r="E94" s="21"/>
      <c r="F94" s="8"/>
    </row>
    <row r="95" spans="4:12" x14ac:dyDescent="0.2">
      <c r="D95" s="8"/>
      <c r="E95" s="21"/>
      <c r="F95" s="8"/>
    </row>
    <row r="96" spans="4:12" x14ac:dyDescent="0.2">
      <c r="D96" s="8"/>
      <c r="E96" s="21"/>
      <c r="F96" s="8"/>
    </row>
    <row r="97" spans="4:6" x14ac:dyDescent="0.2">
      <c r="D97" s="8"/>
      <c r="E97" s="21"/>
      <c r="F97" s="8"/>
    </row>
    <row r="98" spans="4:6" x14ac:dyDescent="0.2">
      <c r="D98" s="8"/>
      <c r="E98" s="21"/>
      <c r="F98" s="8"/>
    </row>
    <row r="99" spans="4:6" x14ac:dyDescent="0.2">
      <c r="D99" s="8"/>
      <c r="E99" s="21"/>
      <c r="F99" s="8"/>
    </row>
    <row r="100" spans="4:6" x14ac:dyDescent="0.2">
      <c r="D100" s="8"/>
      <c r="E100" s="21"/>
      <c r="F100" s="8"/>
    </row>
    <row r="101" spans="4:6" x14ac:dyDescent="0.2">
      <c r="D101" s="8"/>
      <c r="E101" s="21"/>
      <c r="F101" s="8"/>
    </row>
    <row r="102" spans="4:6" x14ac:dyDescent="0.2">
      <c r="D102" s="8"/>
      <c r="E102" s="21"/>
      <c r="F102" s="8"/>
    </row>
    <row r="103" spans="4:6" x14ac:dyDescent="0.2">
      <c r="D103" s="8"/>
      <c r="E103" s="21"/>
      <c r="F103" s="8"/>
    </row>
    <row r="104" spans="4:6" x14ac:dyDescent="0.2">
      <c r="D104" s="8"/>
      <c r="E104" s="21"/>
      <c r="F104" s="8"/>
    </row>
    <row r="105" spans="4:6" x14ac:dyDescent="0.2">
      <c r="D105" s="8"/>
      <c r="E105" s="21"/>
      <c r="F105" s="8"/>
    </row>
    <row r="106" spans="4:6" x14ac:dyDescent="0.2">
      <c r="D106" s="8"/>
      <c r="E106" s="21"/>
      <c r="F106" s="8"/>
    </row>
    <row r="107" spans="4:6" x14ac:dyDescent="0.2">
      <c r="D107" s="8"/>
      <c r="E107" s="21"/>
      <c r="F107" s="8"/>
    </row>
    <row r="108" spans="4:6" x14ac:dyDescent="0.2">
      <c r="D108" s="8"/>
      <c r="E108" s="21"/>
      <c r="F108" s="8"/>
    </row>
    <row r="109" spans="4:6" x14ac:dyDescent="0.2">
      <c r="D109" s="8"/>
      <c r="E109" s="21"/>
      <c r="F109" s="8"/>
    </row>
    <row r="110" spans="4:6" x14ac:dyDescent="0.2">
      <c r="D110" s="8"/>
      <c r="E110" s="21"/>
      <c r="F110" s="8"/>
    </row>
    <row r="111" spans="4:6" x14ac:dyDescent="0.2">
      <c r="D111" s="8"/>
      <c r="E111" s="21"/>
      <c r="F111" s="8"/>
    </row>
    <row r="112" spans="4:6" x14ac:dyDescent="0.2">
      <c r="D112" s="8"/>
      <c r="E112" s="21"/>
      <c r="F112" s="8"/>
    </row>
    <row r="113" spans="4:6" x14ac:dyDescent="0.2">
      <c r="D113" s="8"/>
      <c r="E113" s="21"/>
      <c r="F113" s="8"/>
    </row>
    <row r="114" spans="4:6" x14ac:dyDescent="0.2">
      <c r="D114" s="8"/>
      <c r="E114" s="21"/>
      <c r="F114" s="8"/>
    </row>
    <row r="115" spans="4:6" x14ac:dyDescent="0.2">
      <c r="D115" s="8"/>
      <c r="E115" s="21"/>
      <c r="F115" s="8"/>
    </row>
    <row r="116" spans="4:6" x14ac:dyDescent="0.2">
      <c r="D116" s="8"/>
      <c r="E116" s="21"/>
      <c r="F116" s="8"/>
    </row>
    <row r="117" spans="4:6" x14ac:dyDescent="0.2">
      <c r="D117" s="8"/>
      <c r="E117" s="21"/>
      <c r="F117" s="8"/>
    </row>
    <row r="118" spans="4:6" x14ac:dyDescent="0.2">
      <c r="D118" s="8"/>
      <c r="E118" s="21"/>
      <c r="F118" s="8"/>
    </row>
    <row r="119" spans="4:6" x14ac:dyDescent="0.2">
      <c r="D119" s="8"/>
      <c r="E119" s="21"/>
      <c r="F119" s="8"/>
    </row>
    <row r="120" spans="4:6" x14ac:dyDescent="0.2">
      <c r="D120" s="8"/>
      <c r="E120" s="21"/>
      <c r="F120" s="8"/>
    </row>
    <row r="121" spans="4:6" x14ac:dyDescent="0.2">
      <c r="D121" s="8"/>
      <c r="E121" s="21"/>
      <c r="F121" s="8"/>
    </row>
    <row r="122" spans="4:6" x14ac:dyDescent="0.2">
      <c r="D122" s="8"/>
      <c r="E122" s="21"/>
      <c r="F122" s="8"/>
    </row>
    <row r="123" spans="4:6" x14ac:dyDescent="0.2">
      <c r="D123" s="8"/>
      <c r="E123" s="21"/>
      <c r="F123" s="8"/>
    </row>
    <row r="124" spans="4:6" x14ac:dyDescent="0.2">
      <c r="D124" s="8"/>
      <c r="E124" s="21"/>
      <c r="F124" s="8"/>
    </row>
    <row r="125" spans="4:6" x14ac:dyDescent="0.2">
      <c r="D125" s="8"/>
      <c r="E125" s="21"/>
      <c r="F125" s="8"/>
    </row>
    <row r="126" spans="4:6" x14ac:dyDescent="0.2">
      <c r="D126" s="8"/>
      <c r="E126" s="21"/>
      <c r="F126" s="8"/>
    </row>
    <row r="127" spans="4:6" x14ac:dyDescent="0.2">
      <c r="D127" s="8"/>
      <c r="E127" s="21"/>
      <c r="F127" s="8"/>
    </row>
    <row r="128" spans="4:6" x14ac:dyDescent="0.2">
      <c r="D128" s="8"/>
      <c r="E128" s="21"/>
      <c r="F128" s="8"/>
    </row>
    <row r="129" spans="4:6" x14ac:dyDescent="0.2">
      <c r="D129" s="8"/>
      <c r="E129" s="21"/>
      <c r="F129" s="8"/>
    </row>
    <row r="130" spans="4:6" x14ac:dyDescent="0.2">
      <c r="D130" s="8"/>
      <c r="E130" s="21"/>
      <c r="F130" s="8"/>
    </row>
    <row r="131" spans="4:6" x14ac:dyDescent="0.2">
      <c r="D131" s="8"/>
      <c r="E131" s="21"/>
      <c r="F131" s="8"/>
    </row>
    <row r="132" spans="4:6" x14ac:dyDescent="0.2">
      <c r="D132" s="8"/>
      <c r="E132" s="21"/>
      <c r="F132" s="8"/>
    </row>
    <row r="133" spans="4:6" x14ac:dyDescent="0.2">
      <c r="D133" s="8"/>
      <c r="E133" s="21"/>
      <c r="F133" s="8"/>
    </row>
    <row r="134" spans="4:6" x14ac:dyDescent="0.2">
      <c r="D134" s="8"/>
      <c r="E134" s="21"/>
      <c r="F134" s="8"/>
    </row>
    <row r="135" spans="4:6" x14ac:dyDescent="0.2">
      <c r="D135" s="8"/>
      <c r="E135" s="21"/>
      <c r="F135" s="8"/>
    </row>
    <row r="136" spans="4:6" x14ac:dyDescent="0.2">
      <c r="D136" s="8"/>
      <c r="E136" s="21"/>
      <c r="F136" s="8"/>
    </row>
    <row r="137" spans="4:6" x14ac:dyDescent="0.2">
      <c r="D137" s="8"/>
      <c r="E137" s="21"/>
      <c r="F137" s="8"/>
    </row>
    <row r="138" spans="4:6" x14ac:dyDescent="0.2">
      <c r="D138" s="8"/>
      <c r="E138" s="21"/>
      <c r="F138" s="8"/>
    </row>
    <row r="139" spans="4:6" x14ac:dyDescent="0.2">
      <c r="D139" s="8"/>
      <c r="E139" s="21"/>
      <c r="F139" s="8"/>
    </row>
    <row r="140" spans="4:6" x14ac:dyDescent="0.2">
      <c r="D140" s="8"/>
      <c r="E140" s="21"/>
      <c r="F140" s="8"/>
    </row>
    <row r="141" spans="4:6" x14ac:dyDescent="0.2">
      <c r="D141" s="8"/>
      <c r="E141" s="21"/>
      <c r="F141" s="8"/>
    </row>
    <row r="142" spans="4:6" x14ac:dyDescent="0.2">
      <c r="D142" s="8"/>
      <c r="E142" s="21"/>
      <c r="F142" s="8"/>
    </row>
    <row r="143" spans="4:6" x14ac:dyDescent="0.2">
      <c r="D143" s="8"/>
      <c r="E143" s="21"/>
      <c r="F143" s="8"/>
    </row>
    <row r="144" spans="4:6" x14ac:dyDescent="0.2">
      <c r="D144" s="8"/>
      <c r="E144" s="21"/>
      <c r="F144" s="8"/>
    </row>
    <row r="145" spans="4:6" x14ac:dyDescent="0.2">
      <c r="D145" s="8"/>
      <c r="E145" s="21"/>
      <c r="F145" s="8"/>
    </row>
    <row r="146" spans="4:6" x14ac:dyDescent="0.2">
      <c r="D146" s="8"/>
      <c r="E146" s="21"/>
      <c r="F146" s="8"/>
    </row>
    <row r="147" spans="4:6" x14ac:dyDescent="0.2">
      <c r="D147" s="8"/>
      <c r="E147" s="21"/>
      <c r="F147" s="8"/>
    </row>
    <row r="148" spans="4:6" x14ac:dyDescent="0.2">
      <c r="D148" s="8"/>
      <c r="E148" s="21"/>
      <c r="F148" s="8"/>
    </row>
    <row r="149" spans="4:6" x14ac:dyDescent="0.2">
      <c r="D149" s="8"/>
      <c r="E149" s="21"/>
      <c r="F149" s="8"/>
    </row>
    <row r="150" spans="4:6" x14ac:dyDescent="0.2">
      <c r="D150" s="8"/>
      <c r="E150" s="21"/>
      <c r="F150" s="8"/>
    </row>
    <row r="151" spans="4:6" x14ac:dyDescent="0.2">
      <c r="D151" s="8"/>
      <c r="E151" s="21"/>
      <c r="F151" s="8"/>
    </row>
    <row r="152" spans="4:6" x14ac:dyDescent="0.2">
      <c r="D152" s="8"/>
      <c r="E152" s="21"/>
      <c r="F152" s="8"/>
    </row>
    <row r="153" spans="4:6" x14ac:dyDescent="0.2">
      <c r="D153" s="8"/>
      <c r="E153" s="21"/>
      <c r="F153" s="8"/>
    </row>
    <row r="154" spans="4:6" x14ac:dyDescent="0.2">
      <c r="D154" s="8"/>
      <c r="E154" s="21"/>
      <c r="F154" s="8"/>
    </row>
    <row r="155" spans="4:6" x14ac:dyDescent="0.2">
      <c r="D155" s="8"/>
      <c r="E155" s="21"/>
      <c r="F155" s="8"/>
    </row>
    <row r="156" spans="4:6" x14ac:dyDescent="0.2">
      <c r="D156" s="8"/>
      <c r="E156" s="21"/>
      <c r="F156" s="8"/>
    </row>
    <row r="157" spans="4:6" x14ac:dyDescent="0.2">
      <c r="D157" s="8"/>
      <c r="E157" s="21"/>
      <c r="F157" s="8"/>
    </row>
    <row r="158" spans="4:6" x14ac:dyDescent="0.2">
      <c r="D158" s="8"/>
      <c r="E158" s="21"/>
      <c r="F158" s="8"/>
    </row>
    <row r="159" spans="4:6" x14ac:dyDescent="0.2">
      <c r="D159" s="8"/>
      <c r="E159" s="21"/>
      <c r="F159" s="8"/>
    </row>
    <row r="160" spans="4:6" x14ac:dyDescent="0.2">
      <c r="D160" s="8"/>
      <c r="E160" s="21"/>
      <c r="F160" s="8"/>
    </row>
    <row r="161" spans="4:6" x14ac:dyDescent="0.2">
      <c r="D161" s="8"/>
      <c r="E161" s="21"/>
      <c r="F161" s="8"/>
    </row>
    <row r="162" spans="4:6" x14ac:dyDescent="0.2">
      <c r="D162" s="8"/>
      <c r="E162" s="21"/>
      <c r="F162" s="8"/>
    </row>
    <row r="163" spans="4:6" x14ac:dyDescent="0.2">
      <c r="D163" s="8"/>
      <c r="E163" s="21"/>
      <c r="F163" s="8"/>
    </row>
    <row r="164" spans="4:6" x14ac:dyDescent="0.2">
      <c r="D164" s="8"/>
      <c r="E164" s="21"/>
      <c r="F164" s="8"/>
    </row>
    <row r="165" spans="4:6" x14ac:dyDescent="0.2">
      <c r="D165" s="8"/>
      <c r="E165" s="21"/>
      <c r="F165" s="8"/>
    </row>
    <row r="166" spans="4:6" x14ac:dyDescent="0.2">
      <c r="D166" s="8"/>
      <c r="E166" s="21"/>
      <c r="F166" s="8"/>
    </row>
    <row r="167" spans="4:6" x14ac:dyDescent="0.2">
      <c r="D167" s="8"/>
      <c r="E167" s="21"/>
      <c r="F167" s="8"/>
    </row>
    <row r="168" spans="4:6" x14ac:dyDescent="0.2">
      <c r="D168" s="8"/>
      <c r="E168" s="21"/>
      <c r="F168" s="8"/>
    </row>
    <row r="169" spans="4:6" x14ac:dyDescent="0.2">
      <c r="D169" s="8"/>
      <c r="E169" s="21"/>
      <c r="F169" s="8"/>
    </row>
    <row r="170" spans="4:6" x14ac:dyDescent="0.2">
      <c r="D170" s="8"/>
      <c r="E170" s="21"/>
      <c r="F170" s="8"/>
    </row>
    <row r="171" spans="4:6" x14ac:dyDescent="0.2">
      <c r="D171" s="8"/>
      <c r="E171" s="21"/>
      <c r="F171" s="8"/>
    </row>
    <row r="172" spans="4:6" x14ac:dyDescent="0.2">
      <c r="D172" s="8"/>
      <c r="E172" s="21"/>
      <c r="F172" s="8"/>
    </row>
    <row r="173" spans="4:6" x14ac:dyDescent="0.2">
      <c r="D173" s="8"/>
      <c r="E173" s="21"/>
      <c r="F173" s="8"/>
    </row>
    <row r="174" spans="4:6" x14ac:dyDescent="0.2">
      <c r="D174" s="8"/>
      <c r="E174" s="21"/>
      <c r="F174" s="8"/>
    </row>
    <row r="175" spans="4:6" x14ac:dyDescent="0.2">
      <c r="D175" s="8"/>
      <c r="E175" s="21"/>
      <c r="F175" s="8"/>
    </row>
    <row r="176" spans="4:6" x14ac:dyDescent="0.2">
      <c r="D176" s="8"/>
      <c r="E176" s="21"/>
      <c r="F176" s="8"/>
    </row>
    <row r="177" spans="4:6" x14ac:dyDescent="0.2">
      <c r="D177" s="8"/>
      <c r="E177" s="21"/>
      <c r="F177" s="8"/>
    </row>
    <row r="178" spans="4:6" x14ac:dyDescent="0.2">
      <c r="D178" s="8"/>
      <c r="E178" s="21"/>
      <c r="F178" s="8"/>
    </row>
    <row r="179" spans="4:6" x14ac:dyDescent="0.2">
      <c r="D179" s="8"/>
      <c r="E179" s="21"/>
      <c r="F179" s="8"/>
    </row>
    <row r="180" spans="4:6" x14ac:dyDescent="0.2">
      <c r="D180" s="8"/>
      <c r="E180" s="21"/>
      <c r="F180" s="8"/>
    </row>
    <row r="181" spans="4:6" x14ac:dyDescent="0.2">
      <c r="D181" s="8"/>
      <c r="E181" s="21"/>
      <c r="F181" s="8"/>
    </row>
    <row r="182" spans="4:6" x14ac:dyDescent="0.2">
      <c r="D182" s="8"/>
      <c r="E182" s="21"/>
      <c r="F182" s="8"/>
    </row>
    <row r="183" spans="4:6" x14ac:dyDescent="0.2">
      <c r="D183" s="8"/>
      <c r="E183" s="21"/>
      <c r="F183" s="8"/>
    </row>
    <row r="184" spans="4:6" x14ac:dyDescent="0.2">
      <c r="D184" s="8"/>
      <c r="E184" s="21"/>
      <c r="F184" s="8"/>
    </row>
    <row r="185" spans="4:6" x14ac:dyDescent="0.2">
      <c r="D185" s="8"/>
      <c r="E185" s="21"/>
      <c r="F185" s="8"/>
    </row>
    <row r="186" spans="4:6" x14ac:dyDescent="0.2">
      <c r="D186" s="8"/>
      <c r="E186" s="21"/>
      <c r="F186" s="8"/>
    </row>
    <row r="187" spans="4:6" x14ac:dyDescent="0.2">
      <c r="D187" s="8"/>
      <c r="E187" s="21"/>
      <c r="F187" s="8"/>
    </row>
    <row r="188" spans="4:6" x14ac:dyDescent="0.2">
      <c r="D188" s="8"/>
      <c r="E188" s="21"/>
      <c r="F188" s="8"/>
    </row>
    <row r="189" spans="4:6" x14ac:dyDescent="0.2">
      <c r="D189" s="8"/>
      <c r="E189" s="21"/>
      <c r="F189" s="8"/>
    </row>
    <row r="190" spans="4:6" x14ac:dyDescent="0.2">
      <c r="D190" s="8"/>
      <c r="E190" s="21"/>
      <c r="F190" s="8"/>
    </row>
    <row r="191" spans="4:6" x14ac:dyDescent="0.2">
      <c r="D191" s="8"/>
      <c r="E191" s="21"/>
      <c r="F191" s="8"/>
    </row>
    <row r="192" spans="4:6" x14ac:dyDescent="0.2">
      <c r="D192" s="8"/>
      <c r="E192" s="21"/>
      <c r="F192" s="8"/>
    </row>
    <row r="193" spans="4:6" x14ac:dyDescent="0.2">
      <c r="D193" s="8"/>
      <c r="E193" s="21"/>
      <c r="F193" s="8"/>
    </row>
    <row r="194" spans="4:6" x14ac:dyDescent="0.2">
      <c r="D194" s="8"/>
      <c r="E194" s="21"/>
      <c r="F194" s="8"/>
    </row>
    <row r="195" spans="4:6" x14ac:dyDescent="0.2">
      <c r="D195" s="8"/>
      <c r="E195" s="21"/>
      <c r="F195" s="8"/>
    </row>
    <row r="196" spans="4:6" x14ac:dyDescent="0.2">
      <c r="D196" s="8"/>
      <c r="E196" s="21"/>
      <c r="F196" s="8"/>
    </row>
    <row r="197" spans="4:6" x14ac:dyDescent="0.2">
      <c r="D197" s="8"/>
      <c r="E197" s="21"/>
      <c r="F197" s="8"/>
    </row>
    <row r="198" spans="4:6" x14ac:dyDescent="0.2">
      <c r="D198" s="8"/>
      <c r="E198" s="21"/>
      <c r="F198" s="8"/>
    </row>
    <row r="199" spans="4:6" x14ac:dyDescent="0.2">
      <c r="D199" s="8"/>
      <c r="E199" s="21"/>
      <c r="F199" s="8"/>
    </row>
    <row r="200" spans="4:6" x14ac:dyDescent="0.2">
      <c r="D200" s="8"/>
      <c r="E200" s="21"/>
      <c r="F200" s="8"/>
    </row>
    <row r="201" spans="4:6" x14ac:dyDescent="0.2">
      <c r="D201" s="8"/>
      <c r="E201" s="21"/>
      <c r="F201" s="8"/>
    </row>
    <row r="202" spans="4:6" x14ac:dyDescent="0.2">
      <c r="D202" s="8"/>
      <c r="E202" s="21"/>
      <c r="F202" s="8"/>
    </row>
    <row r="203" spans="4:6" x14ac:dyDescent="0.2">
      <c r="D203" s="8"/>
      <c r="E203" s="21"/>
      <c r="F203" s="8"/>
    </row>
    <row r="204" spans="4:6" x14ac:dyDescent="0.2">
      <c r="D204" s="8"/>
      <c r="E204" s="21"/>
      <c r="F204" s="8"/>
    </row>
    <row r="205" spans="4:6" x14ac:dyDescent="0.2">
      <c r="D205" s="8"/>
      <c r="E205" s="21"/>
      <c r="F205" s="8"/>
    </row>
    <row r="206" spans="4:6" x14ac:dyDescent="0.2">
      <c r="D206" s="8"/>
      <c r="E206" s="21"/>
      <c r="F206" s="8"/>
    </row>
    <row r="207" spans="4:6" x14ac:dyDescent="0.2">
      <c r="D207" s="8"/>
      <c r="E207" s="21"/>
      <c r="F207" s="8"/>
    </row>
    <row r="208" spans="4:6" x14ac:dyDescent="0.2">
      <c r="D208" s="8"/>
      <c r="E208" s="21"/>
      <c r="F208" s="8"/>
    </row>
    <row r="209" spans="4:6" x14ac:dyDescent="0.2">
      <c r="D209" s="8"/>
      <c r="E209" s="21"/>
      <c r="F209" s="8"/>
    </row>
    <row r="210" spans="4:6" x14ac:dyDescent="0.2">
      <c r="D210" s="8"/>
      <c r="E210" s="21"/>
      <c r="F210" s="8"/>
    </row>
    <row r="211" spans="4:6" x14ac:dyDescent="0.2">
      <c r="D211" s="8"/>
      <c r="E211" s="21"/>
      <c r="F211" s="8"/>
    </row>
    <row r="212" spans="4:6" x14ac:dyDescent="0.2">
      <c r="D212" s="8"/>
      <c r="E212" s="21"/>
      <c r="F212" s="8"/>
    </row>
    <row r="213" spans="4:6" x14ac:dyDescent="0.2">
      <c r="D213" s="8"/>
      <c r="E213" s="21"/>
      <c r="F213" s="8"/>
    </row>
    <row r="214" spans="4:6" x14ac:dyDescent="0.2">
      <c r="D214" s="8"/>
      <c r="E214" s="21"/>
      <c r="F214" s="8"/>
    </row>
    <row r="215" spans="4:6" x14ac:dyDescent="0.2">
      <c r="D215" s="8"/>
      <c r="E215" s="21"/>
      <c r="F215" s="8"/>
    </row>
    <row r="216" spans="4:6" x14ac:dyDescent="0.2">
      <c r="D216" s="8"/>
      <c r="E216" s="21"/>
      <c r="F216" s="8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selection activeCell="I182" sqref="I182"/>
    </sheetView>
  </sheetViews>
  <sheetFormatPr defaultRowHeight="15" x14ac:dyDescent="0.25"/>
  <cols>
    <col min="2" max="2" width="10.7109375" bestFit="1" customWidth="1"/>
    <col min="3" max="3" width="13" customWidth="1"/>
    <col min="4" max="4" width="118.140625" bestFit="1" customWidth="1"/>
    <col min="5" max="5" width="26.5703125" customWidth="1"/>
    <col min="7" max="7" width="13.85546875" customWidth="1"/>
    <col min="8" max="8" width="14.28515625" bestFit="1" customWidth="1"/>
    <col min="9" max="9" width="13.28515625" bestFit="1" customWidth="1"/>
    <col min="10" max="10" width="10.140625" bestFit="1" customWidth="1"/>
  </cols>
  <sheetData>
    <row r="1" spans="1:9" s="144" customFormat="1" x14ac:dyDescent="0.25">
      <c r="A1" s="144">
        <v>1</v>
      </c>
      <c r="B1" s="144" t="s">
        <v>845</v>
      </c>
      <c r="C1" s="144" t="s">
        <v>529</v>
      </c>
      <c r="D1" s="144">
        <v>11239</v>
      </c>
      <c r="E1" s="144" t="s">
        <v>98</v>
      </c>
      <c r="F1" s="200" t="s">
        <v>846</v>
      </c>
      <c r="G1" s="200">
        <v>1487.38</v>
      </c>
    </row>
    <row r="2" spans="1:9" x14ac:dyDescent="0.25">
      <c r="A2" s="144">
        <v>1</v>
      </c>
    </row>
    <row r="3" spans="1:9" x14ac:dyDescent="0.25">
      <c r="A3" s="144">
        <v>1</v>
      </c>
      <c r="B3" t="s">
        <v>847</v>
      </c>
      <c r="C3" t="s">
        <v>848</v>
      </c>
      <c r="D3" t="s">
        <v>849</v>
      </c>
      <c r="E3" t="s">
        <v>850</v>
      </c>
      <c r="F3" t="s">
        <v>851</v>
      </c>
      <c r="G3" t="s">
        <v>811</v>
      </c>
      <c r="H3" t="s">
        <v>812</v>
      </c>
      <c r="I3" t="s">
        <v>813</v>
      </c>
    </row>
    <row r="4" spans="1:9" s="166" customFormat="1" x14ac:dyDescent="0.25">
      <c r="A4" s="144">
        <v>1</v>
      </c>
      <c r="B4" s="547">
        <v>44957</v>
      </c>
      <c r="C4" s="166">
        <v>286305</v>
      </c>
      <c r="D4" s="166" t="s">
        <v>1290</v>
      </c>
      <c r="E4" s="166" t="s">
        <v>1271</v>
      </c>
      <c r="G4" s="166">
        <v>16.66</v>
      </c>
      <c r="H4" s="548"/>
      <c r="I4" s="548">
        <v>1504.04</v>
      </c>
    </row>
    <row r="5" spans="1:9" s="166" customFormat="1" x14ac:dyDescent="0.25">
      <c r="A5" s="144">
        <v>1</v>
      </c>
      <c r="B5" s="547">
        <v>44985</v>
      </c>
      <c r="C5" s="166">
        <v>288398</v>
      </c>
      <c r="D5" s="166" t="s">
        <v>1291</v>
      </c>
      <c r="E5" s="166" t="s">
        <v>1272</v>
      </c>
      <c r="H5" s="548">
        <v>-7.24</v>
      </c>
      <c r="I5" s="548">
        <v>1496.8</v>
      </c>
    </row>
    <row r="6" spans="1:9" s="166" customFormat="1" x14ac:dyDescent="0.25">
      <c r="A6" s="144">
        <v>1</v>
      </c>
      <c r="B6" s="547">
        <v>45016</v>
      </c>
      <c r="C6" s="166">
        <v>289414</v>
      </c>
      <c r="D6" s="166" t="s">
        <v>1292</v>
      </c>
      <c r="E6" s="166" t="s">
        <v>1273</v>
      </c>
      <c r="G6" s="166">
        <v>14.81</v>
      </c>
      <c r="H6" s="548"/>
      <c r="I6" s="548">
        <v>1511.61</v>
      </c>
    </row>
    <row r="7" spans="1:9" s="166" customFormat="1" x14ac:dyDescent="0.25">
      <c r="A7" s="144">
        <v>1</v>
      </c>
      <c r="B7" s="547">
        <v>45046</v>
      </c>
      <c r="C7" s="166">
        <v>289910</v>
      </c>
      <c r="D7" s="166" t="s">
        <v>1374</v>
      </c>
      <c r="E7" s="166" t="s">
        <v>1364</v>
      </c>
      <c r="G7" s="166">
        <v>11.66</v>
      </c>
      <c r="H7" s="548"/>
      <c r="I7" s="548">
        <v>1523.27</v>
      </c>
    </row>
    <row r="8" spans="1:9" s="166" customFormat="1" x14ac:dyDescent="0.25">
      <c r="A8" s="144">
        <v>1</v>
      </c>
      <c r="B8" s="547">
        <v>45077</v>
      </c>
      <c r="C8" s="166">
        <v>290886</v>
      </c>
      <c r="D8" s="166" t="s">
        <v>1375</v>
      </c>
      <c r="E8" s="166" t="s">
        <v>1365</v>
      </c>
      <c r="G8" s="166">
        <v>14.18</v>
      </c>
      <c r="H8" s="548"/>
      <c r="I8" s="548">
        <v>1537.45</v>
      </c>
    </row>
    <row r="9" spans="1:9" s="166" customFormat="1" x14ac:dyDescent="0.25">
      <c r="A9" s="144">
        <v>1</v>
      </c>
      <c r="B9" s="547">
        <v>45107</v>
      </c>
      <c r="C9" s="166">
        <v>291681</v>
      </c>
      <c r="D9" s="166" t="s">
        <v>1376</v>
      </c>
      <c r="E9" s="166" t="s">
        <v>1367</v>
      </c>
      <c r="G9" s="166">
        <v>13.55</v>
      </c>
      <c r="H9" s="548"/>
      <c r="I9" s="548">
        <v>1551</v>
      </c>
    </row>
    <row r="10" spans="1:9" x14ac:dyDescent="0.25">
      <c r="A10">
        <v>1</v>
      </c>
      <c r="B10" s="190">
        <v>45138</v>
      </c>
      <c r="C10">
        <v>292507</v>
      </c>
      <c r="D10" t="s">
        <v>1579</v>
      </c>
      <c r="E10" t="s">
        <v>1569</v>
      </c>
      <c r="G10">
        <v>13.55</v>
      </c>
      <c r="I10" s="164">
        <v>1564.55</v>
      </c>
    </row>
    <row r="11" spans="1:9" x14ac:dyDescent="0.25">
      <c r="A11">
        <v>1</v>
      </c>
      <c r="B11" s="190">
        <v>45169</v>
      </c>
      <c r="C11">
        <v>293257</v>
      </c>
      <c r="D11" t="s">
        <v>1580</v>
      </c>
      <c r="E11" t="s">
        <v>1571</v>
      </c>
      <c r="G11">
        <v>14.44</v>
      </c>
      <c r="I11" s="164">
        <v>1578.99</v>
      </c>
    </row>
    <row r="12" spans="1:9" x14ac:dyDescent="0.25">
      <c r="A12">
        <v>1</v>
      </c>
      <c r="B12" s="190">
        <v>45199</v>
      </c>
      <c r="C12">
        <v>294083</v>
      </c>
      <c r="D12" t="s">
        <v>1581</v>
      </c>
      <c r="E12" t="s">
        <v>1572</v>
      </c>
      <c r="G12">
        <v>12.29</v>
      </c>
      <c r="I12" s="164">
        <v>1591.28</v>
      </c>
    </row>
    <row r="13" spans="1:9" x14ac:dyDescent="0.25">
      <c r="A13" s="144">
        <v>1</v>
      </c>
    </row>
    <row r="14" spans="1:9" s="144" customFormat="1" x14ac:dyDescent="0.25">
      <c r="A14" s="144">
        <v>1</v>
      </c>
      <c r="B14" s="144" t="s">
        <v>845</v>
      </c>
      <c r="C14" s="144" t="s">
        <v>309</v>
      </c>
      <c r="D14" s="144">
        <v>112316</v>
      </c>
      <c r="E14" s="144" t="s">
        <v>310</v>
      </c>
      <c r="F14" s="200" t="s">
        <v>846</v>
      </c>
      <c r="G14" s="200"/>
    </row>
    <row r="15" spans="1:9" x14ac:dyDescent="0.25">
      <c r="A15" s="144">
        <v>1</v>
      </c>
    </row>
    <row r="16" spans="1:9" x14ac:dyDescent="0.25">
      <c r="A16" s="144">
        <v>1</v>
      </c>
      <c r="B16" t="s">
        <v>847</v>
      </c>
      <c r="C16" t="s">
        <v>848</v>
      </c>
      <c r="D16" t="s">
        <v>849</v>
      </c>
      <c r="E16" t="s">
        <v>850</v>
      </c>
      <c r="F16" t="s">
        <v>851</v>
      </c>
      <c r="G16" t="s">
        <v>811</v>
      </c>
      <c r="H16" t="s">
        <v>812</v>
      </c>
      <c r="I16" t="s">
        <v>813</v>
      </c>
    </row>
    <row r="17" spans="1:9" s="139" customFormat="1" x14ac:dyDescent="0.25">
      <c r="A17" s="566">
        <v>1</v>
      </c>
      <c r="B17" s="247">
        <v>44927</v>
      </c>
      <c r="C17" s="139">
        <v>286313</v>
      </c>
      <c r="D17" s="139" t="s">
        <v>1293</v>
      </c>
      <c r="E17" s="139" t="s">
        <v>1271</v>
      </c>
      <c r="G17" s="248"/>
      <c r="H17" s="248">
        <v>-668444.49</v>
      </c>
      <c r="I17" s="139">
        <v>0</v>
      </c>
    </row>
    <row r="18" spans="1:9" s="139" customFormat="1" x14ac:dyDescent="0.25">
      <c r="A18" s="566">
        <v>1</v>
      </c>
      <c r="B18" s="247">
        <v>45077</v>
      </c>
      <c r="C18" s="139">
        <v>291037</v>
      </c>
      <c r="D18" s="139" t="s">
        <v>1377</v>
      </c>
      <c r="E18" s="139" t="s">
        <v>1365</v>
      </c>
      <c r="F18" s="248"/>
      <c r="G18" s="248">
        <v>415586.86</v>
      </c>
      <c r="H18" s="248"/>
      <c r="I18" s="248">
        <v>415586.86</v>
      </c>
    </row>
    <row r="19" spans="1:9" s="139" customFormat="1" x14ac:dyDescent="0.25">
      <c r="A19" s="566">
        <v>1</v>
      </c>
      <c r="B19" s="247">
        <v>45107</v>
      </c>
      <c r="C19" s="139">
        <v>291865</v>
      </c>
      <c r="D19" s="139" t="s">
        <v>1378</v>
      </c>
      <c r="E19" s="139" t="s">
        <v>1367</v>
      </c>
      <c r="G19" s="248"/>
      <c r="H19" s="248">
        <v>-187012.63</v>
      </c>
      <c r="I19" s="248">
        <v>228574.23</v>
      </c>
    </row>
    <row r="20" spans="1:9" x14ac:dyDescent="0.25">
      <c r="A20">
        <v>1</v>
      </c>
      <c r="B20" s="190">
        <v>45138</v>
      </c>
      <c r="C20">
        <v>292662</v>
      </c>
      <c r="D20" t="s">
        <v>1582</v>
      </c>
      <c r="E20" t="s">
        <v>1569</v>
      </c>
      <c r="G20" s="164">
        <v>176196.16</v>
      </c>
      <c r="I20" s="164">
        <v>404770.39</v>
      </c>
    </row>
    <row r="21" spans="1:9" x14ac:dyDescent="0.25">
      <c r="A21">
        <v>1</v>
      </c>
      <c r="B21" s="190">
        <v>45169</v>
      </c>
      <c r="C21">
        <v>293409</v>
      </c>
      <c r="D21" t="s">
        <v>1583</v>
      </c>
      <c r="E21" t="s">
        <v>1571</v>
      </c>
      <c r="G21" s="164">
        <v>23449.88</v>
      </c>
      <c r="I21" s="164">
        <v>428220.27</v>
      </c>
    </row>
    <row r="22" spans="1:9" x14ac:dyDescent="0.25">
      <c r="A22">
        <v>1</v>
      </c>
      <c r="B22" s="190">
        <v>45199</v>
      </c>
      <c r="C22">
        <v>294279</v>
      </c>
      <c r="D22" t="s">
        <v>1584</v>
      </c>
      <c r="E22" t="s">
        <v>1572</v>
      </c>
      <c r="H22" s="164">
        <v>-87073.93</v>
      </c>
      <c r="I22" s="164">
        <v>341146.34</v>
      </c>
    </row>
    <row r="23" spans="1:9" x14ac:dyDescent="0.25">
      <c r="A23" s="144">
        <v>1</v>
      </c>
    </row>
    <row r="24" spans="1:9" s="144" customFormat="1" x14ac:dyDescent="0.25">
      <c r="A24" s="144">
        <v>1</v>
      </c>
      <c r="B24" s="144" t="s">
        <v>845</v>
      </c>
      <c r="C24" s="144" t="s">
        <v>311</v>
      </c>
      <c r="D24" s="144">
        <v>112317</v>
      </c>
      <c r="E24" s="144" t="s">
        <v>312</v>
      </c>
      <c r="F24" s="200" t="s">
        <v>846</v>
      </c>
      <c r="G24" s="200"/>
    </row>
    <row r="25" spans="1:9" x14ac:dyDescent="0.25">
      <c r="A25" s="144">
        <v>1</v>
      </c>
    </row>
    <row r="26" spans="1:9" x14ac:dyDescent="0.25">
      <c r="A26" s="144">
        <v>1</v>
      </c>
      <c r="B26" t="s">
        <v>847</v>
      </c>
      <c r="C26" t="s">
        <v>848</v>
      </c>
      <c r="D26" t="s">
        <v>849</v>
      </c>
      <c r="E26" t="s">
        <v>850</v>
      </c>
      <c r="F26" t="s">
        <v>851</v>
      </c>
      <c r="G26" t="s">
        <v>811</v>
      </c>
      <c r="H26" t="s">
        <v>812</v>
      </c>
      <c r="I26" t="s">
        <v>813</v>
      </c>
    </row>
    <row r="27" spans="1:9" s="139" customFormat="1" x14ac:dyDescent="0.25">
      <c r="A27" s="566">
        <v>1</v>
      </c>
      <c r="B27" s="247">
        <v>44927</v>
      </c>
      <c r="C27" s="139">
        <v>286314</v>
      </c>
      <c r="D27" s="139" t="s">
        <v>1293</v>
      </c>
      <c r="E27" s="139" t="s">
        <v>1271</v>
      </c>
      <c r="G27" s="248"/>
      <c r="H27" s="248">
        <v>-267519.28000000003</v>
      </c>
      <c r="I27" s="139">
        <v>0</v>
      </c>
    </row>
    <row r="28" spans="1:9" s="139" customFormat="1" x14ac:dyDescent="0.25">
      <c r="A28" s="566">
        <v>1</v>
      </c>
      <c r="B28" s="247">
        <v>45077</v>
      </c>
      <c r="C28" s="139">
        <v>291036</v>
      </c>
      <c r="D28" s="139" t="s">
        <v>1379</v>
      </c>
      <c r="E28" s="139" t="s">
        <v>1365</v>
      </c>
      <c r="F28" s="248"/>
      <c r="G28" s="248">
        <v>146509.16</v>
      </c>
      <c r="H28" s="248"/>
      <c r="I28" s="248">
        <v>146509.16</v>
      </c>
    </row>
    <row r="29" spans="1:9" s="139" customFormat="1" x14ac:dyDescent="0.25">
      <c r="A29" s="566">
        <v>1</v>
      </c>
      <c r="B29" s="247">
        <v>45107</v>
      </c>
      <c r="C29" s="139">
        <v>291866</v>
      </c>
      <c r="D29" s="139" t="s">
        <v>1380</v>
      </c>
      <c r="E29" s="139" t="s">
        <v>1367</v>
      </c>
      <c r="G29" s="248"/>
      <c r="H29" s="248">
        <v>-72138.78</v>
      </c>
      <c r="I29" s="248">
        <v>74370.38</v>
      </c>
    </row>
    <row r="30" spans="1:9" x14ac:dyDescent="0.25">
      <c r="A30">
        <v>1</v>
      </c>
      <c r="B30" s="190">
        <v>45138</v>
      </c>
      <c r="C30">
        <v>292661</v>
      </c>
      <c r="D30" t="s">
        <v>1585</v>
      </c>
      <c r="E30" t="s">
        <v>1569</v>
      </c>
      <c r="G30" s="164">
        <v>56544.44</v>
      </c>
      <c r="I30" s="164">
        <v>130914.82</v>
      </c>
    </row>
    <row r="31" spans="1:9" x14ac:dyDescent="0.25">
      <c r="A31">
        <v>1</v>
      </c>
      <c r="B31" s="190">
        <v>45169</v>
      </c>
      <c r="C31">
        <v>293410</v>
      </c>
      <c r="D31" t="s">
        <v>1586</v>
      </c>
      <c r="E31" t="s">
        <v>1571</v>
      </c>
      <c r="H31" s="164">
        <v>-7377.12</v>
      </c>
      <c r="I31" s="164">
        <v>123537.7</v>
      </c>
    </row>
    <row r="32" spans="1:9" x14ac:dyDescent="0.25">
      <c r="A32">
        <v>1</v>
      </c>
      <c r="B32" s="190">
        <v>45199</v>
      </c>
      <c r="C32">
        <v>294278</v>
      </c>
      <c r="D32" t="s">
        <v>1587</v>
      </c>
      <c r="E32" t="s">
        <v>1572</v>
      </c>
      <c r="H32" s="164">
        <v>-42490.18</v>
      </c>
      <c r="I32" s="164">
        <v>81047.520000000004</v>
      </c>
    </row>
    <row r="33" spans="1:9" x14ac:dyDescent="0.25">
      <c r="A33" s="144">
        <v>1</v>
      </c>
    </row>
    <row r="34" spans="1:9" s="144" customFormat="1" x14ac:dyDescent="0.25">
      <c r="A34" s="144">
        <v>1</v>
      </c>
      <c r="B34" s="144" t="s">
        <v>845</v>
      </c>
      <c r="C34" s="144" t="s">
        <v>313</v>
      </c>
      <c r="D34" s="144">
        <v>112321</v>
      </c>
      <c r="E34" s="144" t="s">
        <v>99</v>
      </c>
      <c r="F34" s="200" t="s">
        <v>846</v>
      </c>
      <c r="G34" s="200"/>
    </row>
    <row r="35" spans="1:9" x14ac:dyDescent="0.25">
      <c r="A35" s="144">
        <v>1</v>
      </c>
    </row>
    <row r="36" spans="1:9" x14ac:dyDescent="0.25">
      <c r="A36" s="144">
        <v>1</v>
      </c>
      <c r="B36" t="s">
        <v>847</v>
      </c>
      <c r="C36" t="s">
        <v>848</v>
      </c>
      <c r="D36" t="s">
        <v>849</v>
      </c>
      <c r="E36" t="s">
        <v>850</v>
      </c>
      <c r="F36" t="s">
        <v>851</v>
      </c>
      <c r="G36" t="s">
        <v>811</v>
      </c>
      <c r="H36" t="s">
        <v>812</v>
      </c>
      <c r="I36" t="s">
        <v>813</v>
      </c>
    </row>
    <row r="37" spans="1:9" x14ac:dyDescent="0.25">
      <c r="A37" s="144">
        <v>1</v>
      </c>
      <c r="B37" s="190">
        <v>44927</v>
      </c>
      <c r="C37" s="549">
        <v>286724</v>
      </c>
      <c r="D37" s="549" t="s">
        <v>1295</v>
      </c>
      <c r="E37" s="549" t="s">
        <v>1271</v>
      </c>
      <c r="F37" s="549"/>
      <c r="G37" s="550"/>
      <c r="H37" s="550">
        <v>-2763.95</v>
      </c>
      <c r="I37" s="550">
        <v>157751.49</v>
      </c>
    </row>
    <row r="38" spans="1:9" x14ac:dyDescent="0.25">
      <c r="A38" s="144">
        <v>1</v>
      </c>
      <c r="B38" s="190">
        <v>44927</v>
      </c>
      <c r="C38">
        <v>286058</v>
      </c>
      <c r="D38" t="s">
        <v>1294</v>
      </c>
      <c r="E38" t="s">
        <v>1271</v>
      </c>
      <c r="G38" s="164"/>
      <c r="H38" s="164">
        <v>-157751.49</v>
      </c>
      <c r="I38">
        <v>0</v>
      </c>
    </row>
    <row r="39" spans="1:9" x14ac:dyDescent="0.25">
      <c r="A39" s="144">
        <v>1</v>
      </c>
      <c r="B39" s="190">
        <v>45042</v>
      </c>
      <c r="C39" s="549">
        <v>289489</v>
      </c>
      <c r="D39" s="549" t="s">
        <v>1381</v>
      </c>
      <c r="E39" s="549" t="s">
        <v>1382</v>
      </c>
      <c r="F39" s="550"/>
      <c r="G39" s="550">
        <v>22937.86</v>
      </c>
      <c r="H39" s="550"/>
      <c r="I39" s="550">
        <v>22937.86</v>
      </c>
    </row>
    <row r="40" spans="1:9" x14ac:dyDescent="0.25">
      <c r="A40" s="144">
        <v>1</v>
      </c>
      <c r="B40" s="190">
        <v>45048</v>
      </c>
      <c r="C40" s="549">
        <v>290897</v>
      </c>
      <c r="D40" s="549" t="s">
        <v>1381</v>
      </c>
      <c r="E40" s="549" t="s">
        <v>1382</v>
      </c>
      <c r="F40" s="549"/>
      <c r="G40" s="550"/>
      <c r="H40" s="550">
        <v>-22937.86</v>
      </c>
      <c r="I40" s="549">
        <v>0</v>
      </c>
    </row>
    <row r="41" spans="1:9" x14ac:dyDescent="0.25">
      <c r="A41" s="144">
        <v>1</v>
      </c>
    </row>
    <row r="42" spans="1:9" s="144" customFormat="1" x14ac:dyDescent="0.25">
      <c r="A42" s="144">
        <v>1</v>
      </c>
      <c r="B42" s="144" t="s">
        <v>845</v>
      </c>
      <c r="C42" s="144" t="s">
        <v>530</v>
      </c>
      <c r="D42" s="144">
        <v>112323</v>
      </c>
      <c r="E42" s="144" t="s">
        <v>100</v>
      </c>
      <c r="F42" s="200" t="s">
        <v>846</v>
      </c>
      <c r="G42" s="200"/>
    </row>
    <row r="43" spans="1:9" x14ac:dyDescent="0.25">
      <c r="A43" s="144">
        <v>1</v>
      </c>
    </row>
    <row r="44" spans="1:9" x14ac:dyDescent="0.25">
      <c r="A44" s="144">
        <v>1</v>
      </c>
      <c r="B44" t="s">
        <v>847</v>
      </c>
      <c r="C44" t="s">
        <v>848</v>
      </c>
      <c r="D44" t="s">
        <v>849</v>
      </c>
      <c r="E44" t="s">
        <v>850</v>
      </c>
      <c r="F44" t="s">
        <v>851</v>
      </c>
      <c r="G44" t="s">
        <v>811</v>
      </c>
      <c r="H44" t="s">
        <v>812</v>
      </c>
      <c r="I44" t="s">
        <v>813</v>
      </c>
    </row>
    <row r="45" spans="1:9" s="166" customFormat="1" x14ac:dyDescent="0.25">
      <c r="A45" s="144">
        <v>1</v>
      </c>
      <c r="B45" s="547">
        <v>44957</v>
      </c>
      <c r="C45" s="166">
        <v>286306</v>
      </c>
      <c r="D45" s="166" t="s">
        <v>1290</v>
      </c>
      <c r="E45" s="166" t="s">
        <v>1271</v>
      </c>
      <c r="G45" s="166">
        <v>49.38</v>
      </c>
      <c r="H45" s="548"/>
      <c r="I45" s="548">
        <v>6258.97</v>
      </c>
    </row>
    <row r="46" spans="1:9" s="166" customFormat="1" x14ac:dyDescent="0.25">
      <c r="A46" s="144">
        <v>1</v>
      </c>
      <c r="B46" s="547">
        <v>44985</v>
      </c>
      <c r="C46" s="166">
        <v>288399</v>
      </c>
      <c r="D46" s="166" t="s">
        <v>1291</v>
      </c>
      <c r="E46" s="166" t="s">
        <v>1272</v>
      </c>
      <c r="G46" s="166">
        <v>40.56</v>
      </c>
      <c r="H46" s="548"/>
      <c r="I46" s="548">
        <v>6299.53</v>
      </c>
    </row>
    <row r="47" spans="1:9" s="166" customFormat="1" x14ac:dyDescent="0.25">
      <c r="A47" s="144">
        <v>1</v>
      </c>
      <c r="B47" s="547">
        <v>45016</v>
      </c>
      <c r="C47" s="166">
        <v>289415</v>
      </c>
      <c r="D47" s="166" t="s">
        <v>1292</v>
      </c>
      <c r="E47" s="166" t="s">
        <v>1273</v>
      </c>
      <c r="G47" s="166">
        <v>51.59</v>
      </c>
      <c r="H47" s="548"/>
      <c r="I47" s="548">
        <v>6351.12</v>
      </c>
    </row>
    <row r="48" spans="1:9" s="166" customFormat="1" x14ac:dyDescent="0.25">
      <c r="A48" s="144">
        <v>1</v>
      </c>
      <c r="B48" s="547">
        <v>45046</v>
      </c>
      <c r="C48" s="166">
        <v>289911</v>
      </c>
      <c r="D48" s="166" t="s">
        <v>1374</v>
      </c>
      <c r="E48" s="166" t="s">
        <v>1364</v>
      </c>
      <c r="G48" s="166">
        <v>40.56</v>
      </c>
      <c r="H48" s="548"/>
      <c r="I48" s="548">
        <v>6391.68</v>
      </c>
    </row>
    <row r="49" spans="1:9" s="166" customFormat="1" x14ac:dyDescent="0.25">
      <c r="A49" s="144">
        <v>1</v>
      </c>
      <c r="B49" s="547">
        <v>45077</v>
      </c>
      <c r="C49" s="166">
        <v>290887</v>
      </c>
      <c r="D49" s="166" t="s">
        <v>1375</v>
      </c>
      <c r="E49" s="166" t="s">
        <v>1365</v>
      </c>
      <c r="G49" s="166">
        <v>49.38</v>
      </c>
      <c r="H49" s="548"/>
      <c r="I49" s="548">
        <v>6441.06</v>
      </c>
    </row>
    <row r="50" spans="1:9" x14ac:dyDescent="0.25">
      <c r="A50" s="144">
        <v>1</v>
      </c>
      <c r="B50" s="190">
        <v>45079</v>
      </c>
      <c r="C50" s="549">
        <v>291836</v>
      </c>
      <c r="D50" s="549" t="s">
        <v>1383</v>
      </c>
      <c r="E50" s="549" t="s">
        <v>1365</v>
      </c>
      <c r="F50" s="550"/>
      <c r="G50" s="550">
        <v>836090.29</v>
      </c>
      <c r="H50" s="550"/>
      <c r="I50" s="550">
        <v>842531.35</v>
      </c>
    </row>
    <row r="51" spans="1:9" s="166" customFormat="1" x14ac:dyDescent="0.25">
      <c r="A51" s="144">
        <v>1</v>
      </c>
      <c r="B51" s="547">
        <v>45107</v>
      </c>
      <c r="C51" s="166">
        <v>291837</v>
      </c>
      <c r="D51" s="166" t="s">
        <v>1384</v>
      </c>
      <c r="E51" s="166" t="s">
        <v>1365</v>
      </c>
      <c r="F51" s="548"/>
      <c r="G51" s="548">
        <v>9364.2099999999991</v>
      </c>
      <c r="H51" s="548"/>
      <c r="I51" s="548">
        <v>851895.56</v>
      </c>
    </row>
    <row r="52" spans="1:9" s="166" customFormat="1" x14ac:dyDescent="0.25">
      <c r="A52" s="144">
        <v>1</v>
      </c>
      <c r="B52" s="547">
        <v>45107</v>
      </c>
      <c r="C52" s="166">
        <v>291682</v>
      </c>
      <c r="D52" s="166" t="s">
        <v>1376</v>
      </c>
      <c r="E52" s="166" t="s">
        <v>1367</v>
      </c>
      <c r="G52" s="166">
        <v>47.18</v>
      </c>
      <c r="H52" s="548"/>
      <c r="I52" s="548">
        <v>851942.74</v>
      </c>
    </row>
    <row r="53" spans="1:9" s="166" customFormat="1" x14ac:dyDescent="0.25">
      <c r="A53" s="144">
        <v>1</v>
      </c>
      <c r="B53" s="547">
        <v>45107</v>
      </c>
      <c r="C53" s="166">
        <v>291838</v>
      </c>
      <c r="D53" s="166" t="s">
        <v>1385</v>
      </c>
      <c r="E53" s="166" t="s">
        <v>1367</v>
      </c>
      <c r="F53" s="548"/>
      <c r="G53" s="548">
        <v>8946.17</v>
      </c>
      <c r="H53" s="548"/>
      <c r="I53" s="548">
        <v>860888.91</v>
      </c>
    </row>
    <row r="54" spans="1:9" x14ac:dyDescent="0.25">
      <c r="A54">
        <v>1</v>
      </c>
      <c r="B54" s="190">
        <v>45138</v>
      </c>
      <c r="C54">
        <v>292508</v>
      </c>
      <c r="D54" t="s">
        <v>1579</v>
      </c>
      <c r="E54" t="s">
        <v>1569</v>
      </c>
      <c r="G54" s="164">
        <v>8993.34</v>
      </c>
      <c r="I54" s="164">
        <v>869882.25</v>
      </c>
    </row>
    <row r="55" spans="1:9" x14ac:dyDescent="0.25">
      <c r="A55">
        <v>1</v>
      </c>
      <c r="B55" s="190">
        <v>45169</v>
      </c>
      <c r="C55">
        <v>293258</v>
      </c>
      <c r="D55" t="s">
        <v>1580</v>
      </c>
      <c r="E55" t="s">
        <v>1571</v>
      </c>
      <c r="G55" s="164">
        <v>9581.69</v>
      </c>
      <c r="I55" s="164">
        <v>879463.94</v>
      </c>
    </row>
    <row r="56" spans="1:9" x14ac:dyDescent="0.25">
      <c r="A56">
        <v>1</v>
      </c>
      <c r="B56" s="190">
        <v>45199</v>
      </c>
      <c r="C56">
        <v>294084</v>
      </c>
      <c r="D56" t="s">
        <v>1581</v>
      </c>
      <c r="E56" t="s">
        <v>1572</v>
      </c>
      <c r="G56" s="164">
        <v>8152.85</v>
      </c>
      <c r="I56" s="164">
        <v>887616.79</v>
      </c>
    </row>
    <row r="57" spans="1:9" x14ac:dyDescent="0.25">
      <c r="A57" s="144">
        <v>1</v>
      </c>
    </row>
    <row r="58" spans="1:9" s="144" customFormat="1" x14ac:dyDescent="0.25">
      <c r="A58" s="144">
        <v>1</v>
      </c>
      <c r="B58" s="144" t="s">
        <v>845</v>
      </c>
      <c r="C58" s="144" t="s">
        <v>314</v>
      </c>
      <c r="D58" s="144">
        <v>112325</v>
      </c>
      <c r="E58" s="144" t="s">
        <v>315</v>
      </c>
      <c r="F58" s="144" t="s">
        <v>846</v>
      </c>
    </row>
    <row r="59" spans="1:9" x14ac:dyDescent="0.25">
      <c r="A59" s="144">
        <v>1</v>
      </c>
    </row>
    <row r="60" spans="1:9" x14ac:dyDescent="0.25">
      <c r="A60" s="144">
        <v>1</v>
      </c>
      <c r="B60" t="s">
        <v>847</v>
      </c>
      <c r="C60" t="s">
        <v>848</v>
      </c>
      <c r="D60" t="s">
        <v>849</v>
      </c>
      <c r="E60" t="s">
        <v>850</v>
      </c>
      <c r="F60" t="s">
        <v>851</v>
      </c>
      <c r="G60" t="s">
        <v>811</v>
      </c>
      <c r="H60" t="s">
        <v>812</v>
      </c>
      <c r="I60" t="s">
        <v>813</v>
      </c>
    </row>
    <row r="61" spans="1:9" x14ac:dyDescent="0.25">
      <c r="A61" s="144">
        <v>1</v>
      </c>
      <c r="B61" s="190">
        <v>44927</v>
      </c>
      <c r="C61" s="549">
        <v>286724</v>
      </c>
      <c r="D61" s="549" t="s">
        <v>1295</v>
      </c>
      <c r="E61" s="549" t="s">
        <v>1271</v>
      </c>
      <c r="F61" s="550"/>
      <c r="G61" s="550">
        <v>2763.95</v>
      </c>
      <c r="H61" s="550"/>
      <c r="I61" s="550">
        <v>2763.95</v>
      </c>
    </row>
    <row r="62" spans="1:9" s="166" customFormat="1" x14ac:dyDescent="0.25">
      <c r="A62" s="144">
        <v>1</v>
      </c>
      <c r="B62" s="547">
        <v>44957</v>
      </c>
      <c r="C62" s="166">
        <v>286729</v>
      </c>
      <c r="D62" s="166" t="s">
        <v>1290</v>
      </c>
      <c r="E62" s="166" t="s">
        <v>1271</v>
      </c>
      <c r="G62" s="166">
        <v>30.96</v>
      </c>
      <c r="H62" s="548"/>
      <c r="I62" s="548">
        <v>2794.91</v>
      </c>
    </row>
    <row r="63" spans="1:9" s="166" customFormat="1" x14ac:dyDescent="0.25">
      <c r="A63" s="144">
        <v>1</v>
      </c>
      <c r="B63" s="547">
        <v>44985</v>
      </c>
      <c r="C63" s="166">
        <v>288408</v>
      </c>
      <c r="D63" s="166" t="s">
        <v>1291</v>
      </c>
      <c r="E63" s="166" t="s">
        <v>1272</v>
      </c>
      <c r="G63" s="166">
        <v>25.42</v>
      </c>
      <c r="H63" s="548"/>
      <c r="I63" s="548">
        <v>2820.33</v>
      </c>
    </row>
    <row r="64" spans="1:9" s="166" customFormat="1" x14ac:dyDescent="0.25">
      <c r="A64" s="144">
        <v>1</v>
      </c>
      <c r="B64" s="547">
        <v>45016</v>
      </c>
      <c r="C64" s="166">
        <v>289424</v>
      </c>
      <c r="D64" s="166" t="s">
        <v>1292</v>
      </c>
      <c r="E64" s="166" t="s">
        <v>1273</v>
      </c>
      <c r="G64" s="166">
        <v>34.369999999999997</v>
      </c>
      <c r="H64" s="548"/>
      <c r="I64" s="548">
        <v>2854.7</v>
      </c>
    </row>
    <row r="65" spans="1:9" x14ac:dyDescent="0.25">
      <c r="A65" s="144">
        <v>1</v>
      </c>
      <c r="B65" s="190">
        <v>45016</v>
      </c>
      <c r="C65" s="549">
        <v>289436</v>
      </c>
      <c r="D65" s="549" t="s">
        <v>1296</v>
      </c>
      <c r="E65" s="549" t="s">
        <v>1273</v>
      </c>
      <c r="F65" s="549"/>
      <c r="G65" s="549">
        <v>173.35</v>
      </c>
      <c r="H65" s="550"/>
      <c r="I65" s="550">
        <v>3028.05</v>
      </c>
    </row>
    <row r="66" spans="1:9" s="166" customFormat="1" x14ac:dyDescent="0.25">
      <c r="A66" s="144">
        <v>1</v>
      </c>
      <c r="B66" s="547">
        <v>45046</v>
      </c>
      <c r="C66" s="166">
        <v>289920</v>
      </c>
      <c r="D66" s="166" t="s">
        <v>1374</v>
      </c>
      <c r="E66" s="166" t="s">
        <v>1364</v>
      </c>
      <c r="G66" s="166">
        <v>27.02</v>
      </c>
      <c r="H66" s="548"/>
      <c r="I66" s="548">
        <v>3055.07</v>
      </c>
    </row>
    <row r="67" spans="1:9" s="166" customFormat="1" x14ac:dyDescent="0.25">
      <c r="A67" s="144">
        <v>1</v>
      </c>
      <c r="B67" s="547">
        <v>45077</v>
      </c>
      <c r="C67" s="166">
        <v>290896</v>
      </c>
      <c r="D67" s="166" t="s">
        <v>1375</v>
      </c>
      <c r="E67" s="166" t="s">
        <v>1365</v>
      </c>
      <c r="G67" s="166">
        <v>32.9</v>
      </c>
      <c r="H67" s="548"/>
      <c r="I67" s="548">
        <v>3087.97</v>
      </c>
    </row>
    <row r="68" spans="1:9" s="166" customFormat="1" x14ac:dyDescent="0.25">
      <c r="A68" s="144">
        <v>1</v>
      </c>
      <c r="B68" s="547">
        <v>45107</v>
      </c>
      <c r="C68" s="166">
        <v>291691</v>
      </c>
      <c r="D68" s="166" t="s">
        <v>1376</v>
      </c>
      <c r="E68" s="166" t="s">
        <v>1367</v>
      </c>
      <c r="G68" s="166">
        <v>31.43</v>
      </c>
      <c r="H68" s="548"/>
      <c r="I68" s="548">
        <v>3119.4</v>
      </c>
    </row>
    <row r="69" spans="1:9" x14ac:dyDescent="0.25">
      <c r="A69">
        <v>1</v>
      </c>
      <c r="B69" s="190">
        <v>45138</v>
      </c>
      <c r="C69">
        <v>292517</v>
      </c>
      <c r="D69" t="s">
        <v>1579</v>
      </c>
      <c r="E69" t="s">
        <v>1569</v>
      </c>
      <c r="G69">
        <v>31.43</v>
      </c>
      <c r="I69" s="164">
        <v>3150.83</v>
      </c>
    </row>
    <row r="70" spans="1:9" x14ac:dyDescent="0.25">
      <c r="A70">
        <v>1</v>
      </c>
      <c r="B70" s="190">
        <v>45169</v>
      </c>
      <c r="C70">
        <v>293259</v>
      </c>
      <c r="D70" t="s">
        <v>1580</v>
      </c>
      <c r="E70" t="s">
        <v>1571</v>
      </c>
      <c r="G70">
        <v>33.49</v>
      </c>
      <c r="I70" s="164">
        <v>3184.32</v>
      </c>
    </row>
    <row r="71" spans="1:9" x14ac:dyDescent="0.25">
      <c r="A71">
        <v>1</v>
      </c>
      <c r="B71" s="190">
        <v>45199</v>
      </c>
      <c r="C71">
        <v>294085</v>
      </c>
      <c r="D71" t="s">
        <v>1581</v>
      </c>
      <c r="E71" t="s">
        <v>1572</v>
      </c>
      <c r="G71">
        <v>28.49</v>
      </c>
      <c r="I71" s="164">
        <v>3212.81</v>
      </c>
    </row>
    <row r="72" spans="1:9" x14ac:dyDescent="0.25">
      <c r="A72" s="144">
        <v>1</v>
      </c>
    </row>
    <row r="73" spans="1:9" s="144" customFormat="1" x14ac:dyDescent="0.25">
      <c r="A73" s="144">
        <v>1</v>
      </c>
      <c r="B73" s="144" t="s">
        <v>845</v>
      </c>
      <c r="C73" s="144" t="s">
        <v>316</v>
      </c>
      <c r="D73" s="144">
        <v>112327</v>
      </c>
      <c r="E73" s="144" t="s">
        <v>101</v>
      </c>
      <c r="F73" s="144" t="s">
        <v>846</v>
      </c>
    </row>
    <row r="74" spans="1:9" x14ac:dyDescent="0.25">
      <c r="A74" s="144">
        <v>1</v>
      </c>
    </row>
    <row r="75" spans="1:9" x14ac:dyDescent="0.25">
      <c r="A75" s="144">
        <v>1</v>
      </c>
      <c r="B75" t="s">
        <v>847</v>
      </c>
      <c r="C75" t="s">
        <v>848</v>
      </c>
      <c r="D75" t="s">
        <v>849</v>
      </c>
      <c r="E75" t="s">
        <v>850</v>
      </c>
      <c r="F75" t="s">
        <v>851</v>
      </c>
      <c r="G75" t="s">
        <v>811</v>
      </c>
      <c r="H75" t="s">
        <v>812</v>
      </c>
      <c r="I75" t="s">
        <v>813</v>
      </c>
    </row>
    <row r="76" spans="1:9" s="166" customFormat="1" x14ac:dyDescent="0.25">
      <c r="A76" s="144">
        <v>1</v>
      </c>
      <c r="B76" s="547">
        <v>44957</v>
      </c>
      <c r="C76" s="166">
        <v>286308</v>
      </c>
      <c r="D76" s="166" t="s">
        <v>1290</v>
      </c>
      <c r="E76" s="166" t="s">
        <v>1271</v>
      </c>
      <c r="G76" s="166">
        <v>2.31</v>
      </c>
      <c r="I76" s="166">
        <v>241.34</v>
      </c>
    </row>
    <row r="77" spans="1:9" s="166" customFormat="1" x14ac:dyDescent="0.25">
      <c r="A77" s="144">
        <v>1</v>
      </c>
      <c r="B77" s="547">
        <v>44985</v>
      </c>
      <c r="C77" s="166">
        <v>288401</v>
      </c>
      <c r="D77" s="166" t="s">
        <v>1291</v>
      </c>
      <c r="E77" s="166" t="s">
        <v>1272</v>
      </c>
      <c r="G77" s="166">
        <v>1.89</v>
      </c>
      <c r="I77" s="166">
        <v>243.23</v>
      </c>
    </row>
    <row r="78" spans="1:9" s="166" customFormat="1" x14ac:dyDescent="0.25">
      <c r="A78" s="144">
        <v>1</v>
      </c>
      <c r="B78" s="547">
        <v>45016</v>
      </c>
      <c r="C78" s="166">
        <v>289417</v>
      </c>
      <c r="D78" s="166" t="s">
        <v>1292</v>
      </c>
      <c r="E78" s="166" t="s">
        <v>1273</v>
      </c>
      <c r="G78" s="166">
        <v>2.41</v>
      </c>
      <c r="I78" s="166">
        <v>245.64</v>
      </c>
    </row>
    <row r="79" spans="1:9" s="166" customFormat="1" x14ac:dyDescent="0.25">
      <c r="A79" s="144">
        <v>1</v>
      </c>
      <c r="B79" s="547">
        <v>45046</v>
      </c>
      <c r="C79" s="166">
        <v>289913</v>
      </c>
      <c r="D79" s="166" t="s">
        <v>1374</v>
      </c>
      <c r="E79" s="166" t="s">
        <v>1364</v>
      </c>
      <c r="G79" s="166">
        <v>1.89</v>
      </c>
      <c r="I79" s="166">
        <v>247.53</v>
      </c>
    </row>
    <row r="80" spans="1:9" s="166" customFormat="1" x14ac:dyDescent="0.25">
      <c r="A80" s="144">
        <v>1</v>
      </c>
      <c r="B80" s="547">
        <v>45077</v>
      </c>
      <c r="C80" s="166">
        <v>290889</v>
      </c>
      <c r="D80" s="166" t="s">
        <v>1375</v>
      </c>
      <c r="E80" s="166" t="s">
        <v>1365</v>
      </c>
      <c r="G80" s="166">
        <v>2.31</v>
      </c>
      <c r="I80" s="166">
        <v>249.84</v>
      </c>
    </row>
    <row r="81" spans="1:9" s="166" customFormat="1" x14ac:dyDescent="0.25">
      <c r="A81" s="144">
        <v>1</v>
      </c>
      <c r="B81" s="547">
        <v>45107</v>
      </c>
      <c r="C81" s="166">
        <v>291684</v>
      </c>
      <c r="D81" s="166" t="s">
        <v>1376</v>
      </c>
      <c r="E81" s="166" t="s">
        <v>1367</v>
      </c>
      <c r="G81" s="166">
        <v>2.2000000000000002</v>
      </c>
      <c r="I81" s="166">
        <v>252.04</v>
      </c>
    </row>
    <row r="82" spans="1:9" x14ac:dyDescent="0.25">
      <c r="A82">
        <v>1</v>
      </c>
      <c r="B82" s="190">
        <v>45138</v>
      </c>
      <c r="C82">
        <v>292510</v>
      </c>
      <c r="D82" t="s">
        <v>1579</v>
      </c>
      <c r="E82" t="s">
        <v>1569</v>
      </c>
      <c r="G82">
        <v>2.2000000000000002</v>
      </c>
      <c r="I82">
        <v>254.24</v>
      </c>
    </row>
    <row r="83" spans="1:9" x14ac:dyDescent="0.25">
      <c r="A83">
        <v>1</v>
      </c>
      <c r="B83" s="190">
        <v>45169</v>
      </c>
      <c r="C83">
        <v>293260</v>
      </c>
      <c r="D83" t="s">
        <v>1580</v>
      </c>
      <c r="E83" t="s">
        <v>1571</v>
      </c>
      <c r="G83">
        <v>2.35</v>
      </c>
      <c r="I83">
        <v>256.58999999999997</v>
      </c>
    </row>
    <row r="84" spans="1:9" x14ac:dyDescent="0.25">
      <c r="A84">
        <v>1</v>
      </c>
      <c r="B84" s="190">
        <v>45199</v>
      </c>
      <c r="C84">
        <v>294086</v>
      </c>
      <c r="D84" t="s">
        <v>1581</v>
      </c>
      <c r="E84" t="s">
        <v>1572</v>
      </c>
      <c r="G84">
        <v>2</v>
      </c>
      <c r="I84">
        <v>258.58999999999997</v>
      </c>
    </row>
    <row r="85" spans="1:9" x14ac:dyDescent="0.25">
      <c r="A85" s="144">
        <v>1</v>
      </c>
    </row>
    <row r="86" spans="1:9" s="144" customFormat="1" x14ac:dyDescent="0.25">
      <c r="A86" s="144">
        <v>1</v>
      </c>
      <c r="B86" s="144" t="s">
        <v>845</v>
      </c>
      <c r="C86" s="144" t="s">
        <v>797</v>
      </c>
      <c r="D86" s="144">
        <v>112332</v>
      </c>
      <c r="E86" s="144" t="s">
        <v>1167</v>
      </c>
      <c r="F86" s="200" t="s">
        <v>846</v>
      </c>
      <c r="G86" s="200"/>
    </row>
    <row r="87" spans="1:9" x14ac:dyDescent="0.25">
      <c r="A87" s="144">
        <v>1</v>
      </c>
    </row>
    <row r="88" spans="1:9" x14ac:dyDescent="0.25">
      <c r="A88" s="144">
        <v>1</v>
      </c>
      <c r="B88" t="s">
        <v>847</v>
      </c>
      <c r="C88" t="s">
        <v>848</v>
      </c>
      <c r="D88" t="s">
        <v>849</v>
      </c>
      <c r="E88" t="s">
        <v>850</v>
      </c>
      <c r="F88" t="s">
        <v>851</v>
      </c>
      <c r="G88" t="s">
        <v>811</v>
      </c>
      <c r="H88" t="s">
        <v>812</v>
      </c>
      <c r="I88" t="s">
        <v>813</v>
      </c>
    </row>
    <row r="89" spans="1:9" s="166" customFormat="1" x14ac:dyDescent="0.25">
      <c r="A89" s="144">
        <v>1</v>
      </c>
      <c r="B89" s="547">
        <v>44957</v>
      </c>
      <c r="C89" s="166">
        <v>286310</v>
      </c>
      <c r="D89" s="166" t="s">
        <v>1290</v>
      </c>
      <c r="E89" s="166" t="s">
        <v>1271</v>
      </c>
      <c r="F89" s="548"/>
      <c r="G89" s="548">
        <v>3041.91</v>
      </c>
      <c r="H89" s="548"/>
      <c r="I89" s="548">
        <v>306499.34000000003</v>
      </c>
    </row>
    <row r="90" spans="1:9" s="166" customFormat="1" x14ac:dyDescent="0.25">
      <c r="A90" s="144">
        <v>1</v>
      </c>
      <c r="B90" s="547">
        <v>44985</v>
      </c>
      <c r="C90" s="166">
        <v>288403</v>
      </c>
      <c r="D90" s="166" t="s">
        <v>1291</v>
      </c>
      <c r="E90" s="166" t="s">
        <v>1272</v>
      </c>
      <c r="F90" s="548"/>
      <c r="G90" s="548">
        <v>2498.71</v>
      </c>
      <c r="H90" s="548"/>
      <c r="I90" s="548">
        <v>308998.05</v>
      </c>
    </row>
    <row r="91" spans="1:9" s="166" customFormat="1" x14ac:dyDescent="0.25">
      <c r="A91" s="144">
        <v>1</v>
      </c>
      <c r="B91" s="547">
        <v>45016</v>
      </c>
      <c r="C91" s="166">
        <v>289419</v>
      </c>
      <c r="D91" s="166" t="s">
        <v>1292</v>
      </c>
      <c r="E91" s="166" t="s">
        <v>1273</v>
      </c>
      <c r="F91" s="548"/>
      <c r="G91" s="548">
        <v>3177.7</v>
      </c>
      <c r="H91" s="548"/>
      <c r="I91" s="548">
        <v>312175.75</v>
      </c>
    </row>
    <row r="92" spans="1:9" s="166" customFormat="1" x14ac:dyDescent="0.25">
      <c r="A92" s="144">
        <v>1</v>
      </c>
      <c r="B92" s="547">
        <v>45046</v>
      </c>
      <c r="C92" s="166">
        <v>289915</v>
      </c>
      <c r="D92" s="166" t="s">
        <v>1374</v>
      </c>
      <c r="E92" s="166" t="s">
        <v>1364</v>
      </c>
      <c r="F92" s="548"/>
      <c r="G92" s="548">
        <v>2498.71</v>
      </c>
      <c r="H92" s="548"/>
      <c r="I92" s="548">
        <v>314674.46000000002</v>
      </c>
    </row>
    <row r="93" spans="1:9" s="166" customFormat="1" x14ac:dyDescent="0.25">
      <c r="A93" s="144">
        <v>1</v>
      </c>
      <c r="B93" s="547">
        <v>45077</v>
      </c>
      <c r="C93" s="166">
        <v>290891</v>
      </c>
      <c r="D93" s="166" t="s">
        <v>1375</v>
      </c>
      <c r="E93" s="166" t="s">
        <v>1365</v>
      </c>
      <c r="F93" s="548"/>
      <c r="G93" s="548">
        <v>3041.91</v>
      </c>
      <c r="H93" s="548"/>
      <c r="I93" s="548">
        <v>317716.37</v>
      </c>
    </row>
    <row r="94" spans="1:9" s="166" customFormat="1" x14ac:dyDescent="0.25">
      <c r="A94" s="144">
        <v>1</v>
      </c>
      <c r="B94" s="547">
        <v>45107</v>
      </c>
      <c r="C94" s="166">
        <v>291686</v>
      </c>
      <c r="D94" s="166" t="s">
        <v>1376</v>
      </c>
      <c r="E94" s="166" t="s">
        <v>1367</v>
      </c>
      <c r="F94" s="548"/>
      <c r="G94" s="548">
        <v>2906.11</v>
      </c>
      <c r="H94" s="548"/>
      <c r="I94" s="548">
        <v>320622.48</v>
      </c>
    </row>
    <row r="95" spans="1:9" x14ac:dyDescent="0.25">
      <c r="A95">
        <v>1</v>
      </c>
      <c r="B95" s="190">
        <v>45138</v>
      </c>
      <c r="C95">
        <v>292512</v>
      </c>
      <c r="D95" t="s">
        <v>1579</v>
      </c>
      <c r="E95" t="s">
        <v>1569</v>
      </c>
      <c r="G95" s="164">
        <v>2906.11</v>
      </c>
      <c r="I95" s="164">
        <v>323528.59000000003</v>
      </c>
    </row>
    <row r="96" spans="1:9" x14ac:dyDescent="0.25">
      <c r="A96">
        <v>1</v>
      </c>
      <c r="B96" s="190">
        <v>45169</v>
      </c>
      <c r="C96">
        <v>293261</v>
      </c>
      <c r="D96" t="s">
        <v>1580</v>
      </c>
      <c r="E96" t="s">
        <v>1571</v>
      </c>
      <c r="G96" s="164">
        <v>3096.22</v>
      </c>
      <c r="I96" s="164">
        <v>326624.81</v>
      </c>
    </row>
    <row r="97" spans="1:9" x14ac:dyDescent="0.25">
      <c r="A97">
        <v>1</v>
      </c>
      <c r="B97" s="190">
        <v>45199</v>
      </c>
      <c r="C97">
        <v>294087</v>
      </c>
      <c r="D97" t="s">
        <v>1581</v>
      </c>
      <c r="E97" t="s">
        <v>1572</v>
      </c>
      <c r="G97" s="164">
        <v>2634.51</v>
      </c>
      <c r="I97" s="164">
        <v>329259.32</v>
      </c>
    </row>
    <row r="98" spans="1:9" x14ac:dyDescent="0.25">
      <c r="A98" s="144">
        <v>1</v>
      </c>
    </row>
    <row r="99" spans="1:9" s="144" customFormat="1" x14ac:dyDescent="0.25">
      <c r="A99" s="144">
        <v>1</v>
      </c>
      <c r="B99" s="144" t="s">
        <v>845</v>
      </c>
      <c r="C99" s="144" t="s">
        <v>799</v>
      </c>
      <c r="D99" s="144">
        <v>112333</v>
      </c>
      <c r="E99" s="144" t="s">
        <v>1168</v>
      </c>
      <c r="F99" s="200" t="s">
        <v>846</v>
      </c>
      <c r="G99" s="200"/>
    </row>
    <row r="100" spans="1:9" x14ac:dyDescent="0.25">
      <c r="A100" s="144">
        <v>1</v>
      </c>
    </row>
    <row r="101" spans="1:9" x14ac:dyDescent="0.25">
      <c r="A101" s="144">
        <v>1</v>
      </c>
      <c r="B101" t="s">
        <v>847</v>
      </c>
      <c r="C101" t="s">
        <v>848</v>
      </c>
      <c r="D101" t="s">
        <v>849</v>
      </c>
      <c r="E101" t="s">
        <v>850</v>
      </c>
      <c r="F101" t="s">
        <v>851</v>
      </c>
      <c r="G101" t="s">
        <v>811</v>
      </c>
      <c r="H101" t="s">
        <v>812</v>
      </c>
      <c r="I101" t="s">
        <v>813</v>
      </c>
    </row>
    <row r="102" spans="1:9" s="166" customFormat="1" x14ac:dyDescent="0.25">
      <c r="A102" s="144">
        <v>1</v>
      </c>
      <c r="B102" s="547">
        <v>44957</v>
      </c>
      <c r="C102" s="166">
        <v>286311</v>
      </c>
      <c r="D102" s="166" t="s">
        <v>1290</v>
      </c>
      <c r="E102" s="166" t="s">
        <v>1271</v>
      </c>
      <c r="F102" s="548"/>
      <c r="G102" s="548">
        <v>1166.01</v>
      </c>
      <c r="H102" s="548"/>
      <c r="I102" s="548">
        <v>117485.95</v>
      </c>
    </row>
    <row r="103" spans="1:9" s="166" customFormat="1" x14ac:dyDescent="0.25">
      <c r="A103" s="144">
        <v>1</v>
      </c>
      <c r="B103" s="547">
        <v>44985</v>
      </c>
      <c r="C103" s="166">
        <v>288404</v>
      </c>
      <c r="D103" s="166" t="s">
        <v>1291</v>
      </c>
      <c r="E103" s="166" t="s">
        <v>1272</v>
      </c>
      <c r="G103" s="166">
        <v>957.79</v>
      </c>
      <c r="H103" s="548"/>
      <c r="I103" s="548">
        <v>118443.74</v>
      </c>
    </row>
    <row r="104" spans="1:9" s="166" customFormat="1" x14ac:dyDescent="0.25">
      <c r="A104" s="144">
        <v>1</v>
      </c>
      <c r="B104" s="547">
        <v>45016</v>
      </c>
      <c r="C104" s="166">
        <v>289420</v>
      </c>
      <c r="D104" s="166" t="s">
        <v>1292</v>
      </c>
      <c r="E104" s="166" t="s">
        <v>1273</v>
      </c>
      <c r="F104" s="548"/>
      <c r="G104" s="548">
        <v>1218.06</v>
      </c>
      <c r="H104" s="548"/>
      <c r="I104" s="548">
        <v>119661.8</v>
      </c>
    </row>
    <row r="105" spans="1:9" s="166" customFormat="1" x14ac:dyDescent="0.25">
      <c r="A105" s="144">
        <v>1</v>
      </c>
      <c r="B105" s="547">
        <v>45046</v>
      </c>
      <c r="C105" s="166">
        <v>289916</v>
      </c>
      <c r="D105" s="166" t="s">
        <v>1374</v>
      </c>
      <c r="E105" s="166" t="s">
        <v>1364</v>
      </c>
      <c r="G105" s="166">
        <v>957.8</v>
      </c>
      <c r="H105" s="548"/>
      <c r="I105" s="548">
        <v>120619.6</v>
      </c>
    </row>
    <row r="106" spans="1:9" s="166" customFormat="1" x14ac:dyDescent="0.25">
      <c r="A106" s="144">
        <v>1</v>
      </c>
      <c r="B106" s="547">
        <v>45077</v>
      </c>
      <c r="C106" s="166">
        <v>290892</v>
      </c>
      <c r="D106" s="166" t="s">
        <v>1375</v>
      </c>
      <c r="E106" s="166" t="s">
        <v>1365</v>
      </c>
      <c r="F106" s="548"/>
      <c r="G106" s="548">
        <v>1166.01</v>
      </c>
      <c r="H106" s="548"/>
      <c r="I106" s="548">
        <v>121785.61</v>
      </c>
    </row>
    <row r="107" spans="1:9" s="166" customFormat="1" x14ac:dyDescent="0.25">
      <c r="A107" s="144">
        <v>1</v>
      </c>
      <c r="B107" s="547">
        <v>45107</v>
      </c>
      <c r="C107" s="166">
        <v>291687</v>
      </c>
      <c r="D107" s="166" t="s">
        <v>1376</v>
      </c>
      <c r="E107" s="166" t="s">
        <v>1367</v>
      </c>
      <c r="F107" s="548"/>
      <c r="G107" s="548">
        <v>1113.95</v>
      </c>
      <c r="H107" s="548"/>
      <c r="I107" s="548">
        <v>122899.56</v>
      </c>
    </row>
    <row r="108" spans="1:9" x14ac:dyDescent="0.25">
      <c r="A108">
        <v>1</v>
      </c>
      <c r="B108" s="190">
        <v>45138</v>
      </c>
      <c r="C108">
        <v>292513</v>
      </c>
      <c r="D108" t="s">
        <v>1579</v>
      </c>
      <c r="E108" t="s">
        <v>1569</v>
      </c>
      <c r="G108" s="164">
        <v>1113.96</v>
      </c>
      <c r="I108" s="164">
        <v>124013.52</v>
      </c>
    </row>
    <row r="109" spans="1:9" x14ac:dyDescent="0.25">
      <c r="A109">
        <v>1</v>
      </c>
      <c r="B109" s="190">
        <v>45169</v>
      </c>
      <c r="C109">
        <v>293262</v>
      </c>
      <c r="D109" t="s">
        <v>1580</v>
      </c>
      <c r="E109" t="s">
        <v>1571</v>
      </c>
      <c r="G109" s="164">
        <v>1186.83</v>
      </c>
      <c r="I109" s="164">
        <v>125200.35</v>
      </c>
    </row>
    <row r="110" spans="1:9" x14ac:dyDescent="0.25">
      <c r="A110">
        <v>1</v>
      </c>
      <c r="B110" s="190">
        <v>45199</v>
      </c>
      <c r="C110">
        <v>294088</v>
      </c>
      <c r="D110" t="s">
        <v>1581</v>
      </c>
      <c r="E110" t="s">
        <v>1572</v>
      </c>
      <c r="G110" s="164">
        <v>1009.85</v>
      </c>
      <c r="I110" s="164">
        <v>126210.2</v>
      </c>
    </row>
    <row r="111" spans="1:9" x14ac:dyDescent="0.25">
      <c r="A111" s="144">
        <v>1</v>
      </c>
    </row>
    <row r="112" spans="1:9" s="144" customFormat="1" x14ac:dyDescent="0.25">
      <c r="A112" s="144">
        <v>1</v>
      </c>
      <c r="B112" s="144" t="s">
        <v>845</v>
      </c>
      <c r="C112" s="144" t="s">
        <v>801</v>
      </c>
      <c r="D112" s="144">
        <v>112334</v>
      </c>
      <c r="E112" s="144" t="s">
        <v>802</v>
      </c>
      <c r="F112" s="200" t="s">
        <v>846</v>
      </c>
      <c r="G112" s="200"/>
    </row>
    <row r="113" spans="1:9" x14ac:dyDescent="0.25">
      <c r="A113" s="144">
        <v>1</v>
      </c>
    </row>
    <row r="114" spans="1:9" x14ac:dyDescent="0.25">
      <c r="A114" s="144">
        <v>1</v>
      </c>
      <c r="B114" t="s">
        <v>847</v>
      </c>
      <c r="C114" t="s">
        <v>848</v>
      </c>
      <c r="D114" t="s">
        <v>849</v>
      </c>
      <c r="E114" t="s">
        <v>850</v>
      </c>
      <c r="F114" t="s">
        <v>851</v>
      </c>
      <c r="G114" t="s">
        <v>811</v>
      </c>
      <c r="H114" t="s">
        <v>812</v>
      </c>
      <c r="I114" t="s">
        <v>813</v>
      </c>
    </row>
    <row r="115" spans="1:9" s="166" customFormat="1" x14ac:dyDescent="0.25">
      <c r="A115" s="144">
        <v>1</v>
      </c>
      <c r="B115" s="547">
        <v>44957</v>
      </c>
      <c r="C115" s="166">
        <v>286307</v>
      </c>
      <c r="D115" s="166" t="s">
        <v>1290</v>
      </c>
      <c r="E115" s="166" t="s">
        <v>1271</v>
      </c>
      <c r="G115" s="166">
        <v>20.73</v>
      </c>
      <c r="H115" s="548"/>
      <c r="I115" s="548">
        <v>1915.7</v>
      </c>
    </row>
    <row r="116" spans="1:9" s="166" customFormat="1" x14ac:dyDescent="0.25">
      <c r="A116" s="144">
        <v>1</v>
      </c>
      <c r="B116" s="547">
        <v>44985</v>
      </c>
      <c r="C116" s="166">
        <v>288400</v>
      </c>
      <c r="D116" s="166" t="s">
        <v>1291</v>
      </c>
      <c r="E116" s="166" t="s">
        <v>1272</v>
      </c>
      <c r="G116" s="166">
        <v>17.03</v>
      </c>
      <c r="H116" s="548"/>
      <c r="I116" s="548">
        <v>1932.73</v>
      </c>
    </row>
    <row r="117" spans="1:9" s="166" customFormat="1" x14ac:dyDescent="0.25">
      <c r="A117" s="144">
        <v>1</v>
      </c>
      <c r="B117" s="547">
        <v>45016</v>
      </c>
      <c r="C117" s="166">
        <v>289416</v>
      </c>
      <c r="D117" s="166" t="s">
        <v>1292</v>
      </c>
      <c r="E117" s="166" t="s">
        <v>1273</v>
      </c>
      <c r="G117" s="166">
        <v>21.67</v>
      </c>
      <c r="H117" s="548"/>
      <c r="I117" s="548">
        <v>1954.4</v>
      </c>
    </row>
    <row r="118" spans="1:9" s="166" customFormat="1" x14ac:dyDescent="0.25">
      <c r="A118" s="144">
        <v>1</v>
      </c>
      <c r="B118" s="547">
        <v>45046</v>
      </c>
      <c r="C118" s="166">
        <v>289912</v>
      </c>
      <c r="D118" s="166" t="s">
        <v>1374</v>
      </c>
      <c r="E118" s="166" t="s">
        <v>1364</v>
      </c>
      <c r="G118" s="166">
        <v>17.03</v>
      </c>
      <c r="H118" s="548"/>
      <c r="I118" s="548">
        <v>1971.43</v>
      </c>
    </row>
    <row r="119" spans="1:9" s="166" customFormat="1" x14ac:dyDescent="0.25">
      <c r="A119" s="144">
        <v>1</v>
      </c>
      <c r="B119" s="547">
        <v>45077</v>
      </c>
      <c r="C119" s="166">
        <v>290888</v>
      </c>
      <c r="D119" s="166" t="s">
        <v>1375</v>
      </c>
      <c r="E119" s="166" t="s">
        <v>1365</v>
      </c>
      <c r="G119" s="166">
        <v>20.74</v>
      </c>
      <c r="H119" s="548"/>
      <c r="I119" s="548">
        <v>1992.17</v>
      </c>
    </row>
    <row r="120" spans="1:9" s="166" customFormat="1" x14ac:dyDescent="0.25">
      <c r="A120" s="144">
        <v>1</v>
      </c>
      <c r="B120" s="547">
        <v>45107</v>
      </c>
      <c r="C120" s="166">
        <v>291683</v>
      </c>
      <c r="D120" s="166" t="s">
        <v>1376</v>
      </c>
      <c r="E120" s="166" t="s">
        <v>1367</v>
      </c>
      <c r="G120" s="166">
        <v>19.8</v>
      </c>
      <c r="H120" s="548"/>
      <c r="I120" s="548">
        <v>2011.97</v>
      </c>
    </row>
    <row r="121" spans="1:9" x14ac:dyDescent="0.25">
      <c r="A121">
        <v>1</v>
      </c>
      <c r="B121" s="190">
        <v>45138</v>
      </c>
      <c r="C121">
        <v>292509</v>
      </c>
      <c r="D121" t="s">
        <v>1579</v>
      </c>
      <c r="E121" t="s">
        <v>1569</v>
      </c>
      <c r="G121">
        <v>19.82</v>
      </c>
      <c r="I121" s="164">
        <v>2031.79</v>
      </c>
    </row>
    <row r="122" spans="1:9" x14ac:dyDescent="0.25">
      <c r="A122">
        <v>1</v>
      </c>
      <c r="B122" s="190">
        <v>45169</v>
      </c>
      <c r="C122">
        <v>293263</v>
      </c>
      <c r="D122" t="s">
        <v>1580</v>
      </c>
      <c r="E122" t="s">
        <v>1571</v>
      </c>
      <c r="G122">
        <v>21.1</v>
      </c>
      <c r="I122" s="164">
        <v>2052.89</v>
      </c>
    </row>
    <row r="123" spans="1:9" x14ac:dyDescent="0.25">
      <c r="A123">
        <v>1</v>
      </c>
      <c r="B123" s="190">
        <v>45199</v>
      </c>
      <c r="C123">
        <v>294089</v>
      </c>
      <c r="D123" t="s">
        <v>1581</v>
      </c>
      <c r="E123" t="s">
        <v>1572</v>
      </c>
      <c r="G123">
        <v>17.96</v>
      </c>
      <c r="I123" s="164">
        <v>2070.85</v>
      </c>
    </row>
    <row r="124" spans="1:9" x14ac:dyDescent="0.25">
      <c r="A124" s="144">
        <v>1</v>
      </c>
    </row>
    <row r="125" spans="1:9" s="144" customFormat="1" x14ac:dyDescent="0.25">
      <c r="A125" s="144">
        <v>1</v>
      </c>
      <c r="B125" s="144" t="s">
        <v>845</v>
      </c>
      <c r="C125" s="144" t="s">
        <v>1169</v>
      </c>
      <c r="D125" s="144">
        <v>112336</v>
      </c>
      <c r="E125" s="144" t="s">
        <v>1170</v>
      </c>
      <c r="F125" s="144" t="s">
        <v>846</v>
      </c>
    </row>
    <row r="126" spans="1:9" x14ac:dyDescent="0.25">
      <c r="A126" s="144">
        <v>1</v>
      </c>
    </row>
    <row r="127" spans="1:9" x14ac:dyDescent="0.25">
      <c r="A127" s="144">
        <v>1</v>
      </c>
      <c r="B127" t="s">
        <v>847</v>
      </c>
      <c r="C127" t="s">
        <v>848</v>
      </c>
      <c r="D127" t="s">
        <v>849</v>
      </c>
      <c r="E127" t="s">
        <v>850</v>
      </c>
      <c r="F127" t="s">
        <v>851</v>
      </c>
      <c r="G127" t="s">
        <v>811</v>
      </c>
      <c r="H127" t="s">
        <v>812</v>
      </c>
      <c r="I127" t="s">
        <v>813</v>
      </c>
    </row>
    <row r="128" spans="1:9" x14ac:dyDescent="0.25">
      <c r="A128" s="144">
        <v>1</v>
      </c>
      <c r="B128" s="190">
        <v>44927</v>
      </c>
      <c r="C128" s="549">
        <v>286313</v>
      </c>
      <c r="D128" s="549" t="s">
        <v>1293</v>
      </c>
      <c r="E128" s="549" t="s">
        <v>1271</v>
      </c>
      <c r="F128" s="550"/>
      <c r="G128" s="550">
        <v>668444.49</v>
      </c>
      <c r="H128" s="550"/>
      <c r="I128" s="550">
        <v>668444.49</v>
      </c>
    </row>
    <row r="129" spans="1:9" s="166" customFormat="1" x14ac:dyDescent="0.25">
      <c r="A129" s="144">
        <v>1</v>
      </c>
      <c r="B129" s="547">
        <v>44957</v>
      </c>
      <c r="C129" s="166">
        <v>286315</v>
      </c>
      <c r="D129" s="166" t="s">
        <v>1290</v>
      </c>
      <c r="E129" s="166" t="s">
        <v>1271</v>
      </c>
      <c r="F129" s="548"/>
      <c r="G129" s="548">
        <v>7486.58</v>
      </c>
      <c r="H129" s="548"/>
      <c r="I129" s="548">
        <v>675931.07</v>
      </c>
    </row>
    <row r="130" spans="1:9" s="166" customFormat="1" x14ac:dyDescent="0.25">
      <c r="A130" s="144">
        <v>1</v>
      </c>
      <c r="B130" s="547">
        <v>44985</v>
      </c>
      <c r="C130" s="166">
        <v>288406</v>
      </c>
      <c r="D130" s="166" t="s">
        <v>1291</v>
      </c>
      <c r="E130" s="166" t="s">
        <v>1272</v>
      </c>
      <c r="F130" s="548"/>
      <c r="G130" s="548">
        <v>6149.69</v>
      </c>
      <c r="H130" s="548"/>
      <c r="I130" s="548">
        <v>682080.76</v>
      </c>
    </row>
    <row r="131" spans="1:9" s="166" customFormat="1" x14ac:dyDescent="0.25">
      <c r="A131" s="144">
        <v>1</v>
      </c>
      <c r="B131" s="547">
        <v>45016</v>
      </c>
      <c r="C131" s="166">
        <v>289422</v>
      </c>
      <c r="D131" s="166" t="s">
        <v>1292</v>
      </c>
      <c r="E131" s="166" t="s">
        <v>1273</v>
      </c>
      <c r="F131" s="548"/>
      <c r="G131" s="548">
        <v>7820.8</v>
      </c>
      <c r="H131" s="548"/>
      <c r="I131" s="548">
        <v>689901.56</v>
      </c>
    </row>
    <row r="132" spans="1:9" s="166" customFormat="1" x14ac:dyDescent="0.25">
      <c r="A132" s="144">
        <v>1</v>
      </c>
      <c r="B132" s="547">
        <v>45046</v>
      </c>
      <c r="C132" s="166">
        <v>289918</v>
      </c>
      <c r="D132" s="166" t="s">
        <v>1374</v>
      </c>
      <c r="E132" s="166" t="s">
        <v>1364</v>
      </c>
      <c r="F132" s="548"/>
      <c r="G132" s="548">
        <v>6149.69</v>
      </c>
      <c r="H132" s="548"/>
      <c r="I132" s="548">
        <v>696051.25</v>
      </c>
    </row>
    <row r="133" spans="1:9" s="166" customFormat="1" x14ac:dyDescent="0.25">
      <c r="A133" s="144">
        <v>1</v>
      </c>
      <c r="B133" s="547">
        <v>45077</v>
      </c>
      <c r="C133" s="166">
        <v>290894</v>
      </c>
      <c r="D133" s="166" t="s">
        <v>1375</v>
      </c>
      <c r="E133" s="166" t="s">
        <v>1365</v>
      </c>
      <c r="F133" s="548"/>
      <c r="G133" s="548">
        <v>7486.58</v>
      </c>
      <c r="H133" s="548"/>
      <c r="I133" s="548">
        <v>703537.83</v>
      </c>
    </row>
    <row r="134" spans="1:9" s="166" customFormat="1" x14ac:dyDescent="0.25">
      <c r="A134" s="144">
        <v>1</v>
      </c>
      <c r="B134" s="547">
        <v>45107</v>
      </c>
      <c r="C134" s="166">
        <v>291689</v>
      </c>
      <c r="D134" s="166" t="s">
        <v>1376</v>
      </c>
      <c r="E134" s="166" t="s">
        <v>1367</v>
      </c>
      <c r="F134" s="548"/>
      <c r="G134" s="548">
        <v>7152.35</v>
      </c>
      <c r="H134" s="548"/>
      <c r="I134" s="548">
        <v>710690.18</v>
      </c>
    </row>
    <row r="135" spans="1:9" x14ac:dyDescent="0.25">
      <c r="A135">
        <v>1</v>
      </c>
      <c r="B135" s="190">
        <v>45138</v>
      </c>
      <c r="C135">
        <v>292515</v>
      </c>
      <c r="D135" t="s">
        <v>1579</v>
      </c>
      <c r="E135" t="s">
        <v>1569</v>
      </c>
      <c r="G135" s="164">
        <v>7152.36</v>
      </c>
      <c r="I135" s="164">
        <v>717842.54</v>
      </c>
    </row>
    <row r="136" spans="1:9" x14ac:dyDescent="0.25">
      <c r="A136">
        <v>1</v>
      </c>
      <c r="B136" s="190">
        <v>45169</v>
      </c>
      <c r="C136">
        <v>293264</v>
      </c>
      <c r="D136" t="s">
        <v>1580</v>
      </c>
      <c r="E136" t="s">
        <v>1571</v>
      </c>
      <c r="G136" s="164">
        <v>7620.26</v>
      </c>
      <c r="I136" s="164">
        <v>725462.8</v>
      </c>
    </row>
    <row r="137" spans="1:9" x14ac:dyDescent="0.25">
      <c r="A137">
        <v>1</v>
      </c>
      <c r="B137" s="190">
        <v>45199</v>
      </c>
      <c r="C137">
        <v>294090</v>
      </c>
      <c r="D137" t="s">
        <v>1581</v>
      </c>
      <c r="E137" t="s">
        <v>1572</v>
      </c>
      <c r="G137" s="164">
        <v>6483.92</v>
      </c>
      <c r="I137" s="164">
        <v>731946.72</v>
      </c>
    </row>
    <row r="138" spans="1:9" x14ac:dyDescent="0.25">
      <c r="A138" s="144">
        <v>1</v>
      </c>
    </row>
    <row r="139" spans="1:9" s="144" customFormat="1" x14ac:dyDescent="0.25">
      <c r="A139" s="144">
        <v>1</v>
      </c>
      <c r="B139" s="144" t="s">
        <v>845</v>
      </c>
      <c r="C139" s="144" t="s">
        <v>1171</v>
      </c>
      <c r="D139" s="144">
        <v>112337</v>
      </c>
      <c r="E139" s="144" t="s">
        <v>1172</v>
      </c>
      <c r="F139" s="144" t="s">
        <v>846</v>
      </c>
    </row>
    <row r="140" spans="1:9" x14ac:dyDescent="0.25">
      <c r="A140" s="144">
        <v>1</v>
      </c>
    </row>
    <row r="141" spans="1:9" x14ac:dyDescent="0.25">
      <c r="A141" s="144">
        <v>1</v>
      </c>
      <c r="B141" t="s">
        <v>847</v>
      </c>
      <c r="C141" t="s">
        <v>848</v>
      </c>
      <c r="D141" t="s">
        <v>849</v>
      </c>
      <c r="E141" t="s">
        <v>850</v>
      </c>
      <c r="F141" t="s">
        <v>851</v>
      </c>
      <c r="G141" t="s">
        <v>811</v>
      </c>
      <c r="H141" t="s">
        <v>812</v>
      </c>
      <c r="I141" t="s">
        <v>813</v>
      </c>
    </row>
    <row r="142" spans="1:9" x14ac:dyDescent="0.25">
      <c r="A142" s="144">
        <v>1</v>
      </c>
      <c r="B142" s="190">
        <v>44927</v>
      </c>
      <c r="C142" s="549">
        <v>286314</v>
      </c>
      <c r="D142" s="549" t="s">
        <v>1293</v>
      </c>
      <c r="E142" s="549" t="s">
        <v>1271</v>
      </c>
      <c r="F142" s="550"/>
      <c r="G142" s="550">
        <v>267519.28000000003</v>
      </c>
      <c r="H142" s="550"/>
      <c r="I142" s="550">
        <v>267519.28000000003</v>
      </c>
    </row>
    <row r="143" spans="1:9" s="166" customFormat="1" x14ac:dyDescent="0.25">
      <c r="A143" s="144">
        <v>1</v>
      </c>
      <c r="B143" s="547">
        <v>44957</v>
      </c>
      <c r="C143" s="166">
        <v>286316</v>
      </c>
      <c r="D143" s="166" t="s">
        <v>1290</v>
      </c>
      <c r="E143" s="166" t="s">
        <v>1271</v>
      </c>
      <c r="F143" s="548"/>
      <c r="G143" s="548">
        <v>2996.22</v>
      </c>
      <c r="H143" s="548"/>
      <c r="I143" s="548">
        <v>270515.5</v>
      </c>
    </row>
    <row r="144" spans="1:9" s="166" customFormat="1" x14ac:dyDescent="0.25">
      <c r="A144" s="144">
        <v>1</v>
      </c>
      <c r="B144" s="547">
        <v>44985</v>
      </c>
      <c r="C144" s="166">
        <v>288407</v>
      </c>
      <c r="D144" s="166" t="s">
        <v>1291</v>
      </c>
      <c r="E144" s="166" t="s">
        <v>1272</v>
      </c>
      <c r="F144" s="548"/>
      <c r="G144" s="548">
        <v>2461.17</v>
      </c>
      <c r="H144" s="548"/>
      <c r="I144" s="548">
        <v>272976.67</v>
      </c>
    </row>
    <row r="145" spans="1:9" s="166" customFormat="1" x14ac:dyDescent="0.25">
      <c r="A145" s="144">
        <v>1</v>
      </c>
      <c r="B145" s="547">
        <v>45016</v>
      </c>
      <c r="C145" s="166">
        <v>289423</v>
      </c>
      <c r="D145" s="166" t="s">
        <v>1292</v>
      </c>
      <c r="E145" s="166" t="s">
        <v>1273</v>
      </c>
      <c r="F145" s="548"/>
      <c r="G145" s="548">
        <v>3129.98</v>
      </c>
      <c r="H145" s="548"/>
      <c r="I145" s="548">
        <v>276106.65000000002</v>
      </c>
    </row>
    <row r="146" spans="1:9" s="166" customFormat="1" x14ac:dyDescent="0.25">
      <c r="A146" s="144">
        <v>1</v>
      </c>
      <c r="B146" s="547">
        <v>45046</v>
      </c>
      <c r="C146" s="166">
        <v>289919</v>
      </c>
      <c r="D146" s="166" t="s">
        <v>1374</v>
      </c>
      <c r="E146" s="166" t="s">
        <v>1364</v>
      </c>
      <c r="F146" s="548"/>
      <c r="G146" s="548">
        <v>2461.1799999999998</v>
      </c>
      <c r="H146" s="548"/>
      <c r="I146" s="548">
        <v>278567.83</v>
      </c>
    </row>
    <row r="147" spans="1:9" s="166" customFormat="1" x14ac:dyDescent="0.25">
      <c r="A147" s="144">
        <v>1</v>
      </c>
      <c r="B147" s="547">
        <v>45077</v>
      </c>
      <c r="C147" s="166">
        <v>290895</v>
      </c>
      <c r="D147" s="166" t="s">
        <v>1375</v>
      </c>
      <c r="E147" s="166" t="s">
        <v>1365</v>
      </c>
      <c r="F147" s="548"/>
      <c r="G147" s="548">
        <v>2996.22</v>
      </c>
      <c r="H147" s="548"/>
      <c r="I147" s="548">
        <v>281564.05</v>
      </c>
    </row>
    <row r="148" spans="1:9" s="166" customFormat="1" x14ac:dyDescent="0.25">
      <c r="A148" s="144">
        <v>1</v>
      </c>
      <c r="B148" s="547">
        <v>45107</v>
      </c>
      <c r="C148" s="166">
        <v>291690</v>
      </c>
      <c r="D148" s="166" t="s">
        <v>1376</v>
      </c>
      <c r="E148" s="166" t="s">
        <v>1367</v>
      </c>
      <c r="F148" s="548"/>
      <c r="G148" s="548">
        <v>2862.45</v>
      </c>
      <c r="H148" s="548"/>
      <c r="I148" s="548">
        <v>284426.5</v>
      </c>
    </row>
    <row r="149" spans="1:9" x14ac:dyDescent="0.25">
      <c r="A149">
        <v>1</v>
      </c>
      <c r="B149" s="190">
        <v>45138</v>
      </c>
      <c r="C149">
        <v>292516</v>
      </c>
      <c r="D149" t="s">
        <v>1579</v>
      </c>
      <c r="E149" t="s">
        <v>1569</v>
      </c>
      <c r="G149" s="164">
        <v>2862.45</v>
      </c>
      <c r="I149" s="164">
        <v>287288.95</v>
      </c>
    </row>
    <row r="150" spans="1:9" x14ac:dyDescent="0.25">
      <c r="A150">
        <v>1</v>
      </c>
      <c r="B150" s="190">
        <v>45169</v>
      </c>
      <c r="C150">
        <v>293265</v>
      </c>
      <c r="D150" t="s">
        <v>1580</v>
      </c>
      <c r="E150" t="s">
        <v>1571</v>
      </c>
      <c r="G150" s="164">
        <v>3049.72</v>
      </c>
      <c r="I150" s="164">
        <v>290338.67</v>
      </c>
    </row>
    <row r="151" spans="1:9" x14ac:dyDescent="0.25">
      <c r="A151">
        <v>1</v>
      </c>
      <c r="B151" s="190">
        <v>45199</v>
      </c>
      <c r="C151">
        <v>294091</v>
      </c>
      <c r="D151" t="s">
        <v>1581</v>
      </c>
      <c r="E151" t="s">
        <v>1572</v>
      </c>
      <c r="G151" s="164">
        <v>2594.94</v>
      </c>
      <c r="I151" s="164">
        <v>292933.61</v>
      </c>
    </row>
    <row r="152" spans="1:9" x14ac:dyDescent="0.25">
      <c r="A152" s="144">
        <v>1</v>
      </c>
      <c r="B152" s="190"/>
      <c r="F152" s="164"/>
      <c r="G152" s="164"/>
      <c r="H152" s="164"/>
      <c r="I152" s="164"/>
    </row>
    <row r="153" spans="1:9" s="144" customFormat="1" x14ac:dyDescent="0.25">
      <c r="A153" s="144">
        <v>1</v>
      </c>
      <c r="B153" s="144" t="s">
        <v>845</v>
      </c>
      <c r="C153" s="144" t="s">
        <v>544</v>
      </c>
      <c r="D153" s="144">
        <v>12131</v>
      </c>
      <c r="E153" s="144" t="s">
        <v>114</v>
      </c>
      <c r="F153" s="200" t="s">
        <v>846</v>
      </c>
      <c r="G153" s="200"/>
    </row>
    <row r="154" spans="1:9" x14ac:dyDescent="0.25">
      <c r="A154" s="144">
        <v>1</v>
      </c>
    </row>
    <row r="155" spans="1:9" x14ac:dyDescent="0.25">
      <c r="A155" s="144">
        <v>1</v>
      </c>
      <c r="B155" t="s">
        <v>847</v>
      </c>
      <c r="C155" t="s">
        <v>848</v>
      </c>
      <c r="D155" t="s">
        <v>849</v>
      </c>
      <c r="E155" t="s">
        <v>850</v>
      </c>
      <c r="F155" t="s">
        <v>851</v>
      </c>
      <c r="G155" t="s">
        <v>811</v>
      </c>
      <c r="H155" t="s">
        <v>812</v>
      </c>
      <c r="I155" t="s">
        <v>813</v>
      </c>
    </row>
    <row r="156" spans="1:9" s="166" customFormat="1" x14ac:dyDescent="0.25">
      <c r="A156" s="144">
        <v>1</v>
      </c>
      <c r="B156" s="547">
        <v>44957</v>
      </c>
      <c r="C156" s="166">
        <v>286309</v>
      </c>
      <c r="D156" s="166" t="s">
        <v>1290</v>
      </c>
      <c r="E156" s="166" t="s">
        <v>1271</v>
      </c>
      <c r="G156" s="166">
        <v>193.82</v>
      </c>
      <c r="H156" s="548"/>
      <c r="I156" s="548">
        <v>21513.99</v>
      </c>
    </row>
    <row r="157" spans="1:9" s="166" customFormat="1" x14ac:dyDescent="0.25">
      <c r="A157" s="144">
        <v>1</v>
      </c>
      <c r="B157" s="547">
        <v>44985</v>
      </c>
      <c r="C157" s="166">
        <v>288402</v>
      </c>
      <c r="D157" s="166" t="s">
        <v>1291</v>
      </c>
      <c r="E157" s="166" t="s">
        <v>1272</v>
      </c>
      <c r="G157" s="166">
        <v>159.21</v>
      </c>
      <c r="H157" s="548"/>
      <c r="I157" s="548">
        <v>21673.200000000001</v>
      </c>
    </row>
    <row r="158" spans="1:9" s="166" customFormat="1" x14ac:dyDescent="0.25">
      <c r="A158" s="144">
        <v>1</v>
      </c>
      <c r="B158" s="547">
        <v>45016</v>
      </c>
      <c r="C158" s="166">
        <v>289418</v>
      </c>
      <c r="D158" s="166" t="s">
        <v>1292</v>
      </c>
      <c r="E158" s="166" t="s">
        <v>1273</v>
      </c>
      <c r="G158" s="166">
        <v>202.47</v>
      </c>
      <c r="H158" s="548"/>
      <c r="I158" s="548">
        <v>21875.67</v>
      </c>
    </row>
    <row r="159" spans="1:9" s="166" customFormat="1" x14ac:dyDescent="0.25">
      <c r="A159" s="144">
        <v>1</v>
      </c>
      <c r="B159" s="547">
        <v>45046</v>
      </c>
      <c r="C159" s="166">
        <v>289914</v>
      </c>
      <c r="D159" s="166" t="s">
        <v>1374</v>
      </c>
      <c r="E159" s="166" t="s">
        <v>1364</v>
      </c>
      <c r="G159" s="166">
        <v>159.22</v>
      </c>
      <c r="H159" s="548"/>
      <c r="I159" s="548">
        <v>22034.89</v>
      </c>
    </row>
    <row r="160" spans="1:9" s="166" customFormat="1" x14ac:dyDescent="0.25">
      <c r="A160" s="144">
        <v>1</v>
      </c>
      <c r="B160" s="547">
        <v>45077</v>
      </c>
      <c r="C160" s="166">
        <v>290890</v>
      </c>
      <c r="D160" s="166" t="s">
        <v>1375</v>
      </c>
      <c r="E160" s="166" t="s">
        <v>1365</v>
      </c>
      <c r="G160" s="166">
        <v>193.82</v>
      </c>
      <c r="H160" s="548"/>
      <c r="I160" s="548">
        <v>22228.71</v>
      </c>
    </row>
    <row r="161" spans="1:9" s="166" customFormat="1" x14ac:dyDescent="0.25">
      <c r="A161" s="144">
        <v>1</v>
      </c>
      <c r="B161" s="547">
        <v>45107</v>
      </c>
      <c r="C161" s="166">
        <v>291685</v>
      </c>
      <c r="D161" s="166" t="s">
        <v>1376</v>
      </c>
      <c r="E161" s="166" t="s">
        <v>1367</v>
      </c>
      <c r="G161" s="166">
        <v>185.17</v>
      </c>
      <c r="H161" s="548"/>
      <c r="I161" s="548">
        <v>22413.88</v>
      </c>
    </row>
    <row r="162" spans="1:9" x14ac:dyDescent="0.25">
      <c r="A162">
        <v>1</v>
      </c>
      <c r="B162" s="190">
        <v>45138</v>
      </c>
      <c r="C162">
        <v>292511</v>
      </c>
      <c r="D162" t="s">
        <v>1579</v>
      </c>
      <c r="E162" t="s">
        <v>1569</v>
      </c>
      <c r="G162">
        <v>185.16</v>
      </c>
      <c r="I162" s="164">
        <v>22599.040000000001</v>
      </c>
    </row>
    <row r="163" spans="1:9" x14ac:dyDescent="0.25">
      <c r="A163">
        <v>1</v>
      </c>
      <c r="B163" s="190">
        <v>45169</v>
      </c>
      <c r="C163">
        <v>293266</v>
      </c>
      <c r="D163" t="s">
        <v>1580</v>
      </c>
      <c r="E163" t="s">
        <v>1571</v>
      </c>
      <c r="G163">
        <v>197.29</v>
      </c>
      <c r="I163" s="164">
        <v>22796.33</v>
      </c>
    </row>
    <row r="164" spans="1:9" x14ac:dyDescent="0.25">
      <c r="A164">
        <v>1</v>
      </c>
      <c r="B164" s="190">
        <v>45199</v>
      </c>
      <c r="C164">
        <v>294092</v>
      </c>
      <c r="D164" t="s">
        <v>1581</v>
      </c>
      <c r="E164" t="s">
        <v>1572</v>
      </c>
      <c r="G164">
        <v>167.86</v>
      </c>
      <c r="I164" s="164">
        <v>22964.19</v>
      </c>
    </row>
    <row r="165" spans="1:9" x14ac:dyDescent="0.25">
      <c r="A165" s="144">
        <v>1</v>
      </c>
      <c r="B165" t="s">
        <v>847</v>
      </c>
      <c r="C165" t="s">
        <v>848</v>
      </c>
      <c r="D165" t="s">
        <v>849</v>
      </c>
      <c r="E165" t="s">
        <v>850</v>
      </c>
      <c r="F165" t="s">
        <v>851</v>
      </c>
      <c r="G165" t="s">
        <v>811</v>
      </c>
      <c r="H165" t="s">
        <v>812</v>
      </c>
      <c r="I165" t="s">
        <v>813</v>
      </c>
    </row>
    <row r="166" spans="1:9" x14ac:dyDescent="0.25">
      <c r="A166" s="144">
        <v>1</v>
      </c>
      <c r="D166" t="s">
        <v>1297</v>
      </c>
    </row>
    <row r="167" spans="1:9" s="144" customFormat="1" x14ac:dyDescent="0.25">
      <c r="A167" s="144">
        <v>1</v>
      </c>
      <c r="B167" s="144" t="s">
        <v>845</v>
      </c>
      <c r="C167" s="144" t="s">
        <v>546</v>
      </c>
      <c r="D167" s="144">
        <v>12135</v>
      </c>
      <c r="E167" s="144" t="s">
        <v>116</v>
      </c>
      <c r="F167" s="200" t="s">
        <v>846</v>
      </c>
      <c r="G167" s="200"/>
    </row>
    <row r="168" spans="1:9" x14ac:dyDescent="0.25">
      <c r="A168" s="144">
        <v>1</v>
      </c>
    </row>
    <row r="169" spans="1:9" x14ac:dyDescent="0.25">
      <c r="A169" s="144">
        <v>1</v>
      </c>
      <c r="B169" t="s">
        <v>847</v>
      </c>
      <c r="C169" t="s">
        <v>848</v>
      </c>
      <c r="D169" t="s">
        <v>849</v>
      </c>
      <c r="E169" t="s">
        <v>850</v>
      </c>
      <c r="F169" t="s">
        <v>851</v>
      </c>
      <c r="G169" t="s">
        <v>811</v>
      </c>
      <c r="H169" t="s">
        <v>812</v>
      </c>
      <c r="I169" t="s">
        <v>813</v>
      </c>
    </row>
    <row r="170" spans="1:9" s="166" customFormat="1" x14ac:dyDescent="0.25">
      <c r="A170" s="144">
        <v>1</v>
      </c>
      <c r="B170" s="547">
        <v>44957</v>
      </c>
      <c r="C170" s="166">
        <v>286312</v>
      </c>
      <c r="D170" s="166" t="s">
        <v>1290</v>
      </c>
      <c r="E170" s="166" t="s">
        <v>1271</v>
      </c>
      <c r="F170" s="548"/>
      <c r="G170" s="548">
        <v>1319.38</v>
      </c>
      <c r="H170" s="548"/>
      <c r="I170" s="548">
        <v>139094.76</v>
      </c>
    </row>
    <row r="171" spans="1:9" s="166" customFormat="1" x14ac:dyDescent="0.25">
      <c r="A171" s="144">
        <v>1</v>
      </c>
      <c r="B171" s="547">
        <v>44985</v>
      </c>
      <c r="C171" s="166">
        <v>288405</v>
      </c>
      <c r="D171" s="166" t="s">
        <v>1291</v>
      </c>
      <c r="E171" s="166" t="s">
        <v>1272</v>
      </c>
      <c r="F171" s="548"/>
      <c r="G171" s="548">
        <v>1083.78</v>
      </c>
      <c r="H171" s="548"/>
      <c r="I171" s="548">
        <v>140178.54</v>
      </c>
    </row>
    <row r="172" spans="1:9" s="166" customFormat="1" x14ac:dyDescent="0.25">
      <c r="A172" s="144">
        <v>1</v>
      </c>
      <c r="B172" s="547">
        <v>45016</v>
      </c>
      <c r="C172" s="166">
        <v>289421</v>
      </c>
      <c r="D172" s="166" t="s">
        <v>1292</v>
      </c>
      <c r="E172" s="166" t="s">
        <v>1273</v>
      </c>
      <c r="F172" s="548"/>
      <c r="G172" s="548">
        <v>1378.28</v>
      </c>
      <c r="H172" s="548"/>
      <c r="I172" s="548">
        <v>141556.82</v>
      </c>
    </row>
    <row r="173" spans="1:9" s="166" customFormat="1" x14ac:dyDescent="0.25">
      <c r="A173" s="144">
        <v>1</v>
      </c>
      <c r="B173" s="547">
        <v>45046</v>
      </c>
      <c r="C173" s="166">
        <v>289917</v>
      </c>
      <c r="D173" s="166" t="s">
        <v>1374</v>
      </c>
      <c r="E173" s="166" t="s">
        <v>1364</v>
      </c>
      <c r="F173" s="548"/>
      <c r="G173" s="548">
        <v>1083.78</v>
      </c>
      <c r="H173" s="548"/>
      <c r="I173" s="548">
        <v>142640.6</v>
      </c>
    </row>
    <row r="174" spans="1:9" s="166" customFormat="1" x14ac:dyDescent="0.25">
      <c r="A174" s="144">
        <v>1</v>
      </c>
      <c r="B174" s="547">
        <v>45077</v>
      </c>
      <c r="C174" s="166">
        <v>290893</v>
      </c>
      <c r="D174" s="166" t="s">
        <v>1375</v>
      </c>
      <c r="E174" s="166" t="s">
        <v>1365</v>
      </c>
      <c r="F174" s="548"/>
      <c r="G174" s="548">
        <v>1319.38</v>
      </c>
      <c r="H174" s="548"/>
      <c r="I174" s="548">
        <v>143959.98000000001</v>
      </c>
    </row>
    <row r="175" spans="1:9" s="166" customFormat="1" x14ac:dyDescent="0.25">
      <c r="A175" s="144">
        <v>1</v>
      </c>
      <c r="B175" s="547">
        <v>45107</v>
      </c>
      <c r="C175" s="166">
        <v>291688</v>
      </c>
      <c r="D175" s="166" t="s">
        <v>1376</v>
      </c>
      <c r="E175" s="166" t="s">
        <v>1367</v>
      </c>
      <c r="F175" s="548"/>
      <c r="G175" s="548">
        <v>1260.49</v>
      </c>
      <c r="H175" s="548"/>
      <c r="I175" s="548">
        <v>145220.47</v>
      </c>
    </row>
    <row r="176" spans="1:9" x14ac:dyDescent="0.25">
      <c r="A176">
        <v>1</v>
      </c>
      <c r="B176" s="190">
        <v>45138</v>
      </c>
      <c r="C176">
        <v>292514</v>
      </c>
      <c r="D176" t="s">
        <v>1579</v>
      </c>
      <c r="E176" t="s">
        <v>1569</v>
      </c>
      <c r="G176" s="164">
        <v>1260.48</v>
      </c>
      <c r="I176" s="164">
        <v>146480.95000000001</v>
      </c>
    </row>
    <row r="177" spans="1:10" x14ac:dyDescent="0.25">
      <c r="A177">
        <v>1</v>
      </c>
      <c r="B177" s="190">
        <v>45169</v>
      </c>
      <c r="C177">
        <v>293267</v>
      </c>
      <c r="D177" t="s">
        <v>1580</v>
      </c>
      <c r="E177" t="s">
        <v>1571</v>
      </c>
      <c r="G177" s="164">
        <v>1342.95</v>
      </c>
      <c r="I177" s="164">
        <v>147823.9</v>
      </c>
    </row>
    <row r="178" spans="1:10" x14ac:dyDescent="0.25">
      <c r="A178">
        <v>1</v>
      </c>
      <c r="B178" s="190">
        <v>45199</v>
      </c>
      <c r="C178">
        <v>294093</v>
      </c>
      <c r="D178" t="s">
        <v>1581</v>
      </c>
      <c r="E178" t="s">
        <v>1572</v>
      </c>
      <c r="G178" s="164">
        <v>1142.68</v>
      </c>
      <c r="I178" s="164">
        <v>148966.57999999999</v>
      </c>
    </row>
    <row r="181" spans="1:10" x14ac:dyDescent="0.25">
      <c r="G181" s="116">
        <f>SUBTOTAL(9,G4:H180)</f>
        <v>1284041.6999999993</v>
      </c>
      <c r="H181" s="116"/>
      <c r="I181" s="211">
        <f>G181-H181</f>
        <v>1284041.6999999993</v>
      </c>
    </row>
    <row r="182" spans="1:10" x14ac:dyDescent="0.25">
      <c r="D182" s="286" t="s">
        <v>1490</v>
      </c>
      <c r="G182" s="552">
        <f>G4+H5+G6+G7+G8+G9+G45+G46+G47+G48+G49+G51+G52+G53+G62+G63+G64+G66+G67+G68+G76+G77+G78+G79+G80+G81+G89+G90+G91+G92+G93+G94+G102+G103+G104+G105+G106+G107+G115+G116+G117+G118+G119+G120+G129+G130+G131+G132+G133+G134+G143+G144+G145+G146+G147+G148+G81+G156+G157+G158+G159+G160+G161+G170+G171+G172+G173+G174+G175+G10+G11+G12+G54+G55+G56+G69+G70+G71+G82+G83+G84+G95+G96+G97+G108+G109+G110+G121+G122+G123+G135+G136+G137+G149+G150+G151+G163+G162+G164+G176+G177+G178</f>
        <v>183337.89000000004</v>
      </c>
      <c r="I182">
        <f>G182/1000</f>
        <v>183.33789000000004</v>
      </c>
      <c r="J182" s="645">
        <f>ROUND(I182,0)</f>
        <v>183</v>
      </c>
    </row>
    <row r="184" spans="1:10" x14ac:dyDescent="0.25">
      <c r="D184" s="551" t="s">
        <v>1491</v>
      </c>
      <c r="G184" s="553">
        <f>G17+H17+G27+H27+G37+H37+G39+H39+G40+H40+G50+H50+G61+H61+G65+H65+G128+H128+G142+H142+G38+H38+G18+H18+G19+H19+G28+H28+H29+G29</f>
        <v>981456.76000000024</v>
      </c>
      <c r="I184">
        <f>G184/1000</f>
        <v>981.45676000000026</v>
      </c>
      <c r="J184" s="551">
        <f>ROUND(I184,0)</f>
        <v>981</v>
      </c>
    </row>
    <row r="186" spans="1:10" x14ac:dyDescent="0.25">
      <c r="G186" s="164">
        <f>SUM(G182:G185)</f>
        <v>1164794.6500000004</v>
      </c>
      <c r="J186">
        <f>SUM(J182:J185)</f>
        <v>1164</v>
      </c>
    </row>
    <row r="188" spans="1:10" x14ac:dyDescent="0.25">
      <c r="G188" s="211">
        <f>G181-G186</f>
        <v>119247.04999999888</v>
      </c>
    </row>
  </sheetData>
  <autoFilter ref="A1:J175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B1" zoomScaleNormal="100" workbookViewId="0">
      <selection activeCell="C80" sqref="C80"/>
    </sheetView>
  </sheetViews>
  <sheetFormatPr defaultRowHeight="15" x14ac:dyDescent="0.25"/>
  <cols>
    <col min="1" max="1" width="2" bestFit="1" customWidth="1"/>
    <col min="2" max="2" width="10.7109375" bestFit="1" customWidth="1"/>
    <col min="3" max="3" width="12.28515625" bestFit="1" customWidth="1"/>
    <col min="4" max="4" width="106.42578125" customWidth="1"/>
    <col min="5" max="5" width="10.7109375" customWidth="1"/>
    <col min="6" max="6" width="1.28515625" customWidth="1"/>
    <col min="7" max="7" width="11.7109375" bestFit="1" customWidth="1"/>
    <col min="9" max="9" width="11.7109375" bestFit="1" customWidth="1"/>
  </cols>
  <sheetData>
    <row r="1" spans="1:9" s="144" customFormat="1" x14ac:dyDescent="0.25">
      <c r="A1" s="144">
        <v>1</v>
      </c>
      <c r="B1" s="144" t="s">
        <v>845</v>
      </c>
      <c r="C1" s="144" t="s">
        <v>548</v>
      </c>
      <c r="D1" s="144">
        <v>12181</v>
      </c>
      <c r="E1" s="144" t="s">
        <v>324</v>
      </c>
      <c r="F1" s="200" t="s">
        <v>846</v>
      </c>
      <c r="G1" s="200">
        <v>3928358.17</v>
      </c>
    </row>
    <row r="2" spans="1:9" x14ac:dyDescent="0.25">
      <c r="A2">
        <v>1</v>
      </c>
    </row>
    <row r="3" spans="1:9" x14ac:dyDescent="0.25">
      <c r="A3">
        <v>1</v>
      </c>
      <c r="B3" t="s">
        <v>847</v>
      </c>
      <c r="C3" t="s">
        <v>848</v>
      </c>
      <c r="D3" t="s">
        <v>849</v>
      </c>
      <c r="E3" t="s">
        <v>850</v>
      </c>
      <c r="F3" t="s">
        <v>851</v>
      </c>
      <c r="G3" t="s">
        <v>811</v>
      </c>
      <c r="H3" t="s">
        <v>812</v>
      </c>
      <c r="I3" t="s">
        <v>813</v>
      </c>
    </row>
    <row r="4" spans="1:9" s="166" customFormat="1" x14ac:dyDescent="0.25">
      <c r="A4" s="166">
        <v>1</v>
      </c>
      <c r="B4" s="547">
        <v>44957</v>
      </c>
      <c r="C4" s="166">
        <v>286319</v>
      </c>
      <c r="D4" s="166" t="s">
        <v>1270</v>
      </c>
      <c r="E4" s="166" t="s">
        <v>1271</v>
      </c>
      <c r="F4" s="548"/>
      <c r="G4" s="548">
        <v>15711.69</v>
      </c>
      <c r="H4" s="548"/>
      <c r="I4" s="548">
        <v>3944069.86</v>
      </c>
    </row>
    <row r="5" spans="1:9" s="166" customFormat="1" x14ac:dyDescent="0.25">
      <c r="A5" s="166">
        <v>1</v>
      </c>
      <c r="B5" s="547">
        <v>44985</v>
      </c>
      <c r="C5" s="166">
        <v>288115</v>
      </c>
      <c r="D5" s="166" t="s">
        <v>1270</v>
      </c>
      <c r="E5" s="166" t="s">
        <v>1272</v>
      </c>
      <c r="F5" s="548"/>
      <c r="G5" s="548">
        <v>15711.69</v>
      </c>
      <c r="H5" s="548"/>
      <c r="I5" s="548">
        <v>3959781.55</v>
      </c>
    </row>
    <row r="6" spans="1:9" s="166" customFormat="1" x14ac:dyDescent="0.25">
      <c r="A6" s="166">
        <v>1</v>
      </c>
      <c r="B6" s="547">
        <v>45016</v>
      </c>
      <c r="C6" s="166">
        <v>289435</v>
      </c>
      <c r="D6" s="166" t="s">
        <v>1270</v>
      </c>
      <c r="E6" s="166" t="s">
        <v>1273</v>
      </c>
      <c r="F6" s="548"/>
      <c r="G6" s="548">
        <v>47664.160000000003</v>
      </c>
      <c r="H6" s="548"/>
      <c r="I6" s="548">
        <v>4007445.71</v>
      </c>
    </row>
    <row r="7" spans="1:9" s="166" customFormat="1" x14ac:dyDescent="0.25">
      <c r="A7" s="166">
        <v>1</v>
      </c>
      <c r="B7" s="547">
        <v>45046</v>
      </c>
      <c r="C7" s="166">
        <v>289923</v>
      </c>
      <c r="D7" s="166" t="s">
        <v>1363</v>
      </c>
      <c r="E7" s="166" t="s">
        <v>1364</v>
      </c>
      <c r="F7" s="548"/>
      <c r="G7" s="548">
        <v>26362.51</v>
      </c>
      <c r="H7" s="548"/>
      <c r="I7" s="548">
        <v>4033808.22</v>
      </c>
    </row>
    <row r="8" spans="1:9" s="166" customFormat="1" x14ac:dyDescent="0.25">
      <c r="A8" s="166">
        <v>1</v>
      </c>
      <c r="B8" s="547">
        <v>45077</v>
      </c>
      <c r="C8" s="166">
        <v>290901</v>
      </c>
      <c r="D8" s="166" t="s">
        <v>1059</v>
      </c>
      <c r="E8" s="166" t="s">
        <v>1365</v>
      </c>
      <c r="F8" s="548"/>
      <c r="G8" s="548">
        <v>26362.51</v>
      </c>
      <c r="H8" s="548"/>
      <c r="I8" s="548">
        <v>4060170.73</v>
      </c>
    </row>
    <row r="9" spans="1:9" s="166" customFormat="1" x14ac:dyDescent="0.25">
      <c r="A9" s="166">
        <v>1</v>
      </c>
      <c r="B9" s="547">
        <v>45107</v>
      </c>
      <c r="C9" s="166">
        <v>291696</v>
      </c>
      <c r="D9" s="166" t="s">
        <v>1366</v>
      </c>
      <c r="E9" s="166" t="s">
        <v>1367</v>
      </c>
      <c r="G9" s="548"/>
      <c r="H9" s="548">
        <v>-7707.71</v>
      </c>
      <c r="I9" s="548">
        <v>4052463.02</v>
      </c>
    </row>
    <row r="10" spans="1:9" x14ac:dyDescent="0.25">
      <c r="A10">
        <v>1</v>
      </c>
      <c r="B10" s="190">
        <v>45138</v>
      </c>
      <c r="C10">
        <v>292526</v>
      </c>
      <c r="D10" t="s">
        <v>1588</v>
      </c>
      <c r="E10" t="s">
        <v>1569</v>
      </c>
      <c r="G10" s="164">
        <v>15005.77</v>
      </c>
      <c r="I10" s="164">
        <v>4067468.79</v>
      </c>
    </row>
    <row r="11" spans="1:9" x14ac:dyDescent="0.25">
      <c r="A11">
        <v>1</v>
      </c>
      <c r="B11" s="190">
        <v>45169</v>
      </c>
      <c r="C11">
        <v>293073</v>
      </c>
      <c r="D11" t="s">
        <v>1059</v>
      </c>
      <c r="E11" t="s">
        <v>1571</v>
      </c>
      <c r="G11" s="164">
        <v>15005.77</v>
      </c>
      <c r="I11" s="164">
        <v>4082474.56</v>
      </c>
    </row>
    <row r="12" spans="1:9" x14ac:dyDescent="0.25">
      <c r="A12">
        <v>1</v>
      </c>
      <c r="B12" s="190">
        <v>45199</v>
      </c>
      <c r="C12">
        <v>294145</v>
      </c>
      <c r="D12" t="s">
        <v>1589</v>
      </c>
      <c r="E12" t="s">
        <v>1572</v>
      </c>
      <c r="H12" s="164">
        <v>-7295.91</v>
      </c>
      <c r="I12" s="164">
        <v>4075178.65</v>
      </c>
    </row>
    <row r="13" spans="1:9" x14ac:dyDescent="0.25">
      <c r="A13">
        <v>1</v>
      </c>
    </row>
    <row r="14" spans="1:9" s="144" customFormat="1" x14ac:dyDescent="0.25">
      <c r="A14" s="144">
        <v>1</v>
      </c>
      <c r="B14" s="144" t="s">
        <v>845</v>
      </c>
      <c r="C14" s="144" t="s">
        <v>549</v>
      </c>
      <c r="D14" s="144">
        <v>12182</v>
      </c>
      <c r="E14" s="144" t="s">
        <v>325</v>
      </c>
      <c r="F14" s="200" t="s">
        <v>846</v>
      </c>
      <c r="G14" s="200"/>
    </row>
    <row r="15" spans="1:9" x14ac:dyDescent="0.25">
      <c r="A15">
        <v>1</v>
      </c>
    </row>
    <row r="16" spans="1:9" x14ac:dyDescent="0.25">
      <c r="A16">
        <v>1</v>
      </c>
      <c r="B16" t="s">
        <v>847</v>
      </c>
      <c r="C16" t="s">
        <v>848</v>
      </c>
      <c r="D16" t="s">
        <v>849</v>
      </c>
      <c r="E16" t="s">
        <v>850</v>
      </c>
      <c r="F16" t="s">
        <v>851</v>
      </c>
      <c r="G16" t="s">
        <v>811</v>
      </c>
      <c r="H16" t="s">
        <v>812</v>
      </c>
      <c r="I16" t="s">
        <v>813</v>
      </c>
    </row>
    <row r="17" spans="1:10" s="285" customFormat="1" x14ac:dyDescent="0.25">
      <c r="A17" s="285">
        <v>1</v>
      </c>
      <c r="B17" s="555">
        <v>44956</v>
      </c>
      <c r="C17" s="285">
        <v>286201</v>
      </c>
      <c r="D17" s="285" t="s">
        <v>1274</v>
      </c>
      <c r="E17" s="285" t="s">
        <v>1275</v>
      </c>
      <c r="F17" s="556"/>
      <c r="G17" s="556">
        <v>24592.76</v>
      </c>
      <c r="H17" s="556"/>
      <c r="I17" s="556">
        <v>334012.51</v>
      </c>
    </row>
    <row r="18" spans="1:10" s="166" customFormat="1" x14ac:dyDescent="0.25">
      <c r="A18" s="166">
        <v>1</v>
      </c>
      <c r="B18" s="547">
        <v>44957</v>
      </c>
      <c r="C18" s="166">
        <v>286317</v>
      </c>
      <c r="D18" s="166" t="s">
        <v>1276</v>
      </c>
      <c r="E18" s="166" t="s">
        <v>1271</v>
      </c>
      <c r="F18" s="548"/>
      <c r="G18" s="548">
        <v>2228.42</v>
      </c>
      <c r="H18" s="548"/>
      <c r="I18" s="548">
        <v>336240.93</v>
      </c>
    </row>
    <row r="19" spans="1:10" s="166" customFormat="1" x14ac:dyDescent="0.25">
      <c r="A19" s="166">
        <v>1</v>
      </c>
      <c r="B19" s="547">
        <v>44985</v>
      </c>
      <c r="C19" s="166">
        <v>288112</v>
      </c>
      <c r="D19" s="166" t="s">
        <v>1276</v>
      </c>
      <c r="E19" s="166" t="s">
        <v>1272</v>
      </c>
      <c r="F19" s="548"/>
      <c r="G19" s="548">
        <v>2300.12</v>
      </c>
      <c r="H19" s="548"/>
      <c r="I19" s="548">
        <v>338541.05</v>
      </c>
    </row>
    <row r="20" spans="1:10" s="139" customFormat="1" x14ac:dyDescent="0.25">
      <c r="A20" s="166">
        <v>1</v>
      </c>
      <c r="B20" s="547">
        <v>44986</v>
      </c>
      <c r="C20" s="166">
        <v>289458</v>
      </c>
      <c r="D20" s="166" t="s">
        <v>1280</v>
      </c>
      <c r="E20" s="166" t="s">
        <v>1273</v>
      </c>
      <c r="F20" s="166"/>
      <c r="G20" s="548"/>
      <c r="H20" s="548">
        <v>-3350.34</v>
      </c>
      <c r="I20" s="548">
        <v>345019.22</v>
      </c>
      <c r="J20" s="166"/>
    </row>
    <row r="21" spans="1:10" s="166" customFormat="1" x14ac:dyDescent="0.25">
      <c r="A21" s="166">
        <v>1</v>
      </c>
      <c r="B21" s="547">
        <v>45016</v>
      </c>
      <c r="C21" s="166">
        <v>289432</v>
      </c>
      <c r="D21" s="166" t="s">
        <v>1276</v>
      </c>
      <c r="E21" s="166" t="s">
        <v>1273</v>
      </c>
      <c r="F21" s="548"/>
      <c r="G21" s="548">
        <v>1079.3499999999999</v>
      </c>
      <c r="H21" s="548"/>
      <c r="I21" s="548">
        <v>363663.65</v>
      </c>
    </row>
    <row r="22" spans="1:10" s="139" customFormat="1" x14ac:dyDescent="0.25">
      <c r="A22" s="166">
        <v>1</v>
      </c>
      <c r="B22" s="547">
        <v>45016</v>
      </c>
      <c r="C22" s="166">
        <v>289456</v>
      </c>
      <c r="D22" s="166" t="s">
        <v>1492</v>
      </c>
      <c r="E22" s="166" t="s">
        <v>1273</v>
      </c>
      <c r="F22" s="548"/>
      <c r="G22" s="548">
        <v>2635.6</v>
      </c>
      <c r="H22" s="548"/>
      <c r="I22" s="548">
        <v>366299.25</v>
      </c>
      <c r="J22" s="166"/>
    </row>
    <row r="23" spans="1:10" s="285" customFormat="1" x14ac:dyDescent="0.25">
      <c r="A23" s="285">
        <v>1</v>
      </c>
      <c r="B23" s="555">
        <v>45015</v>
      </c>
      <c r="C23" s="285">
        <v>288814</v>
      </c>
      <c r="D23" s="285" t="s">
        <v>1281</v>
      </c>
      <c r="E23" s="285" t="s">
        <v>1282</v>
      </c>
      <c r="F23" s="556"/>
      <c r="G23" s="556">
        <v>12271</v>
      </c>
      <c r="H23" s="556"/>
      <c r="I23" s="556">
        <v>350287.92</v>
      </c>
    </row>
    <row r="24" spans="1:10" s="285" customFormat="1" x14ac:dyDescent="0.25">
      <c r="A24" s="285">
        <v>1</v>
      </c>
      <c r="B24" s="555">
        <v>45015</v>
      </c>
      <c r="C24" s="285">
        <v>288874</v>
      </c>
      <c r="D24" s="285" t="s">
        <v>1274</v>
      </c>
      <c r="E24" s="285" t="s">
        <v>1283</v>
      </c>
      <c r="F24" s="556"/>
      <c r="G24" s="556">
        <v>12296.38</v>
      </c>
      <c r="H24" s="556"/>
      <c r="I24" s="556">
        <v>362584.3</v>
      </c>
    </row>
    <row r="25" spans="1:10" s="166" customFormat="1" x14ac:dyDescent="0.25">
      <c r="A25" s="166">
        <v>1</v>
      </c>
      <c r="B25" s="547">
        <v>45046</v>
      </c>
      <c r="C25" s="166">
        <v>289921</v>
      </c>
      <c r="D25" s="166" t="s">
        <v>1050</v>
      </c>
      <c r="E25" s="166" t="s">
        <v>1364</v>
      </c>
      <c r="F25" s="548"/>
      <c r="G25" s="548">
        <v>1174.6400000000001</v>
      </c>
      <c r="H25" s="548"/>
      <c r="I25" s="548">
        <v>367473.89</v>
      </c>
    </row>
    <row r="26" spans="1:10" s="166" customFormat="1" x14ac:dyDescent="0.25">
      <c r="A26" s="166">
        <v>1</v>
      </c>
      <c r="B26" s="547">
        <v>45077</v>
      </c>
      <c r="C26" s="166">
        <v>290898</v>
      </c>
      <c r="D26" s="166" t="s">
        <v>1050</v>
      </c>
      <c r="E26" s="166" t="s">
        <v>1365</v>
      </c>
      <c r="F26" s="548"/>
      <c r="G26" s="548">
        <v>2391.3200000000002</v>
      </c>
      <c r="H26" s="548"/>
      <c r="I26" s="548">
        <v>369865.21</v>
      </c>
    </row>
    <row r="27" spans="1:10" s="166" customFormat="1" x14ac:dyDescent="0.25">
      <c r="A27" s="166">
        <v>1</v>
      </c>
      <c r="B27" s="547">
        <v>45107</v>
      </c>
      <c r="C27" s="166">
        <v>291693</v>
      </c>
      <c r="D27" s="166" t="s">
        <v>1372</v>
      </c>
      <c r="E27" s="166" t="s">
        <v>1367</v>
      </c>
      <c r="F27" s="548"/>
      <c r="G27" s="548">
        <v>2694.67</v>
      </c>
      <c r="H27" s="548"/>
      <c r="I27" s="548">
        <v>397152.64</v>
      </c>
    </row>
    <row r="28" spans="1:10" s="166" customFormat="1" x14ac:dyDescent="0.25">
      <c r="A28" s="166">
        <v>1</v>
      </c>
      <c r="B28" s="547">
        <v>44957</v>
      </c>
      <c r="C28" s="166">
        <v>286318</v>
      </c>
      <c r="D28" s="166" t="s">
        <v>1285</v>
      </c>
      <c r="E28" s="166" t="s">
        <v>1271</v>
      </c>
      <c r="G28" s="166">
        <v>993.16</v>
      </c>
      <c r="H28" s="548"/>
      <c r="I28" s="548">
        <v>162174.39000000001</v>
      </c>
    </row>
    <row r="29" spans="1:10" s="285" customFormat="1" x14ac:dyDescent="0.25">
      <c r="A29" s="285">
        <v>1</v>
      </c>
      <c r="B29" s="555">
        <v>45077</v>
      </c>
      <c r="C29" s="285">
        <v>290511</v>
      </c>
      <c r="D29" s="285" t="s">
        <v>1368</v>
      </c>
      <c r="E29" s="285" t="s">
        <v>1369</v>
      </c>
      <c r="F29" s="556"/>
      <c r="G29" s="556">
        <v>24592.76</v>
      </c>
      <c r="H29" s="556"/>
      <c r="I29" s="556">
        <v>394457.97</v>
      </c>
    </row>
    <row r="30" spans="1:10" s="166" customFormat="1" x14ac:dyDescent="0.25">
      <c r="A30" s="166">
        <v>1</v>
      </c>
      <c r="B30" s="547">
        <v>44985</v>
      </c>
      <c r="C30" s="166">
        <v>288113</v>
      </c>
      <c r="D30" s="166" t="s">
        <v>1286</v>
      </c>
      <c r="E30" s="166" t="s">
        <v>1271</v>
      </c>
      <c r="H30" s="548">
        <v>-138.88999999999999</v>
      </c>
      <c r="I30" s="548">
        <v>162035.5</v>
      </c>
    </row>
    <row r="31" spans="1:10" s="285" customFormat="1" x14ac:dyDescent="0.25">
      <c r="A31" s="285">
        <v>1</v>
      </c>
      <c r="B31" s="555">
        <v>45107</v>
      </c>
      <c r="C31" s="285">
        <v>291323</v>
      </c>
      <c r="D31" s="285" t="s">
        <v>1370</v>
      </c>
      <c r="E31" s="285" t="s">
        <v>1371</v>
      </c>
      <c r="F31" s="556"/>
      <c r="G31" s="556">
        <v>12296.38</v>
      </c>
      <c r="H31" s="556"/>
      <c r="I31" s="556">
        <v>409449.02</v>
      </c>
    </row>
    <row r="32" spans="1:10" x14ac:dyDescent="0.25">
      <c r="A32">
        <v>1</v>
      </c>
      <c r="B32" s="190">
        <v>45138</v>
      </c>
      <c r="C32">
        <v>292521</v>
      </c>
      <c r="D32" t="s">
        <v>1276</v>
      </c>
      <c r="E32" t="s">
        <v>1569</v>
      </c>
      <c r="G32" s="164">
        <v>2675.63</v>
      </c>
      <c r="I32" s="164">
        <v>412124.65</v>
      </c>
    </row>
    <row r="33" spans="1:10" s="285" customFormat="1" x14ac:dyDescent="0.25">
      <c r="A33" s="285">
        <v>1</v>
      </c>
      <c r="B33" s="555">
        <v>45169</v>
      </c>
      <c r="C33" s="285">
        <v>292729</v>
      </c>
      <c r="D33" s="285" t="s">
        <v>1590</v>
      </c>
      <c r="E33" s="285" t="s">
        <v>1591</v>
      </c>
      <c r="F33" s="556"/>
      <c r="G33" s="556">
        <v>15940.59</v>
      </c>
      <c r="H33" s="556"/>
      <c r="I33" s="556">
        <v>428065.24</v>
      </c>
    </row>
    <row r="34" spans="1:10" x14ac:dyDescent="0.25">
      <c r="A34">
        <v>1</v>
      </c>
      <c r="B34" s="190">
        <v>45169</v>
      </c>
      <c r="C34">
        <v>293070</v>
      </c>
      <c r="D34" t="s">
        <v>1050</v>
      </c>
      <c r="E34" t="s">
        <v>1571</v>
      </c>
      <c r="G34" s="164">
        <v>2905.37</v>
      </c>
      <c r="I34" s="164">
        <v>430970.61</v>
      </c>
    </row>
    <row r="35" spans="1:10" x14ac:dyDescent="0.25">
      <c r="A35">
        <v>1</v>
      </c>
      <c r="B35" s="190">
        <v>45199</v>
      </c>
      <c r="C35">
        <v>294268</v>
      </c>
      <c r="D35" t="s">
        <v>1050</v>
      </c>
      <c r="E35" t="s">
        <v>1572</v>
      </c>
      <c r="G35" s="164">
        <v>2799.65</v>
      </c>
      <c r="I35" s="164">
        <v>433770.26</v>
      </c>
    </row>
    <row r="36" spans="1:10" x14ac:dyDescent="0.25">
      <c r="A36">
        <v>1</v>
      </c>
    </row>
    <row r="37" spans="1:10" s="144" customFormat="1" x14ac:dyDescent="0.25">
      <c r="A37" s="144">
        <v>1</v>
      </c>
      <c r="B37" s="144" t="s">
        <v>845</v>
      </c>
      <c r="C37" s="144" t="s">
        <v>550</v>
      </c>
      <c r="D37" s="144">
        <v>12183</v>
      </c>
      <c r="E37" s="144" t="s">
        <v>119</v>
      </c>
      <c r="F37" s="200" t="s">
        <v>846</v>
      </c>
      <c r="G37" s="200"/>
    </row>
    <row r="38" spans="1:10" x14ac:dyDescent="0.25">
      <c r="A38">
        <v>1</v>
      </c>
    </row>
    <row r="39" spans="1:10" x14ac:dyDescent="0.25">
      <c r="A39">
        <v>1</v>
      </c>
      <c r="B39" t="s">
        <v>847</v>
      </c>
      <c r="C39" t="s">
        <v>848</v>
      </c>
      <c r="D39" t="s">
        <v>849</v>
      </c>
      <c r="E39" t="s">
        <v>850</v>
      </c>
      <c r="F39" t="s">
        <v>851</v>
      </c>
      <c r="G39" t="s">
        <v>811</v>
      </c>
      <c r="H39" t="s">
        <v>812</v>
      </c>
      <c r="I39" t="s">
        <v>813</v>
      </c>
    </row>
    <row r="40" spans="1:10" s="166" customFormat="1" x14ac:dyDescent="0.25">
      <c r="A40" s="166">
        <v>1</v>
      </c>
      <c r="B40" s="547">
        <v>44985</v>
      </c>
      <c r="C40" s="166">
        <v>288114</v>
      </c>
      <c r="D40" s="166" t="s">
        <v>1285</v>
      </c>
      <c r="E40" s="166" t="s">
        <v>1272</v>
      </c>
      <c r="G40" s="166">
        <v>854.26</v>
      </c>
      <c r="H40" s="548"/>
      <c r="I40" s="548">
        <v>162889.76</v>
      </c>
    </row>
    <row r="41" spans="1:10" s="166" customFormat="1" x14ac:dyDescent="0.25">
      <c r="A41" s="166">
        <v>1</v>
      </c>
      <c r="B41" s="547">
        <v>44986</v>
      </c>
      <c r="C41" s="166">
        <v>289459</v>
      </c>
      <c r="D41" s="166" t="s">
        <v>1288</v>
      </c>
      <c r="E41" s="166" t="s">
        <v>1273</v>
      </c>
      <c r="G41" s="166">
        <v>33.68</v>
      </c>
      <c r="H41" s="548"/>
      <c r="I41" s="548">
        <v>162923.44</v>
      </c>
    </row>
    <row r="42" spans="1:10" s="166" customFormat="1" x14ac:dyDescent="0.25">
      <c r="A42" s="166">
        <v>1</v>
      </c>
      <c r="B42" s="547">
        <v>45016</v>
      </c>
      <c r="C42" s="166">
        <v>289433</v>
      </c>
      <c r="D42" s="166" t="s">
        <v>1289</v>
      </c>
      <c r="E42" s="166" t="s">
        <v>1273</v>
      </c>
      <c r="G42" s="166">
        <v>506.83</v>
      </c>
      <c r="H42" s="548"/>
      <c r="I42" s="548">
        <v>164665.56</v>
      </c>
    </row>
    <row r="43" spans="1:10" s="166" customFormat="1" x14ac:dyDescent="0.25">
      <c r="A43" s="166">
        <v>1</v>
      </c>
      <c r="B43" s="547">
        <v>45016</v>
      </c>
      <c r="C43" s="166">
        <v>289434</v>
      </c>
      <c r="D43" s="166" t="s">
        <v>1285</v>
      </c>
      <c r="E43" s="166" t="s">
        <v>1273</v>
      </c>
      <c r="F43" s="548"/>
      <c r="G43" s="548">
        <v>1169.1199999999999</v>
      </c>
      <c r="H43" s="548"/>
      <c r="I43" s="548">
        <v>165834.68</v>
      </c>
    </row>
    <row r="44" spans="1:10" s="139" customFormat="1" x14ac:dyDescent="0.25">
      <c r="A44" s="166">
        <v>1</v>
      </c>
      <c r="B44" s="547">
        <v>45046</v>
      </c>
      <c r="C44" s="166">
        <v>289922</v>
      </c>
      <c r="D44" s="166" t="s">
        <v>1072</v>
      </c>
      <c r="E44" s="166" t="s">
        <v>1364</v>
      </c>
      <c r="F44" s="548"/>
      <c r="G44" s="548">
        <v>1169.1199999999999</v>
      </c>
      <c r="H44" s="548"/>
      <c r="I44" s="548">
        <v>167003.79999999999</v>
      </c>
      <c r="J44" s="166"/>
    </row>
    <row r="45" spans="1:10" s="166" customFormat="1" x14ac:dyDescent="0.25">
      <c r="A45" s="166">
        <v>1</v>
      </c>
      <c r="B45" s="547">
        <v>45077</v>
      </c>
      <c r="C45" s="166">
        <v>290900</v>
      </c>
      <c r="D45" s="166" t="s">
        <v>1072</v>
      </c>
      <c r="E45" s="166" t="s">
        <v>1365</v>
      </c>
      <c r="F45" s="548"/>
      <c r="G45" s="548">
        <v>1011.6</v>
      </c>
      <c r="H45" s="548"/>
      <c r="I45" s="548">
        <v>168015.4</v>
      </c>
    </row>
    <row r="46" spans="1:10" s="166" customFormat="1" x14ac:dyDescent="0.25">
      <c r="A46" s="166">
        <v>1</v>
      </c>
      <c r="B46" s="547">
        <v>45077</v>
      </c>
      <c r="C46" s="166">
        <v>290899</v>
      </c>
      <c r="D46" s="166" t="s">
        <v>1071</v>
      </c>
      <c r="E46" s="166" t="s">
        <v>1365</v>
      </c>
      <c r="H46" s="548">
        <v>-157.52000000000001</v>
      </c>
      <c r="I46" s="548">
        <v>167857.88</v>
      </c>
    </row>
    <row r="47" spans="1:10" s="166" customFormat="1" x14ac:dyDescent="0.25">
      <c r="A47" s="166">
        <v>1</v>
      </c>
      <c r="B47" s="547">
        <v>45107</v>
      </c>
      <c r="C47" s="166">
        <v>291694</v>
      </c>
      <c r="D47" s="166" t="s">
        <v>1373</v>
      </c>
      <c r="E47" s="166" t="s">
        <v>1365</v>
      </c>
      <c r="H47" s="548">
        <v>-627.86</v>
      </c>
      <c r="I47" s="548">
        <v>167230.01999999999</v>
      </c>
    </row>
    <row r="48" spans="1:10" s="166" customFormat="1" x14ac:dyDescent="0.25">
      <c r="A48" s="166">
        <v>1</v>
      </c>
      <c r="B48" s="547">
        <v>45107</v>
      </c>
      <c r="C48" s="166">
        <v>291695</v>
      </c>
      <c r="D48" s="166" t="s">
        <v>1373</v>
      </c>
      <c r="E48" s="166" t="s">
        <v>1367</v>
      </c>
      <c r="G48" s="166">
        <v>434.24</v>
      </c>
      <c r="H48" s="548"/>
      <c r="I48" s="548">
        <v>167664.26</v>
      </c>
    </row>
    <row r="49" spans="1:10" s="166" customFormat="1" x14ac:dyDescent="0.25">
      <c r="A49" s="646">
        <v>1</v>
      </c>
      <c r="B49" s="647">
        <v>44986</v>
      </c>
      <c r="C49" s="646">
        <v>289454</v>
      </c>
      <c r="D49" s="646" t="s">
        <v>1277</v>
      </c>
      <c r="E49" s="646" t="s">
        <v>1278</v>
      </c>
      <c r="F49" s="648"/>
      <c r="G49" s="648">
        <v>9828.51</v>
      </c>
      <c r="H49" s="648"/>
      <c r="I49" s="648">
        <v>348369.56</v>
      </c>
    </row>
    <row r="50" spans="1:10" s="166" customFormat="1" x14ac:dyDescent="0.25">
      <c r="A50" s="646">
        <v>1</v>
      </c>
      <c r="B50" s="647">
        <v>44986</v>
      </c>
      <c r="C50" s="646">
        <v>289457</v>
      </c>
      <c r="D50" s="646" t="s">
        <v>1279</v>
      </c>
      <c r="E50" s="646" t="s">
        <v>1273</v>
      </c>
      <c r="F50" s="646"/>
      <c r="G50" s="648"/>
      <c r="H50" s="648">
        <v>-7002.3</v>
      </c>
      <c r="I50" s="648">
        <v>338016.92</v>
      </c>
    </row>
    <row r="51" spans="1:10" s="166" customFormat="1" x14ac:dyDescent="0.25">
      <c r="A51" s="646">
        <v>1</v>
      </c>
      <c r="B51" s="647">
        <v>44986</v>
      </c>
      <c r="C51" s="646">
        <v>289455</v>
      </c>
      <c r="D51" s="646" t="s">
        <v>1287</v>
      </c>
      <c r="E51" s="646" t="s">
        <v>903</v>
      </c>
      <c r="F51" s="648"/>
      <c r="G51" s="648">
        <v>1235.29</v>
      </c>
      <c r="H51" s="648"/>
      <c r="I51" s="648">
        <v>164158.73000000001</v>
      </c>
    </row>
    <row r="52" spans="1:10" x14ac:dyDescent="0.25">
      <c r="A52" s="646">
        <v>1</v>
      </c>
      <c r="B52" s="647">
        <v>45138</v>
      </c>
      <c r="C52" s="646">
        <v>292522</v>
      </c>
      <c r="D52" s="646" t="s">
        <v>1592</v>
      </c>
      <c r="E52" s="646" t="s">
        <v>1572</v>
      </c>
      <c r="F52" s="646"/>
      <c r="G52" s="646"/>
      <c r="H52" s="648">
        <v>-1235.29</v>
      </c>
      <c r="I52" s="648">
        <v>166428.97</v>
      </c>
    </row>
    <row r="53" spans="1:10" x14ac:dyDescent="0.25">
      <c r="A53">
        <v>1</v>
      </c>
      <c r="B53" s="190">
        <v>45138</v>
      </c>
      <c r="C53">
        <v>292523</v>
      </c>
      <c r="D53" t="s">
        <v>1593</v>
      </c>
      <c r="E53" t="s">
        <v>903</v>
      </c>
      <c r="H53">
        <v>-106.9</v>
      </c>
      <c r="I53" s="164">
        <v>166322.07</v>
      </c>
    </row>
    <row r="54" spans="1:10" x14ac:dyDescent="0.25">
      <c r="A54">
        <v>1</v>
      </c>
      <c r="B54" s="190">
        <v>45138</v>
      </c>
      <c r="C54">
        <v>292524</v>
      </c>
      <c r="D54" t="s">
        <v>1594</v>
      </c>
      <c r="E54" t="s">
        <v>1569</v>
      </c>
      <c r="H54">
        <v>-513.54</v>
      </c>
      <c r="I54" s="164">
        <v>165808.53</v>
      </c>
    </row>
    <row r="55" spans="1:10" x14ac:dyDescent="0.25">
      <c r="A55">
        <v>1</v>
      </c>
      <c r="B55" s="190">
        <v>45138</v>
      </c>
      <c r="C55">
        <v>292525</v>
      </c>
      <c r="D55" t="s">
        <v>1595</v>
      </c>
      <c r="E55" t="s">
        <v>1569</v>
      </c>
      <c r="G55">
        <v>132.76</v>
      </c>
      <c r="I55" s="164">
        <v>165941.29</v>
      </c>
    </row>
    <row r="56" spans="1:10" x14ac:dyDescent="0.25">
      <c r="A56">
        <v>1</v>
      </c>
      <c r="B56" s="190">
        <v>45169</v>
      </c>
      <c r="C56">
        <v>293071</v>
      </c>
      <c r="D56" t="s">
        <v>1596</v>
      </c>
      <c r="E56" t="s">
        <v>1569</v>
      </c>
      <c r="G56">
        <v>66.22</v>
      </c>
      <c r="I56" s="164">
        <v>166007.51</v>
      </c>
    </row>
    <row r="57" spans="1:10" x14ac:dyDescent="0.25">
      <c r="A57">
        <v>1</v>
      </c>
      <c r="B57" s="190">
        <v>45169</v>
      </c>
      <c r="C57">
        <v>293072</v>
      </c>
      <c r="D57" t="s">
        <v>1072</v>
      </c>
      <c r="E57" t="s">
        <v>1571</v>
      </c>
      <c r="G57">
        <v>198.97</v>
      </c>
      <c r="I57" s="164">
        <v>166206.48000000001</v>
      </c>
    </row>
    <row r="58" spans="1:10" x14ac:dyDescent="0.25">
      <c r="A58">
        <v>1</v>
      </c>
      <c r="B58" s="190">
        <v>45199</v>
      </c>
      <c r="C58">
        <v>294146</v>
      </c>
      <c r="D58" t="s">
        <v>1596</v>
      </c>
      <c r="E58" t="s">
        <v>1571</v>
      </c>
      <c r="G58">
        <v>182.85</v>
      </c>
      <c r="I58" s="164">
        <v>166389.32999999999</v>
      </c>
    </row>
    <row r="59" spans="1:10" x14ac:dyDescent="0.25">
      <c r="A59">
        <v>1</v>
      </c>
      <c r="B59" s="190">
        <v>45199</v>
      </c>
      <c r="C59">
        <v>294269</v>
      </c>
      <c r="D59" t="s">
        <v>1072</v>
      </c>
      <c r="E59" t="s">
        <v>1572</v>
      </c>
      <c r="G59">
        <v>381.82</v>
      </c>
      <c r="I59" s="164">
        <v>166771.15</v>
      </c>
    </row>
    <row r="61" spans="1:10" x14ac:dyDescent="0.25">
      <c r="G61" s="116">
        <f>SUBTOTAL(9,G4:H60)</f>
        <v>276760.91000000003</v>
      </c>
      <c r="I61" s="211">
        <f>G61/1000</f>
        <v>276.76091000000002</v>
      </c>
      <c r="J61" s="211">
        <f>ROUND(I61,0)</f>
        <v>277</v>
      </c>
    </row>
    <row r="62" spans="1:10" x14ac:dyDescent="0.25">
      <c r="D62" s="166" t="s">
        <v>1386</v>
      </c>
      <c r="G62" s="548">
        <f>+G4+G5+G6+G7+G8+H9+G18+G19+H20+G21+G25+G26+G27+G28+H30+G40+G43+G42+G44+G45+H46+H47+G48+G41+G22++G10+G11+H12+G32+G34+G35+H53+H54+G55+G56+G57+G58+G59</f>
        <v>171944.83</v>
      </c>
      <c r="I62" s="211">
        <f>G62/1000</f>
        <v>171.94483</v>
      </c>
      <c r="J62" s="554">
        <f>ROUND(I62,0)</f>
        <v>172</v>
      </c>
    </row>
    <row r="63" spans="1:10" x14ac:dyDescent="0.25">
      <c r="D63" s="285" t="s">
        <v>1493</v>
      </c>
      <c r="G63" s="556">
        <f>G17+G23+G24+G29+G31+G33+G49+H50</f>
        <v>104816.07999999999</v>
      </c>
      <c r="I63" s="211">
        <f>G63/1000</f>
        <v>104.81607999999999</v>
      </c>
      <c r="J63" s="557">
        <f>ROUND(I63,0)</f>
        <v>105</v>
      </c>
    </row>
    <row r="64" spans="1:10" x14ac:dyDescent="0.25">
      <c r="G64" s="116">
        <f>SUBTOTAL(9,G62:G63)</f>
        <v>276760.90999999997</v>
      </c>
    </row>
    <row r="66" spans="7:7" x14ac:dyDescent="0.25">
      <c r="G66" s="211">
        <f>G61-G64</f>
        <v>0</v>
      </c>
    </row>
  </sheetData>
  <autoFilter ref="A1:J51"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70" zoomScaleNormal="100" workbookViewId="0">
      <selection activeCell="M54" sqref="M54"/>
    </sheetView>
  </sheetViews>
  <sheetFormatPr defaultRowHeight="15" x14ac:dyDescent="0.25"/>
  <cols>
    <col min="1" max="1" width="11.42578125" customWidth="1"/>
    <col min="6" max="6" width="12.85546875" customWidth="1"/>
    <col min="8" max="8" width="11.7109375" customWidth="1"/>
  </cols>
  <sheetData>
    <row r="1" spans="1:11" x14ac:dyDescent="0.25">
      <c r="A1" t="s">
        <v>845</v>
      </c>
      <c r="B1" t="s">
        <v>548</v>
      </c>
      <c r="C1">
        <v>12181</v>
      </c>
      <c r="D1" t="s">
        <v>324</v>
      </c>
      <c r="E1" t="s">
        <v>846</v>
      </c>
      <c r="F1" s="164">
        <v>3928358.17</v>
      </c>
    </row>
    <row r="3" spans="1:11" x14ac:dyDescent="0.25">
      <c r="A3" t="s">
        <v>847</v>
      </c>
      <c r="B3" t="s">
        <v>848</v>
      </c>
      <c r="C3" t="s">
        <v>849</v>
      </c>
      <c r="D3" t="s">
        <v>850</v>
      </c>
      <c r="E3" t="s">
        <v>851</v>
      </c>
      <c r="F3" t="s">
        <v>811</v>
      </c>
      <c r="G3" t="s">
        <v>812</v>
      </c>
      <c r="H3" t="s">
        <v>813</v>
      </c>
    </row>
    <row r="4" spans="1:11" s="245" customFormat="1" x14ac:dyDescent="0.25">
      <c r="A4" s="244">
        <v>44957</v>
      </c>
      <c r="B4" s="245">
        <v>286319</v>
      </c>
      <c r="C4" s="245" t="s">
        <v>1270</v>
      </c>
      <c r="D4" s="245" t="s">
        <v>1271</v>
      </c>
      <c r="F4" s="246">
        <v>16</v>
      </c>
      <c r="H4" s="246">
        <v>3944069.86</v>
      </c>
      <c r="J4" s="245">
        <f>F4/1000</f>
        <v>1.6E-2</v>
      </c>
      <c r="K4" s="245">
        <f>ROUND(J4,0)</f>
        <v>0</v>
      </c>
    </row>
    <row r="5" spans="1:11" s="245" customFormat="1" x14ac:dyDescent="0.25">
      <c r="A5" s="244">
        <v>44985</v>
      </c>
      <c r="B5" s="245">
        <v>288115</v>
      </c>
      <c r="C5" s="245" t="s">
        <v>1270</v>
      </c>
      <c r="D5" s="245" t="s">
        <v>1272</v>
      </c>
      <c r="F5" s="246">
        <v>16</v>
      </c>
      <c r="H5" s="246">
        <v>3959781.55</v>
      </c>
      <c r="J5" s="245">
        <f>F5/1000</f>
        <v>1.6E-2</v>
      </c>
      <c r="K5" s="245">
        <f t="shared" ref="K5:K9" si="0">ROUND(J5,0)</f>
        <v>0</v>
      </c>
    </row>
    <row r="6" spans="1:11" s="245" customFormat="1" x14ac:dyDescent="0.25">
      <c r="A6" s="244">
        <v>45016</v>
      </c>
      <c r="B6" s="245">
        <v>289435</v>
      </c>
      <c r="C6" s="245" t="s">
        <v>1270</v>
      </c>
      <c r="D6" s="245" t="s">
        <v>1273</v>
      </c>
      <c r="F6" s="246">
        <v>48</v>
      </c>
      <c r="H6" s="246">
        <v>4007445.71</v>
      </c>
      <c r="J6" s="245">
        <f>F6/1000</f>
        <v>4.8000000000000001E-2</v>
      </c>
      <c r="K6" s="245">
        <f t="shared" si="0"/>
        <v>0</v>
      </c>
    </row>
    <row r="7" spans="1:11" s="253" customFormat="1" x14ac:dyDescent="0.25">
      <c r="A7" s="252">
        <v>43951</v>
      </c>
      <c r="B7" s="253">
        <v>289923</v>
      </c>
      <c r="C7" s="253" t="s">
        <v>1363</v>
      </c>
      <c r="D7" s="253" t="s">
        <v>1364</v>
      </c>
      <c r="F7" s="254">
        <v>26</v>
      </c>
      <c r="H7" s="254">
        <v>4033808.22</v>
      </c>
      <c r="J7" s="253">
        <f t="shared" ref="J7:J8" si="1">F7/1000</f>
        <v>2.5999999999999999E-2</v>
      </c>
      <c r="K7" s="253">
        <f t="shared" si="0"/>
        <v>0</v>
      </c>
    </row>
    <row r="8" spans="1:11" s="253" customFormat="1" x14ac:dyDescent="0.25">
      <c r="A8" s="252">
        <v>43982</v>
      </c>
      <c r="B8" s="253">
        <v>290901</v>
      </c>
      <c r="C8" s="253" t="s">
        <v>1059</v>
      </c>
      <c r="D8" s="253" t="s">
        <v>1365</v>
      </c>
      <c r="F8" s="254">
        <v>26</v>
      </c>
      <c r="H8" s="254">
        <v>4060170.73</v>
      </c>
      <c r="J8" s="253">
        <f t="shared" si="1"/>
        <v>2.5999999999999999E-2</v>
      </c>
      <c r="K8" s="253">
        <f t="shared" si="0"/>
        <v>0</v>
      </c>
    </row>
    <row r="9" spans="1:11" s="253" customFormat="1" x14ac:dyDescent="0.25">
      <c r="A9" s="252">
        <v>44012</v>
      </c>
      <c r="B9" s="253">
        <v>291696</v>
      </c>
      <c r="C9" s="253" t="s">
        <v>1366</v>
      </c>
      <c r="D9" s="253" t="s">
        <v>1367</v>
      </c>
      <c r="F9" s="254"/>
      <c r="G9" s="253">
        <v>-8</v>
      </c>
      <c r="H9" s="254">
        <v>4052463.02</v>
      </c>
      <c r="J9" s="253">
        <f>G9/1000</f>
        <v>-8.0000000000000002E-3</v>
      </c>
      <c r="K9" s="253">
        <f t="shared" si="0"/>
        <v>0</v>
      </c>
    </row>
    <row r="10" spans="1:11" s="253" customFormat="1" x14ac:dyDescent="0.25"/>
    <row r="11" spans="1:11" x14ac:dyDescent="0.25">
      <c r="A11" t="s">
        <v>845</v>
      </c>
      <c r="B11" t="s">
        <v>549</v>
      </c>
      <c r="C11">
        <v>12182</v>
      </c>
      <c r="D11" t="s">
        <v>325</v>
      </c>
      <c r="E11" t="s">
        <v>846</v>
      </c>
      <c r="F11" s="164">
        <v>309419.75</v>
      </c>
    </row>
    <row r="13" spans="1:11" x14ac:dyDescent="0.25">
      <c r="A13" t="s">
        <v>847</v>
      </c>
      <c r="B13" t="s">
        <v>848</v>
      </c>
      <c r="C13" t="s">
        <v>849</v>
      </c>
      <c r="D13" t="s">
        <v>850</v>
      </c>
      <c r="E13" t="s">
        <v>851</v>
      </c>
      <c r="F13" t="s">
        <v>811</v>
      </c>
      <c r="G13" t="s">
        <v>812</v>
      </c>
      <c r="H13" t="s">
        <v>813</v>
      </c>
    </row>
    <row r="14" spans="1:11" s="139" customFormat="1" x14ac:dyDescent="0.25">
      <c r="A14" s="247">
        <v>44956</v>
      </c>
      <c r="B14" s="139">
        <v>286201</v>
      </c>
      <c r="C14" s="139" t="s">
        <v>1274</v>
      </c>
      <c r="D14" s="139" t="s">
        <v>1275</v>
      </c>
      <c r="F14" s="248">
        <v>25</v>
      </c>
      <c r="H14" s="248">
        <v>334012.51</v>
      </c>
      <c r="J14" s="248">
        <f>F14/1000</f>
        <v>2.5000000000000001E-2</v>
      </c>
      <c r="K14" s="248">
        <f>ROUND(J14,0)</f>
        <v>0</v>
      </c>
    </row>
    <row r="15" spans="1:11" s="245" customFormat="1" x14ac:dyDescent="0.25">
      <c r="A15" s="244">
        <v>44957</v>
      </c>
      <c r="B15" s="245">
        <v>286317</v>
      </c>
      <c r="C15" s="245" t="s">
        <v>1276</v>
      </c>
      <c r="D15" s="245" t="s">
        <v>1271</v>
      </c>
      <c r="F15" s="246">
        <v>2</v>
      </c>
      <c r="H15" s="246">
        <v>336240.93</v>
      </c>
      <c r="J15" s="246">
        <f t="shared" ref="J15:J28" si="2">F15/1000</f>
        <v>2E-3</v>
      </c>
      <c r="K15" s="246">
        <f t="shared" ref="K15:K28" si="3">ROUND(J15,0)</f>
        <v>0</v>
      </c>
    </row>
    <row r="16" spans="1:11" s="245" customFormat="1" x14ac:dyDescent="0.25">
      <c r="A16" s="244">
        <v>44985</v>
      </c>
      <c r="B16" s="245">
        <v>288112</v>
      </c>
      <c r="C16" s="245" t="s">
        <v>1276</v>
      </c>
      <c r="D16" s="245" t="s">
        <v>1272</v>
      </c>
      <c r="F16" s="246">
        <v>2</v>
      </c>
      <c r="H16" s="246">
        <v>338541.05</v>
      </c>
      <c r="J16" s="246">
        <f t="shared" si="2"/>
        <v>2E-3</v>
      </c>
      <c r="K16" s="246">
        <f t="shared" si="3"/>
        <v>0</v>
      </c>
    </row>
    <row r="17" spans="1:11" s="139" customFormat="1" x14ac:dyDescent="0.25">
      <c r="A17" s="247">
        <v>44986</v>
      </c>
      <c r="B17" s="139">
        <v>289454</v>
      </c>
      <c r="C17" s="139" t="s">
        <v>1277</v>
      </c>
      <c r="D17" s="139" t="s">
        <v>1278</v>
      </c>
      <c r="F17" s="248">
        <v>10</v>
      </c>
      <c r="H17" s="248">
        <v>348369.56</v>
      </c>
      <c r="J17" s="248">
        <f t="shared" si="2"/>
        <v>0.01</v>
      </c>
      <c r="K17" s="248">
        <f t="shared" si="3"/>
        <v>0</v>
      </c>
    </row>
    <row r="18" spans="1:11" s="139" customFormat="1" x14ac:dyDescent="0.25">
      <c r="A18" s="247">
        <v>44986</v>
      </c>
      <c r="B18" s="139">
        <v>289457</v>
      </c>
      <c r="C18" s="139" t="s">
        <v>1279</v>
      </c>
      <c r="D18" s="139" t="s">
        <v>1273</v>
      </c>
      <c r="G18" s="248">
        <v>-7</v>
      </c>
      <c r="H18" s="248">
        <v>341367.26</v>
      </c>
      <c r="J18" s="248">
        <f>G18/1000</f>
        <v>-7.0000000000000001E-3</v>
      </c>
      <c r="K18" s="248">
        <f t="shared" si="3"/>
        <v>0</v>
      </c>
    </row>
    <row r="19" spans="1:11" s="245" customFormat="1" x14ac:dyDescent="0.25">
      <c r="A19" s="244">
        <v>44986</v>
      </c>
      <c r="B19" s="245">
        <v>289458</v>
      </c>
      <c r="C19" s="245" t="s">
        <v>1280</v>
      </c>
      <c r="D19" s="245" t="s">
        <v>1273</v>
      </c>
      <c r="G19" s="246">
        <v>-3</v>
      </c>
      <c r="H19" s="246">
        <v>338016.92</v>
      </c>
      <c r="J19" s="246">
        <f>G19/1000</f>
        <v>-3.0000000000000001E-3</v>
      </c>
      <c r="K19" s="246">
        <f t="shared" si="3"/>
        <v>0</v>
      </c>
    </row>
    <row r="20" spans="1:11" s="139" customFormat="1" x14ac:dyDescent="0.25">
      <c r="A20" s="247">
        <v>45015</v>
      </c>
      <c r="B20" s="139">
        <v>288814</v>
      </c>
      <c r="C20" s="139" t="s">
        <v>1281</v>
      </c>
      <c r="D20" s="139" t="s">
        <v>1282</v>
      </c>
      <c r="F20" s="248">
        <v>12</v>
      </c>
      <c r="H20" s="248">
        <v>350287.92</v>
      </c>
      <c r="J20" s="248">
        <f t="shared" si="2"/>
        <v>1.2E-2</v>
      </c>
      <c r="K20" s="248">
        <f t="shared" si="3"/>
        <v>0</v>
      </c>
    </row>
    <row r="21" spans="1:11" s="139" customFormat="1" x14ac:dyDescent="0.25">
      <c r="A21" s="247">
        <v>45015</v>
      </c>
      <c r="B21" s="139">
        <v>288874</v>
      </c>
      <c r="C21" s="139" t="s">
        <v>1274</v>
      </c>
      <c r="D21" s="139" t="s">
        <v>1283</v>
      </c>
      <c r="F21" s="248">
        <v>12</v>
      </c>
      <c r="H21" s="248">
        <v>362584.3</v>
      </c>
      <c r="J21" s="248">
        <f t="shared" si="2"/>
        <v>1.2E-2</v>
      </c>
      <c r="K21" s="248">
        <f t="shared" si="3"/>
        <v>0</v>
      </c>
    </row>
    <row r="22" spans="1:11" s="245" customFormat="1" x14ac:dyDescent="0.25">
      <c r="A22" s="244">
        <v>45016</v>
      </c>
      <c r="B22" s="245">
        <v>289432</v>
      </c>
      <c r="C22" s="245" t="s">
        <v>1276</v>
      </c>
      <c r="D22" s="245" t="s">
        <v>1273</v>
      </c>
      <c r="F22" s="246">
        <v>1</v>
      </c>
      <c r="H22" s="246">
        <v>363663.65</v>
      </c>
      <c r="J22" s="246">
        <f t="shared" si="2"/>
        <v>1E-3</v>
      </c>
      <c r="K22" s="246">
        <f t="shared" si="3"/>
        <v>0</v>
      </c>
    </row>
    <row r="23" spans="1:11" s="245" customFormat="1" x14ac:dyDescent="0.25">
      <c r="A23" s="244">
        <v>45016</v>
      </c>
      <c r="B23" s="245">
        <v>289456</v>
      </c>
      <c r="C23" s="245" t="s">
        <v>1284</v>
      </c>
      <c r="D23" s="245" t="s">
        <v>1273</v>
      </c>
      <c r="F23" s="246">
        <v>3</v>
      </c>
      <c r="H23" s="246">
        <v>366299.25</v>
      </c>
      <c r="J23" s="246">
        <f t="shared" si="2"/>
        <v>3.0000000000000001E-3</v>
      </c>
      <c r="K23" s="246">
        <f t="shared" si="3"/>
        <v>0</v>
      </c>
    </row>
    <row r="24" spans="1:11" s="253" customFormat="1" x14ac:dyDescent="0.25">
      <c r="A24" s="252">
        <v>43951</v>
      </c>
      <c r="B24" s="253">
        <v>289921</v>
      </c>
      <c r="C24" s="253" t="s">
        <v>1050</v>
      </c>
      <c r="D24" s="253" t="s">
        <v>1364</v>
      </c>
      <c r="F24" s="254">
        <v>1</v>
      </c>
      <c r="H24" s="254">
        <v>367473.89</v>
      </c>
      <c r="J24" s="254">
        <f t="shared" si="2"/>
        <v>1E-3</v>
      </c>
      <c r="K24" s="254">
        <f t="shared" si="3"/>
        <v>0</v>
      </c>
    </row>
    <row r="25" spans="1:11" s="253" customFormat="1" x14ac:dyDescent="0.25">
      <c r="A25" s="252">
        <v>43982</v>
      </c>
      <c r="B25" s="253">
        <v>290511</v>
      </c>
      <c r="C25" s="253" t="s">
        <v>1368</v>
      </c>
      <c r="D25" s="253" t="s">
        <v>1369</v>
      </c>
      <c r="F25" s="254">
        <v>25</v>
      </c>
      <c r="H25" s="254">
        <v>392066.65</v>
      </c>
      <c r="J25" s="254">
        <f>F25/1000</f>
        <v>2.5000000000000001E-2</v>
      </c>
      <c r="K25" s="254">
        <f t="shared" si="3"/>
        <v>0</v>
      </c>
    </row>
    <row r="26" spans="1:11" s="253" customFormat="1" x14ac:dyDescent="0.25">
      <c r="A26" s="252">
        <v>43982</v>
      </c>
      <c r="B26" s="253">
        <v>290898</v>
      </c>
      <c r="C26" s="253" t="s">
        <v>1050</v>
      </c>
      <c r="D26" s="253" t="s">
        <v>1365</v>
      </c>
      <c r="F26" s="254">
        <v>2</v>
      </c>
      <c r="H26" s="254">
        <v>394457.97</v>
      </c>
      <c r="J26" s="254">
        <f t="shared" si="2"/>
        <v>2E-3</v>
      </c>
      <c r="K26" s="254">
        <f t="shared" si="3"/>
        <v>0</v>
      </c>
    </row>
    <row r="27" spans="1:11" s="253" customFormat="1" x14ac:dyDescent="0.25">
      <c r="A27" s="252">
        <v>44012</v>
      </c>
      <c r="B27" s="253">
        <v>291323</v>
      </c>
      <c r="C27" s="253" t="s">
        <v>1370</v>
      </c>
      <c r="D27" s="253" t="s">
        <v>1371</v>
      </c>
      <c r="F27" s="254">
        <v>12</v>
      </c>
      <c r="H27" s="254">
        <v>406754.35</v>
      </c>
      <c r="J27" s="254">
        <f>F27/1000</f>
        <v>1.2E-2</v>
      </c>
      <c r="K27" s="254">
        <f t="shared" si="3"/>
        <v>0</v>
      </c>
    </row>
    <row r="28" spans="1:11" s="253" customFormat="1" x14ac:dyDescent="0.25">
      <c r="A28" s="252">
        <v>44012</v>
      </c>
      <c r="B28" s="253">
        <v>291693</v>
      </c>
      <c r="C28" s="253" t="s">
        <v>1372</v>
      </c>
      <c r="D28" s="253" t="s">
        <v>1367</v>
      </c>
      <c r="F28" s="254">
        <v>3</v>
      </c>
      <c r="H28" s="254">
        <v>409449.02</v>
      </c>
      <c r="J28" s="254">
        <f t="shared" si="2"/>
        <v>3.0000000000000001E-3</v>
      </c>
      <c r="K28" s="254">
        <f t="shared" si="3"/>
        <v>0</v>
      </c>
    </row>
    <row r="30" spans="1:11" x14ac:dyDescent="0.25">
      <c r="A30" t="s">
        <v>845</v>
      </c>
      <c r="B30" t="s">
        <v>550</v>
      </c>
      <c r="C30">
        <v>12183</v>
      </c>
      <c r="D30" t="s">
        <v>119</v>
      </c>
      <c r="E30" t="s">
        <v>846</v>
      </c>
      <c r="F30" s="164">
        <v>161181.23000000001</v>
      </c>
    </row>
    <row r="32" spans="1:11" x14ac:dyDescent="0.25">
      <c r="A32" t="s">
        <v>847</v>
      </c>
      <c r="B32" t="s">
        <v>848</v>
      </c>
      <c r="C32" t="s">
        <v>849</v>
      </c>
      <c r="D32" t="s">
        <v>850</v>
      </c>
      <c r="E32" t="s">
        <v>851</v>
      </c>
      <c r="F32" t="s">
        <v>811</v>
      </c>
      <c r="G32" t="s">
        <v>812</v>
      </c>
      <c r="H32" t="s">
        <v>813</v>
      </c>
    </row>
    <row r="33" spans="1:11" s="245" customFormat="1" x14ac:dyDescent="0.25">
      <c r="A33" s="244">
        <v>44957</v>
      </c>
      <c r="B33" s="245">
        <v>286318</v>
      </c>
      <c r="C33" s="245" t="s">
        <v>1285</v>
      </c>
      <c r="D33" s="245" t="s">
        <v>1271</v>
      </c>
      <c r="F33" s="245">
        <v>1</v>
      </c>
      <c r="H33" s="246">
        <v>162174.39000000001</v>
      </c>
      <c r="J33" s="245">
        <f>F33/1000</f>
        <v>1E-3</v>
      </c>
      <c r="K33" s="245">
        <f>ROUND(J33,0)</f>
        <v>0</v>
      </c>
    </row>
    <row r="34" spans="1:11" s="245" customFormat="1" x14ac:dyDescent="0.25">
      <c r="A34" s="244">
        <v>44985</v>
      </c>
      <c r="B34" s="245">
        <v>288113</v>
      </c>
      <c r="C34" s="245" t="s">
        <v>1286</v>
      </c>
      <c r="D34" s="245" t="s">
        <v>1271</v>
      </c>
      <c r="G34" s="245">
        <v>138.88999999999999</v>
      </c>
      <c r="H34" s="246">
        <v>162035.5</v>
      </c>
      <c r="J34" s="245">
        <f>G34/1000</f>
        <v>0.13888999999999999</v>
      </c>
      <c r="K34" s="245">
        <f>ROUND(J34,0)</f>
        <v>0</v>
      </c>
    </row>
    <row r="35" spans="1:11" s="245" customFormat="1" x14ac:dyDescent="0.25">
      <c r="A35" s="244">
        <v>44985</v>
      </c>
      <c r="B35" s="245">
        <v>288114</v>
      </c>
      <c r="C35" s="245" t="s">
        <v>1285</v>
      </c>
      <c r="D35" s="245" t="s">
        <v>1272</v>
      </c>
      <c r="F35" s="245">
        <v>1</v>
      </c>
      <c r="H35" s="246">
        <v>162889.76</v>
      </c>
      <c r="J35" s="245">
        <f t="shared" ref="J35:J39" si="4">F35/1000</f>
        <v>1E-3</v>
      </c>
      <c r="K35" s="245">
        <f t="shared" ref="K35:K39" si="5">ROUND(J35,0)</f>
        <v>0</v>
      </c>
    </row>
    <row r="36" spans="1:11" s="139" customFormat="1" x14ac:dyDescent="0.25">
      <c r="A36" s="247">
        <v>44986</v>
      </c>
      <c r="B36" s="139">
        <v>289455</v>
      </c>
      <c r="C36" s="139" t="s">
        <v>1287</v>
      </c>
      <c r="D36" s="139" t="s">
        <v>903</v>
      </c>
      <c r="F36" s="248">
        <v>1</v>
      </c>
      <c r="H36" s="248">
        <v>164125.04999999999</v>
      </c>
      <c r="J36" s="139">
        <f t="shared" si="4"/>
        <v>1E-3</v>
      </c>
      <c r="K36" s="139">
        <f t="shared" si="5"/>
        <v>0</v>
      </c>
    </row>
    <row r="37" spans="1:11" s="245" customFormat="1" x14ac:dyDescent="0.25">
      <c r="A37" s="244">
        <v>44986</v>
      </c>
      <c r="B37" s="245">
        <v>289459</v>
      </c>
      <c r="C37" s="245" t="s">
        <v>1288</v>
      </c>
      <c r="D37" s="245" t="s">
        <v>1273</v>
      </c>
      <c r="F37" s="245">
        <v>0</v>
      </c>
      <c r="H37" s="246">
        <v>164158.73000000001</v>
      </c>
      <c r="J37" s="245">
        <f>F37/1000</f>
        <v>0</v>
      </c>
      <c r="K37" s="245">
        <f t="shared" si="5"/>
        <v>0</v>
      </c>
    </row>
    <row r="38" spans="1:11" s="245" customFormat="1" x14ac:dyDescent="0.25">
      <c r="A38" s="244">
        <v>45016</v>
      </c>
      <c r="B38" s="245">
        <v>289433</v>
      </c>
      <c r="C38" s="245" t="s">
        <v>1289</v>
      </c>
      <c r="D38" s="245" t="s">
        <v>1273</v>
      </c>
      <c r="F38" s="245">
        <v>1</v>
      </c>
      <c r="H38" s="246">
        <v>164665.56</v>
      </c>
      <c r="J38" s="245">
        <f t="shared" si="4"/>
        <v>1E-3</v>
      </c>
      <c r="K38" s="245">
        <f t="shared" si="5"/>
        <v>0</v>
      </c>
    </row>
    <row r="39" spans="1:11" s="245" customFormat="1" x14ac:dyDescent="0.25">
      <c r="A39" s="244">
        <v>45016</v>
      </c>
      <c r="B39" s="245">
        <v>289434</v>
      </c>
      <c r="C39" s="245" t="s">
        <v>1285</v>
      </c>
      <c r="D39" s="245" t="s">
        <v>1273</v>
      </c>
      <c r="F39" s="246">
        <v>1</v>
      </c>
      <c r="H39" s="246">
        <v>165834.68</v>
      </c>
      <c r="J39" s="245">
        <f t="shared" si="4"/>
        <v>1E-3</v>
      </c>
      <c r="K39" s="245">
        <f t="shared" si="5"/>
        <v>0</v>
      </c>
    </row>
    <row r="40" spans="1:11" x14ac:dyDescent="0.25">
      <c r="A40" s="190">
        <v>43951</v>
      </c>
      <c r="B40">
        <v>289922</v>
      </c>
      <c r="C40" t="s">
        <v>1072</v>
      </c>
      <c r="D40" t="s">
        <v>1364</v>
      </c>
      <c r="F40" s="164">
        <v>1</v>
      </c>
      <c r="J40" s="253">
        <f t="shared" ref="J40:J45" si="6">F40/1000</f>
        <v>1E-3</v>
      </c>
      <c r="K40" s="253">
        <f t="shared" ref="K40:K45" si="7">ROUND(J40,0)</f>
        <v>0</v>
      </c>
    </row>
    <row r="41" spans="1:11" x14ac:dyDescent="0.25">
      <c r="A41" s="190">
        <v>43982</v>
      </c>
      <c r="B41">
        <v>290899</v>
      </c>
      <c r="C41" t="s">
        <v>1071</v>
      </c>
      <c r="D41" t="s">
        <v>1365</v>
      </c>
      <c r="G41">
        <v>0.15751999999999999</v>
      </c>
      <c r="J41" s="253">
        <f>G41/1000</f>
        <v>1.5752E-4</v>
      </c>
      <c r="K41" s="253">
        <f t="shared" si="7"/>
        <v>0</v>
      </c>
    </row>
    <row r="42" spans="1:11" x14ac:dyDescent="0.25">
      <c r="A42" s="190">
        <v>43982</v>
      </c>
      <c r="B42">
        <v>290900</v>
      </c>
      <c r="C42" t="s">
        <v>1072</v>
      </c>
      <c r="D42" t="s">
        <v>1365</v>
      </c>
      <c r="F42" s="164">
        <v>1</v>
      </c>
      <c r="J42" s="253">
        <f t="shared" si="6"/>
        <v>1E-3</v>
      </c>
      <c r="K42" s="253">
        <f t="shared" si="7"/>
        <v>0</v>
      </c>
    </row>
    <row r="43" spans="1:11" x14ac:dyDescent="0.25">
      <c r="A43" s="190">
        <v>44012</v>
      </c>
      <c r="B43">
        <v>291694</v>
      </c>
      <c r="C43" t="s">
        <v>1373</v>
      </c>
      <c r="D43" t="s">
        <v>1365</v>
      </c>
      <c r="G43">
        <v>0.62785999999999997</v>
      </c>
      <c r="J43" s="253">
        <f>G43/1000</f>
        <v>6.2785999999999994E-4</v>
      </c>
      <c r="K43" s="253">
        <f t="shared" si="7"/>
        <v>0</v>
      </c>
    </row>
    <row r="44" spans="1:11" x14ac:dyDescent="0.25">
      <c r="A44" s="190">
        <v>44012</v>
      </c>
      <c r="B44">
        <v>291695</v>
      </c>
      <c r="C44" t="s">
        <v>1373</v>
      </c>
      <c r="D44" t="s">
        <v>1367</v>
      </c>
      <c r="F44">
        <v>0.43424000000000001</v>
      </c>
      <c r="J44" s="253">
        <f t="shared" si="6"/>
        <v>4.3424000000000002E-4</v>
      </c>
      <c r="K44" s="253">
        <f t="shared" si="7"/>
        <v>0</v>
      </c>
    </row>
    <row r="45" spans="1:11" x14ac:dyDescent="0.25">
      <c r="J45" s="253">
        <f t="shared" si="6"/>
        <v>0</v>
      </c>
      <c r="K45" s="253">
        <f t="shared" si="7"/>
        <v>0</v>
      </c>
    </row>
    <row r="46" spans="1:11" x14ac:dyDescent="0.25">
      <c r="J46" s="253"/>
      <c r="K46" s="25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E43" workbookViewId="0">
      <selection activeCell="K63" sqref="K63"/>
    </sheetView>
  </sheetViews>
  <sheetFormatPr defaultRowHeight="15" x14ac:dyDescent="0.25"/>
  <cols>
    <col min="2" max="2" width="10.7109375" bestFit="1" customWidth="1"/>
    <col min="3" max="3" width="17.42578125" customWidth="1"/>
    <col min="4" max="4" width="76.28515625" customWidth="1"/>
    <col min="5" max="5" width="38.140625" customWidth="1"/>
    <col min="7" max="7" width="12.42578125" bestFit="1" customWidth="1"/>
    <col min="8" max="8" width="13.85546875" customWidth="1"/>
    <col min="9" max="9" width="12.42578125" bestFit="1" customWidth="1"/>
    <col min="10" max="10" width="9.5703125" bestFit="1" customWidth="1"/>
  </cols>
  <sheetData>
    <row r="1" spans="1:9" x14ac:dyDescent="0.25">
      <c r="A1">
        <v>1</v>
      </c>
      <c r="B1" t="s">
        <v>845</v>
      </c>
      <c r="C1" t="s">
        <v>608</v>
      </c>
      <c r="D1">
        <v>211111</v>
      </c>
      <c r="E1" t="s">
        <v>458</v>
      </c>
      <c r="F1" s="164" t="s">
        <v>846</v>
      </c>
      <c r="G1" s="164">
        <v>-2825115.32</v>
      </c>
    </row>
    <row r="2" spans="1:9" x14ac:dyDescent="0.25">
      <c r="A2">
        <v>1</v>
      </c>
    </row>
    <row r="3" spans="1:9" x14ac:dyDescent="0.25">
      <c r="A3">
        <v>1</v>
      </c>
      <c r="B3" t="s">
        <v>847</v>
      </c>
      <c r="C3" t="s">
        <v>848</v>
      </c>
      <c r="D3" t="s">
        <v>849</v>
      </c>
      <c r="E3" t="s">
        <v>850</v>
      </c>
      <c r="F3" t="s">
        <v>851</v>
      </c>
      <c r="G3" t="s">
        <v>811</v>
      </c>
      <c r="H3" t="s">
        <v>812</v>
      </c>
      <c r="I3" t="s">
        <v>813</v>
      </c>
    </row>
    <row r="4" spans="1:9" s="166" customFormat="1" x14ac:dyDescent="0.25">
      <c r="A4" s="166">
        <v>1</v>
      </c>
      <c r="B4" s="547">
        <v>44957</v>
      </c>
      <c r="C4" s="166">
        <v>286710</v>
      </c>
      <c r="D4" s="166" t="s">
        <v>1494</v>
      </c>
      <c r="E4" s="166" t="s">
        <v>1271</v>
      </c>
      <c r="G4" s="548"/>
      <c r="H4" s="548">
        <v>-3516.61</v>
      </c>
      <c r="I4" s="548">
        <v>-2828631.93</v>
      </c>
    </row>
    <row r="5" spans="1:9" s="166" customFormat="1" x14ac:dyDescent="0.25">
      <c r="A5" s="166">
        <v>1</v>
      </c>
      <c r="B5" s="547">
        <v>44985</v>
      </c>
      <c r="C5" s="166">
        <v>288116</v>
      </c>
      <c r="D5" s="166" t="s">
        <v>1494</v>
      </c>
      <c r="E5" s="166" t="s">
        <v>1272</v>
      </c>
      <c r="G5" s="548"/>
      <c r="H5" s="548">
        <v>-3516.61</v>
      </c>
      <c r="I5" s="548">
        <v>-2832148.54</v>
      </c>
    </row>
    <row r="6" spans="1:9" s="166" customFormat="1" x14ac:dyDescent="0.25">
      <c r="A6" s="166">
        <v>1</v>
      </c>
      <c r="B6" s="547">
        <v>44986</v>
      </c>
      <c r="C6" s="166">
        <v>289453</v>
      </c>
      <c r="D6" s="166" t="s">
        <v>1495</v>
      </c>
      <c r="E6" s="166" t="s">
        <v>1273</v>
      </c>
      <c r="F6" s="548"/>
      <c r="G6" s="548">
        <v>2832148.54</v>
      </c>
      <c r="I6" s="166">
        <v>0</v>
      </c>
    </row>
    <row r="7" spans="1:9" x14ac:dyDescent="0.25">
      <c r="A7">
        <v>1</v>
      </c>
    </row>
    <row r="8" spans="1:9" s="144" customFormat="1" x14ac:dyDescent="0.25">
      <c r="A8" s="144">
        <v>1</v>
      </c>
      <c r="B8" s="144" t="s">
        <v>845</v>
      </c>
      <c r="C8" s="144" t="s">
        <v>617</v>
      </c>
      <c r="D8" s="144">
        <v>22151</v>
      </c>
      <c r="E8" s="144" t="s">
        <v>458</v>
      </c>
      <c r="F8" s="200" t="s">
        <v>846</v>
      </c>
      <c r="G8" s="200"/>
    </row>
    <row r="9" spans="1:9" x14ac:dyDescent="0.25">
      <c r="A9">
        <v>1</v>
      </c>
    </row>
    <row r="10" spans="1:9" x14ac:dyDescent="0.25">
      <c r="A10">
        <v>1</v>
      </c>
      <c r="B10" t="s">
        <v>847</v>
      </c>
      <c r="C10" t="s">
        <v>848</v>
      </c>
      <c r="D10" t="s">
        <v>849</v>
      </c>
      <c r="E10" t="s">
        <v>850</v>
      </c>
      <c r="F10" t="s">
        <v>851</v>
      </c>
      <c r="G10" t="s">
        <v>811</v>
      </c>
      <c r="H10" t="s">
        <v>812</v>
      </c>
      <c r="I10" t="s">
        <v>813</v>
      </c>
    </row>
    <row r="11" spans="1:9" s="166" customFormat="1" x14ac:dyDescent="0.25">
      <c r="A11" s="166">
        <v>1</v>
      </c>
      <c r="B11" s="547">
        <v>44957</v>
      </c>
      <c r="C11" s="166">
        <v>286711</v>
      </c>
      <c r="D11" s="166" t="s">
        <v>1496</v>
      </c>
      <c r="E11" s="166" t="s">
        <v>1271</v>
      </c>
      <c r="H11" s="548">
        <v>-658.63</v>
      </c>
      <c r="I11" s="548">
        <v>-404661.36</v>
      </c>
    </row>
    <row r="12" spans="1:9" s="166" customFormat="1" x14ac:dyDescent="0.25">
      <c r="A12" s="166">
        <v>1</v>
      </c>
      <c r="B12" s="547">
        <v>44985</v>
      </c>
      <c r="C12" s="166">
        <v>288117</v>
      </c>
      <c r="D12" s="166" t="s">
        <v>1497</v>
      </c>
      <c r="E12" s="166" t="s">
        <v>1272</v>
      </c>
      <c r="H12" s="548">
        <v>-658.63</v>
      </c>
      <c r="I12" s="548">
        <v>-405319.99</v>
      </c>
    </row>
    <row r="13" spans="1:9" s="166" customFormat="1" x14ac:dyDescent="0.25">
      <c r="A13" s="166">
        <v>1</v>
      </c>
      <c r="B13" s="547">
        <v>44986</v>
      </c>
      <c r="C13" s="166">
        <v>289453</v>
      </c>
      <c r="D13" s="166" t="s">
        <v>1495</v>
      </c>
      <c r="E13" s="166" t="s">
        <v>1273</v>
      </c>
      <c r="G13" s="548"/>
      <c r="H13" s="548">
        <v>-2832148.54</v>
      </c>
      <c r="I13" s="548">
        <v>-3237468.53</v>
      </c>
    </row>
    <row r="14" spans="1:9" s="166" customFormat="1" x14ac:dyDescent="0.25">
      <c r="A14" s="166">
        <v>1</v>
      </c>
      <c r="B14" s="547">
        <v>45016</v>
      </c>
      <c r="C14" s="166">
        <v>289446</v>
      </c>
      <c r="D14" s="166" t="s">
        <v>1498</v>
      </c>
      <c r="E14" s="166" t="s">
        <v>1273</v>
      </c>
      <c r="G14" s="548"/>
      <c r="H14" s="548">
        <v>-17065.13</v>
      </c>
      <c r="I14" s="548">
        <v>-3254533.66</v>
      </c>
    </row>
    <row r="15" spans="1:9" s="166" customFormat="1" x14ac:dyDescent="0.25">
      <c r="A15" s="166">
        <v>1</v>
      </c>
      <c r="B15" s="547">
        <v>45016</v>
      </c>
      <c r="C15" s="166">
        <v>289447</v>
      </c>
      <c r="D15" s="166" t="s">
        <v>1499</v>
      </c>
      <c r="E15" s="166" t="s">
        <v>1273</v>
      </c>
      <c r="G15" s="548"/>
      <c r="H15" s="548">
        <v>-1047749.54</v>
      </c>
      <c r="I15" s="548">
        <v>-4302283.2</v>
      </c>
    </row>
    <row r="16" spans="1:9" s="166" customFormat="1" x14ac:dyDescent="0.25">
      <c r="A16" s="166">
        <v>1</v>
      </c>
      <c r="B16" s="547">
        <v>45046</v>
      </c>
      <c r="C16" s="166">
        <v>289939</v>
      </c>
      <c r="D16" s="166" t="s">
        <v>1500</v>
      </c>
      <c r="E16" s="166" t="s">
        <v>1364</v>
      </c>
      <c r="G16" s="548"/>
      <c r="H16" s="548">
        <v>-21296.29</v>
      </c>
      <c r="I16" s="548">
        <v>-4323579.49</v>
      </c>
    </row>
    <row r="17" spans="1:9" s="166" customFormat="1" x14ac:dyDescent="0.25">
      <c r="A17" s="166">
        <v>1</v>
      </c>
      <c r="B17" s="547">
        <v>45077</v>
      </c>
      <c r="C17" s="166">
        <v>290903</v>
      </c>
      <c r="D17" s="166" t="s">
        <v>1501</v>
      </c>
      <c r="E17" s="166" t="s">
        <v>1365</v>
      </c>
      <c r="G17" s="548"/>
      <c r="H17" s="548">
        <v>-21296.29</v>
      </c>
      <c r="I17" s="548">
        <v>-4344875.78</v>
      </c>
    </row>
    <row r="18" spans="1:9" x14ac:dyDescent="0.25">
      <c r="A18" s="285">
        <v>1</v>
      </c>
      <c r="B18" s="555">
        <v>45107</v>
      </c>
      <c r="C18" s="285">
        <v>291868</v>
      </c>
      <c r="D18" s="285" t="s">
        <v>1502</v>
      </c>
      <c r="E18" s="285" t="s">
        <v>1367</v>
      </c>
      <c r="F18" s="285"/>
      <c r="G18" s="556"/>
      <c r="H18" s="556">
        <v>-3950.89</v>
      </c>
      <c r="I18" s="164">
        <v>-4348826.67</v>
      </c>
    </row>
    <row r="19" spans="1:9" x14ac:dyDescent="0.25">
      <c r="A19" s="285">
        <v>1</v>
      </c>
      <c r="B19" s="555">
        <v>45107</v>
      </c>
      <c r="C19" s="285">
        <v>291867</v>
      </c>
      <c r="D19" s="285" t="s">
        <v>1503</v>
      </c>
      <c r="E19" s="285" t="s">
        <v>1367</v>
      </c>
      <c r="F19" s="285"/>
      <c r="G19" s="285"/>
      <c r="H19" s="556">
        <v>-12400</v>
      </c>
      <c r="I19" s="164">
        <v>-4361226.67</v>
      </c>
    </row>
    <row r="20" spans="1:9" s="166" customFormat="1" x14ac:dyDescent="0.25">
      <c r="A20" s="166">
        <v>1</v>
      </c>
      <c r="B20" s="547">
        <v>45107</v>
      </c>
      <c r="C20" s="166">
        <v>291855</v>
      </c>
      <c r="D20" s="166" t="s">
        <v>1504</v>
      </c>
      <c r="E20" s="166" t="s">
        <v>1367</v>
      </c>
      <c r="H20" s="548">
        <v>-21361.26</v>
      </c>
      <c r="I20" s="548">
        <v>-4382587.93</v>
      </c>
    </row>
    <row r="21" spans="1:9" x14ac:dyDescent="0.25">
      <c r="A21">
        <v>1</v>
      </c>
      <c r="B21" s="190">
        <v>45138</v>
      </c>
      <c r="C21">
        <v>292518</v>
      </c>
      <c r="D21" t="s">
        <v>1504</v>
      </c>
      <c r="E21" t="s">
        <v>1569</v>
      </c>
      <c r="H21" s="248">
        <v>-43825.88</v>
      </c>
      <c r="I21" s="164">
        <v>-4426413.8099999996</v>
      </c>
    </row>
    <row r="22" spans="1:9" x14ac:dyDescent="0.25">
      <c r="A22">
        <v>1</v>
      </c>
      <c r="B22" s="190">
        <v>45169</v>
      </c>
      <c r="C22">
        <v>293074</v>
      </c>
      <c r="D22" t="s">
        <v>1570</v>
      </c>
      <c r="E22" t="s">
        <v>1571</v>
      </c>
      <c r="H22" s="248">
        <v>-43825.88</v>
      </c>
      <c r="I22" s="164">
        <v>-4470239.6900000004</v>
      </c>
    </row>
    <row r="23" spans="1:9" x14ac:dyDescent="0.25">
      <c r="A23" s="626">
        <v>1</v>
      </c>
      <c r="B23" s="627">
        <v>45199</v>
      </c>
      <c r="C23" s="626">
        <v>294273</v>
      </c>
      <c r="D23" s="626" t="s">
        <v>1503</v>
      </c>
      <c r="E23" s="626" t="s">
        <v>1572</v>
      </c>
      <c r="F23" s="626"/>
      <c r="G23" s="625">
        <v>12400</v>
      </c>
      <c r="H23" s="626"/>
      <c r="I23" s="164">
        <v>-4457839.6900000004</v>
      </c>
    </row>
    <row r="24" spans="1:9" x14ac:dyDescent="0.25">
      <c r="A24">
        <v>1</v>
      </c>
      <c r="B24" s="190">
        <v>45199</v>
      </c>
      <c r="C24">
        <v>294274</v>
      </c>
      <c r="D24" t="s">
        <v>1610</v>
      </c>
      <c r="E24" t="s">
        <v>1572</v>
      </c>
      <c r="G24" s="649"/>
      <c r="H24" s="248">
        <v>-160792.76999999999</v>
      </c>
      <c r="I24" s="164">
        <f>I23+H24</f>
        <v>-4618632.46</v>
      </c>
    </row>
    <row r="25" spans="1:9" x14ac:dyDescent="0.25">
      <c r="A25">
        <v>1</v>
      </c>
    </row>
    <row r="26" spans="1:9" s="144" customFormat="1" x14ac:dyDescent="0.25">
      <c r="A26" s="144">
        <v>1</v>
      </c>
      <c r="B26" s="144" t="s">
        <v>845</v>
      </c>
      <c r="C26" s="144" t="s">
        <v>618</v>
      </c>
      <c r="D26" s="144">
        <v>22152</v>
      </c>
      <c r="E26" s="144" t="s">
        <v>181</v>
      </c>
      <c r="F26" s="144" t="s">
        <v>846</v>
      </c>
    </row>
    <row r="27" spans="1:9" x14ac:dyDescent="0.25">
      <c r="A27">
        <v>1</v>
      </c>
    </row>
    <row r="28" spans="1:9" x14ac:dyDescent="0.25">
      <c r="A28">
        <v>1</v>
      </c>
      <c r="B28" t="s">
        <v>847</v>
      </c>
      <c r="C28" t="s">
        <v>848</v>
      </c>
      <c r="D28" t="s">
        <v>849</v>
      </c>
      <c r="E28" t="s">
        <v>850</v>
      </c>
      <c r="F28" t="s">
        <v>851</v>
      </c>
      <c r="G28" s="164" t="s">
        <v>811</v>
      </c>
      <c r="H28" s="164" t="s">
        <v>812</v>
      </c>
      <c r="I28" t="s">
        <v>813</v>
      </c>
    </row>
    <row r="29" spans="1:9" s="166" customFormat="1" x14ac:dyDescent="0.25">
      <c r="A29" s="166">
        <v>1</v>
      </c>
      <c r="B29" s="547">
        <v>45107</v>
      </c>
      <c r="C29" s="166">
        <v>291857</v>
      </c>
      <c r="D29" s="166" t="s">
        <v>1505</v>
      </c>
      <c r="E29" s="166" t="s">
        <v>1367</v>
      </c>
      <c r="H29" s="166">
        <v>-20.34</v>
      </c>
      <c r="I29" s="166">
        <v>-20.34</v>
      </c>
    </row>
    <row r="30" spans="1:9" s="166" customFormat="1" x14ac:dyDescent="0.25">
      <c r="A30" s="166">
        <v>1</v>
      </c>
      <c r="B30" s="547">
        <v>45107</v>
      </c>
      <c r="C30" s="166">
        <v>291858</v>
      </c>
      <c r="D30" s="166" t="s">
        <v>1506</v>
      </c>
      <c r="E30" s="166" t="s">
        <v>1367</v>
      </c>
      <c r="F30" s="548"/>
      <c r="H30" s="548">
        <v>-2387.34</v>
      </c>
      <c r="I30" s="548">
        <v>-2407.6799999999998</v>
      </c>
    </row>
    <row r="31" spans="1:9" x14ac:dyDescent="0.25">
      <c r="A31">
        <v>1</v>
      </c>
      <c r="B31" s="190">
        <v>45138</v>
      </c>
      <c r="C31">
        <v>292520</v>
      </c>
      <c r="D31" t="s">
        <v>1573</v>
      </c>
      <c r="E31" t="s">
        <v>1569</v>
      </c>
      <c r="H31" s="139">
        <v>-24.08</v>
      </c>
      <c r="I31" s="164">
        <v>-2431.7600000000002</v>
      </c>
    </row>
    <row r="32" spans="1:9" x14ac:dyDescent="0.25">
      <c r="A32">
        <v>1</v>
      </c>
      <c r="B32" s="190">
        <v>45169</v>
      </c>
      <c r="C32">
        <v>293076</v>
      </c>
      <c r="D32" t="s">
        <v>1574</v>
      </c>
      <c r="E32" t="s">
        <v>1571</v>
      </c>
      <c r="H32" s="139">
        <v>-24.32</v>
      </c>
      <c r="I32" s="164">
        <v>-2456.08</v>
      </c>
    </row>
    <row r="33" spans="1:9" x14ac:dyDescent="0.25">
      <c r="A33">
        <v>1</v>
      </c>
      <c r="B33" s="190">
        <v>45199</v>
      </c>
      <c r="C33">
        <v>294275</v>
      </c>
      <c r="D33" t="s">
        <v>1575</v>
      </c>
      <c r="E33" t="s">
        <v>1572</v>
      </c>
      <c r="G33" s="139">
        <v>46.54</v>
      </c>
      <c r="I33" s="164">
        <v>-2409.54</v>
      </c>
    </row>
    <row r="34" spans="1:9" x14ac:dyDescent="0.25">
      <c r="A34">
        <v>1</v>
      </c>
    </row>
    <row r="35" spans="1:9" s="144" customFormat="1" x14ac:dyDescent="0.25">
      <c r="A35" s="144">
        <v>1</v>
      </c>
      <c r="B35" s="144" t="s">
        <v>845</v>
      </c>
      <c r="C35" s="144" t="s">
        <v>619</v>
      </c>
      <c r="D35" s="144">
        <v>22153</v>
      </c>
      <c r="E35" s="144" t="s">
        <v>459</v>
      </c>
      <c r="F35" s="144" t="s">
        <v>846</v>
      </c>
      <c r="G35" s="200"/>
    </row>
    <row r="36" spans="1:9" x14ac:dyDescent="0.25">
      <c r="A36">
        <v>1</v>
      </c>
      <c r="G36" s="164"/>
      <c r="H36" s="164"/>
    </row>
    <row r="37" spans="1:9" x14ac:dyDescent="0.25">
      <c r="A37">
        <v>1</v>
      </c>
      <c r="B37" t="s">
        <v>847</v>
      </c>
      <c r="C37" t="s">
        <v>848</v>
      </c>
      <c r="D37" t="s">
        <v>849</v>
      </c>
      <c r="E37" t="s">
        <v>850</v>
      </c>
      <c r="F37" t="s">
        <v>851</v>
      </c>
      <c r="G37" s="164" t="s">
        <v>811</v>
      </c>
      <c r="H37" s="164" t="s">
        <v>812</v>
      </c>
      <c r="I37" t="s">
        <v>813</v>
      </c>
    </row>
    <row r="38" spans="1:9" s="166" customFormat="1" x14ac:dyDescent="0.25">
      <c r="A38" s="166">
        <v>1</v>
      </c>
      <c r="B38" s="547">
        <v>44957</v>
      </c>
      <c r="C38" s="166">
        <v>286712</v>
      </c>
      <c r="D38" s="166" t="s">
        <v>1507</v>
      </c>
      <c r="E38" s="166" t="s">
        <v>1271</v>
      </c>
      <c r="G38" s="548"/>
      <c r="H38" s="548">
        <v>-16553.16</v>
      </c>
      <c r="I38" s="548">
        <v>-6649978.6900000004</v>
      </c>
    </row>
    <row r="39" spans="1:9" s="166" customFormat="1" x14ac:dyDescent="0.25">
      <c r="A39" s="166">
        <v>1</v>
      </c>
      <c r="B39" s="547">
        <v>44985</v>
      </c>
      <c r="C39" s="166">
        <v>288118</v>
      </c>
      <c r="D39" s="166" t="s">
        <v>1507</v>
      </c>
      <c r="E39" s="166" t="s">
        <v>1272</v>
      </c>
      <c r="G39" s="548"/>
      <c r="H39" s="548">
        <v>-16553.16</v>
      </c>
      <c r="I39" s="548">
        <v>-6666531.8499999996</v>
      </c>
    </row>
    <row r="40" spans="1:9" s="166" customFormat="1" x14ac:dyDescent="0.25">
      <c r="A40" s="166">
        <v>1</v>
      </c>
      <c r="B40" s="547">
        <v>45016</v>
      </c>
      <c r="C40" s="166">
        <v>289448</v>
      </c>
      <c r="D40" s="166" t="s">
        <v>1508</v>
      </c>
      <c r="E40" s="166" t="s">
        <v>1273</v>
      </c>
      <c r="G40" s="548"/>
      <c r="H40" s="548">
        <v>-415759.83</v>
      </c>
      <c r="I40" s="548">
        <v>-7082291.6799999997</v>
      </c>
    </row>
    <row r="41" spans="1:9" s="166" customFormat="1" x14ac:dyDescent="0.25">
      <c r="A41" s="166">
        <v>1</v>
      </c>
      <c r="B41" s="547">
        <v>45046</v>
      </c>
      <c r="C41" s="166">
        <v>289940</v>
      </c>
      <c r="D41" s="166" t="s">
        <v>1509</v>
      </c>
      <c r="E41" s="166" t="s">
        <v>1364</v>
      </c>
      <c r="F41" s="548"/>
      <c r="H41" s="548">
        <v>-8315.2000000000007</v>
      </c>
      <c r="I41" s="548">
        <v>-7090606.8799999999</v>
      </c>
    </row>
    <row r="42" spans="1:9" s="166" customFormat="1" x14ac:dyDescent="0.25">
      <c r="A42" s="166">
        <v>1</v>
      </c>
      <c r="B42" s="547">
        <v>45077</v>
      </c>
      <c r="C42" s="166">
        <v>290904</v>
      </c>
      <c r="D42" s="166" t="s">
        <v>1510</v>
      </c>
      <c r="E42" s="166" t="s">
        <v>1365</v>
      </c>
      <c r="H42" s="548">
        <v>-8315.2000000000007</v>
      </c>
      <c r="I42" s="548">
        <v>-7098922.0800000001</v>
      </c>
    </row>
    <row r="43" spans="1:9" s="166" customFormat="1" x14ac:dyDescent="0.25">
      <c r="A43" s="166">
        <v>1</v>
      </c>
      <c r="B43" s="547">
        <v>45107</v>
      </c>
      <c r="C43" s="166">
        <v>291856</v>
      </c>
      <c r="D43" s="166" t="s">
        <v>1511</v>
      </c>
      <c r="E43" s="166" t="s">
        <v>1367</v>
      </c>
      <c r="F43" s="548"/>
      <c r="G43" s="548">
        <v>640310.85</v>
      </c>
      <c r="I43" s="548">
        <v>-6458611.2300000004</v>
      </c>
    </row>
    <row r="44" spans="1:9" x14ac:dyDescent="0.25">
      <c r="A44">
        <v>1</v>
      </c>
      <c r="B44" s="190">
        <v>45138</v>
      </c>
      <c r="C44">
        <v>292519</v>
      </c>
      <c r="D44" t="s">
        <v>1576</v>
      </c>
      <c r="E44" t="s">
        <v>1569</v>
      </c>
      <c r="H44" s="248">
        <v>-64586.11</v>
      </c>
      <c r="I44" s="164">
        <v>-6523197.3399999999</v>
      </c>
    </row>
    <row r="45" spans="1:9" x14ac:dyDescent="0.25">
      <c r="A45">
        <v>1</v>
      </c>
      <c r="B45" s="190">
        <v>45169</v>
      </c>
      <c r="C45">
        <v>293075</v>
      </c>
      <c r="D45" t="s">
        <v>1577</v>
      </c>
      <c r="E45" t="s">
        <v>1571</v>
      </c>
      <c r="H45" s="248">
        <v>-64586.11</v>
      </c>
      <c r="I45" s="164">
        <v>-6587783.4500000002</v>
      </c>
    </row>
    <row r="46" spans="1:9" x14ac:dyDescent="0.25">
      <c r="A46">
        <v>1</v>
      </c>
      <c r="B46" s="190">
        <v>45199</v>
      </c>
      <c r="C46">
        <v>294276</v>
      </c>
      <c r="D46" t="s">
        <v>1578</v>
      </c>
      <c r="E46" t="s">
        <v>1572</v>
      </c>
      <c r="H46" s="248">
        <v>-323172.82</v>
      </c>
      <c r="I46" s="164">
        <v>-6910956.2699999996</v>
      </c>
    </row>
    <row r="47" spans="1:9" x14ac:dyDescent="0.25">
      <c r="A47">
        <v>1</v>
      </c>
    </row>
    <row r="48" spans="1:9" s="144" customFormat="1" x14ac:dyDescent="0.25">
      <c r="A48" s="144">
        <v>1</v>
      </c>
      <c r="B48" s="144" t="s">
        <v>845</v>
      </c>
      <c r="C48" s="144" t="s">
        <v>807</v>
      </c>
      <c r="D48" s="144">
        <v>22154</v>
      </c>
      <c r="E48" s="144" t="s">
        <v>808</v>
      </c>
      <c r="F48" s="144" t="s">
        <v>846</v>
      </c>
      <c r="G48" s="200"/>
    </row>
    <row r="49" spans="1:11" x14ac:dyDescent="0.25">
      <c r="A49">
        <v>1</v>
      </c>
      <c r="H49" s="164"/>
    </row>
    <row r="50" spans="1:11" x14ac:dyDescent="0.25">
      <c r="A50">
        <v>1</v>
      </c>
      <c r="B50" t="s">
        <v>847</v>
      </c>
      <c r="C50" t="s">
        <v>848</v>
      </c>
      <c r="D50" t="s">
        <v>849</v>
      </c>
      <c r="E50" t="s">
        <v>850</v>
      </c>
      <c r="F50" t="s">
        <v>851</v>
      </c>
      <c r="G50" t="s">
        <v>811</v>
      </c>
      <c r="H50" s="164" t="s">
        <v>812</v>
      </c>
      <c r="I50" t="s">
        <v>813</v>
      </c>
    </row>
    <row r="51" spans="1:11" s="166" customFormat="1" x14ac:dyDescent="0.25">
      <c r="A51" s="166">
        <v>1</v>
      </c>
      <c r="B51" s="547">
        <v>44957</v>
      </c>
      <c r="C51" s="166">
        <v>286713</v>
      </c>
      <c r="D51" s="166" t="s">
        <v>1512</v>
      </c>
      <c r="E51" s="166" t="s">
        <v>1271</v>
      </c>
      <c r="H51" s="548">
        <v>-7.25</v>
      </c>
      <c r="I51" s="548">
        <v>-2353.5500000000002</v>
      </c>
    </row>
    <row r="52" spans="1:11" s="166" customFormat="1" x14ac:dyDescent="0.25">
      <c r="A52" s="166">
        <v>1</v>
      </c>
      <c r="B52" s="547">
        <v>44985</v>
      </c>
      <c r="C52" s="166">
        <v>288119</v>
      </c>
      <c r="D52" s="166" t="s">
        <v>1512</v>
      </c>
      <c r="E52" s="166" t="s">
        <v>1272</v>
      </c>
      <c r="H52" s="548">
        <v>-7.25</v>
      </c>
      <c r="I52" s="548">
        <v>-2360.8000000000002</v>
      </c>
    </row>
    <row r="53" spans="1:11" s="166" customFormat="1" x14ac:dyDescent="0.25">
      <c r="A53" s="166">
        <v>1</v>
      </c>
      <c r="B53" s="547">
        <v>45016</v>
      </c>
      <c r="C53" s="166">
        <v>289449</v>
      </c>
      <c r="D53" s="166" t="s">
        <v>1513</v>
      </c>
      <c r="E53" s="166" t="s">
        <v>1273</v>
      </c>
      <c r="H53" s="548">
        <v>-15.92</v>
      </c>
      <c r="I53" s="548">
        <v>-2376.7199999999998</v>
      </c>
    </row>
    <row r="54" spans="1:11" s="166" customFormat="1" x14ac:dyDescent="0.25">
      <c r="A54" s="166">
        <v>1</v>
      </c>
      <c r="B54" s="547">
        <v>45046</v>
      </c>
      <c r="C54" s="166">
        <v>289941</v>
      </c>
      <c r="D54" s="166" t="s">
        <v>1514</v>
      </c>
      <c r="E54" s="166" t="s">
        <v>1364</v>
      </c>
      <c r="F54" s="548"/>
      <c r="H54" s="166">
        <v>-5.31</v>
      </c>
      <c r="I54" s="548">
        <v>-2382.0300000000002</v>
      </c>
    </row>
    <row r="55" spans="1:11" s="166" customFormat="1" x14ac:dyDescent="0.25">
      <c r="A55" s="166">
        <v>1</v>
      </c>
      <c r="B55" s="547">
        <v>45077</v>
      </c>
      <c r="C55" s="166">
        <v>290905</v>
      </c>
      <c r="D55" s="166" t="s">
        <v>1515</v>
      </c>
      <c r="E55" s="166" t="s">
        <v>1365</v>
      </c>
      <c r="H55" s="166">
        <v>-5.31</v>
      </c>
      <c r="I55" s="548">
        <v>-2387.34</v>
      </c>
    </row>
    <row r="56" spans="1:11" s="166" customFormat="1" x14ac:dyDescent="0.25">
      <c r="A56" s="166">
        <v>1</v>
      </c>
      <c r="B56" s="547">
        <v>45107</v>
      </c>
      <c r="C56" s="166">
        <v>291858</v>
      </c>
      <c r="D56" s="166" t="s">
        <v>1506</v>
      </c>
      <c r="E56" s="166" t="s">
        <v>1367</v>
      </c>
      <c r="F56" s="548"/>
      <c r="G56" s="548">
        <v>2387.34</v>
      </c>
      <c r="I56" s="166">
        <v>0</v>
      </c>
    </row>
    <row r="58" spans="1:11" x14ac:dyDescent="0.25">
      <c r="H58" s="116">
        <f>SUBTOTAL(9,G4:H55)</f>
        <v>-1669495.7300000002</v>
      </c>
      <c r="I58" s="211">
        <f>H58/1000</f>
        <v>-1669.4957300000003</v>
      </c>
      <c r="J58" s="211">
        <f>ROUND(I58,0)</f>
        <v>-1669</v>
      </c>
    </row>
    <row r="59" spans="1:11" x14ac:dyDescent="0.25">
      <c r="I59" s="211"/>
      <c r="J59" s="211"/>
    </row>
    <row r="60" spans="1:11" x14ac:dyDescent="0.25">
      <c r="D60" s="166" t="s">
        <v>1516</v>
      </c>
      <c r="H60" s="548">
        <f>H4+H5+H11+H12+H14+H15+H16+H17+H20+H29+H38+H39+H40+H41+H42+G43+H51+H52+H53+H54+H55+G56+G6+H30+H13+H21+H22+H24+H31+H32+G33+H44+H45+H46</f>
        <v>-1663157.5000000009</v>
      </c>
      <c r="I60" s="211">
        <f>H60/1000</f>
        <v>-1663.1575000000009</v>
      </c>
      <c r="J60" s="554">
        <f>ROUND(I60,0)</f>
        <v>-1663</v>
      </c>
      <c r="K60">
        <v>1056</v>
      </c>
    </row>
    <row r="61" spans="1:11" x14ac:dyDescent="0.25">
      <c r="D61" s="285" t="s">
        <v>1517</v>
      </c>
      <c r="H61" s="556">
        <f>H18+H19+G23</f>
        <v>-3950.8899999999994</v>
      </c>
      <c r="I61" s="211">
        <f t="shared" ref="I61" si="0">H61/1000</f>
        <v>-3.9508899999999993</v>
      </c>
      <c r="J61" s="557">
        <f>ROUND(I61,0)</f>
        <v>-4</v>
      </c>
    </row>
    <row r="62" spans="1:11" x14ac:dyDescent="0.25">
      <c r="J62" s="211">
        <f>SUM(J60:J61)</f>
        <v>-1667</v>
      </c>
      <c r="K62" s="211">
        <f>K60+J60</f>
        <v>-607</v>
      </c>
    </row>
  </sheetData>
  <autoFilter ref="A1:I5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5" workbookViewId="0">
      <selection activeCell="F45" sqref="F45"/>
    </sheetView>
  </sheetViews>
  <sheetFormatPr defaultRowHeight="15" x14ac:dyDescent="0.25"/>
  <cols>
    <col min="1" max="1" width="13" customWidth="1"/>
    <col min="3" max="3" width="76" bestFit="1" customWidth="1"/>
    <col min="4" max="4" width="15" customWidth="1"/>
    <col min="5" max="5" width="16.28515625" customWidth="1"/>
    <col min="6" max="6" width="18.5703125" customWidth="1"/>
    <col min="7" max="7" width="20.140625" customWidth="1"/>
    <col min="8" max="8" width="16.140625" customWidth="1"/>
  </cols>
  <sheetData>
    <row r="1" spans="1:8" x14ac:dyDescent="0.25">
      <c r="A1" t="s">
        <v>845</v>
      </c>
      <c r="B1" t="s">
        <v>769</v>
      </c>
      <c r="C1">
        <v>42720</v>
      </c>
      <c r="D1" t="s">
        <v>514</v>
      </c>
      <c r="E1" t="s">
        <v>846</v>
      </c>
      <c r="F1">
        <v>0</v>
      </c>
      <c r="G1" s="164"/>
    </row>
    <row r="2" spans="1:8" x14ac:dyDescent="0.25">
      <c r="E2" s="164"/>
      <c r="G2" s="164"/>
    </row>
    <row r="3" spans="1:8" x14ac:dyDescent="0.25">
      <c r="A3" t="s">
        <v>847</v>
      </c>
      <c r="B3" t="s">
        <v>848</v>
      </c>
      <c r="C3" t="s">
        <v>849</v>
      </c>
      <c r="D3" t="s">
        <v>850</v>
      </c>
      <c r="E3" s="164" t="s">
        <v>851</v>
      </c>
      <c r="F3" t="s">
        <v>811</v>
      </c>
      <c r="G3" s="164" t="s">
        <v>812</v>
      </c>
      <c r="H3" t="s">
        <v>813</v>
      </c>
    </row>
    <row r="4" spans="1:8" x14ac:dyDescent="0.25">
      <c r="A4" s="190">
        <v>44957</v>
      </c>
      <c r="B4">
        <v>286713</v>
      </c>
      <c r="C4" t="s">
        <v>1512</v>
      </c>
      <c r="D4" t="s">
        <v>1271</v>
      </c>
      <c r="F4" s="563">
        <v>7.25</v>
      </c>
      <c r="G4" s="164"/>
      <c r="H4">
        <v>7.25</v>
      </c>
    </row>
    <row r="5" spans="1:8" x14ac:dyDescent="0.25">
      <c r="A5" s="190">
        <v>44957</v>
      </c>
      <c r="B5">
        <v>286711</v>
      </c>
      <c r="C5" t="s">
        <v>1496</v>
      </c>
      <c r="D5" t="s">
        <v>1271</v>
      </c>
      <c r="E5" s="164"/>
      <c r="F5" s="139">
        <v>658.63</v>
      </c>
      <c r="G5" s="164"/>
      <c r="H5">
        <v>665.88</v>
      </c>
    </row>
    <row r="6" spans="1:8" x14ac:dyDescent="0.25">
      <c r="A6" s="559">
        <v>44957</v>
      </c>
      <c r="B6" s="560">
        <v>286710</v>
      </c>
      <c r="C6" s="560" t="s">
        <v>1494</v>
      </c>
      <c r="D6" s="560" t="s">
        <v>1271</v>
      </c>
      <c r="E6" s="561"/>
      <c r="F6" s="248">
        <v>3516.61</v>
      </c>
      <c r="G6" s="164"/>
      <c r="H6" s="164">
        <v>4182.49</v>
      </c>
    </row>
    <row r="7" spans="1:8" x14ac:dyDescent="0.25">
      <c r="A7" s="190">
        <v>44957</v>
      </c>
      <c r="B7">
        <v>286712</v>
      </c>
      <c r="C7" t="s">
        <v>1507</v>
      </c>
      <c r="D7" t="s">
        <v>1271</v>
      </c>
      <c r="E7" s="164"/>
      <c r="F7" s="562">
        <v>16553.16</v>
      </c>
      <c r="G7" s="164"/>
      <c r="H7" s="164">
        <v>20735.650000000001</v>
      </c>
    </row>
    <row r="8" spans="1:8" x14ac:dyDescent="0.25">
      <c r="A8" s="190">
        <v>44985</v>
      </c>
      <c r="B8">
        <v>288119</v>
      </c>
      <c r="C8" t="s">
        <v>1512</v>
      </c>
      <c r="D8" t="s">
        <v>1272</v>
      </c>
      <c r="F8" s="563">
        <v>7.25</v>
      </c>
      <c r="G8" s="164"/>
      <c r="H8" s="164">
        <v>20742.900000000001</v>
      </c>
    </row>
    <row r="9" spans="1:8" x14ac:dyDescent="0.25">
      <c r="A9" s="190">
        <v>44985</v>
      </c>
      <c r="B9">
        <v>288117</v>
      </c>
      <c r="C9" t="s">
        <v>1497</v>
      </c>
      <c r="D9" t="s">
        <v>1272</v>
      </c>
      <c r="E9" s="164"/>
      <c r="F9" s="139">
        <v>658.63</v>
      </c>
      <c r="G9" s="164"/>
      <c r="H9" s="164">
        <v>21401.53</v>
      </c>
    </row>
    <row r="10" spans="1:8" x14ac:dyDescent="0.25">
      <c r="A10" s="559">
        <v>44985</v>
      </c>
      <c r="B10" s="560">
        <v>288116</v>
      </c>
      <c r="C10" s="560" t="s">
        <v>1494</v>
      </c>
      <c r="D10" s="560" t="s">
        <v>1272</v>
      </c>
      <c r="E10" s="561"/>
      <c r="F10" s="248">
        <v>3516.61</v>
      </c>
      <c r="G10" s="164"/>
      <c r="H10" s="164">
        <v>24918.14</v>
      </c>
    </row>
    <row r="11" spans="1:8" x14ac:dyDescent="0.25">
      <c r="A11" s="190">
        <v>44985</v>
      </c>
      <c r="B11">
        <v>288118</v>
      </c>
      <c r="C11" t="s">
        <v>1507</v>
      </c>
      <c r="D11" t="s">
        <v>1272</v>
      </c>
      <c r="F11" s="562">
        <v>16553.16</v>
      </c>
      <c r="G11" s="164"/>
      <c r="H11" s="164">
        <v>41471.300000000003</v>
      </c>
    </row>
    <row r="12" spans="1:8" x14ac:dyDescent="0.25">
      <c r="A12" s="190">
        <v>45016</v>
      </c>
      <c r="B12">
        <v>289449</v>
      </c>
      <c r="C12" t="s">
        <v>1513</v>
      </c>
      <c r="D12" t="s">
        <v>1273</v>
      </c>
      <c r="E12" s="164"/>
      <c r="F12" s="563">
        <v>15.92</v>
      </c>
      <c r="G12" s="164"/>
      <c r="H12" s="164">
        <v>41487.22</v>
      </c>
    </row>
    <row r="13" spans="1:8" x14ac:dyDescent="0.25">
      <c r="A13" s="190">
        <v>45016</v>
      </c>
      <c r="B13">
        <v>289446</v>
      </c>
      <c r="C13" t="s">
        <v>1498</v>
      </c>
      <c r="D13" t="s">
        <v>1273</v>
      </c>
      <c r="E13" s="164"/>
      <c r="F13" s="248">
        <v>17065.13</v>
      </c>
      <c r="G13" s="164"/>
      <c r="H13" s="164">
        <v>58552.35</v>
      </c>
    </row>
    <row r="14" spans="1:8" x14ac:dyDescent="0.25">
      <c r="A14" s="190">
        <v>45016</v>
      </c>
      <c r="B14">
        <v>289448</v>
      </c>
      <c r="C14" t="s">
        <v>1508</v>
      </c>
      <c r="D14" t="s">
        <v>1273</v>
      </c>
      <c r="F14" s="562">
        <v>415759.83</v>
      </c>
      <c r="G14" s="164"/>
      <c r="H14" s="164">
        <v>474312.18</v>
      </c>
    </row>
    <row r="15" spans="1:8" x14ac:dyDescent="0.25">
      <c r="A15" s="190">
        <v>45016</v>
      </c>
      <c r="B15">
        <v>289447</v>
      </c>
      <c r="C15" t="s">
        <v>1499</v>
      </c>
      <c r="D15" t="s">
        <v>1273</v>
      </c>
      <c r="E15" s="164"/>
      <c r="F15" s="248">
        <v>1047749.54</v>
      </c>
      <c r="G15" s="164"/>
      <c r="H15" s="164">
        <v>1522061.72</v>
      </c>
    </row>
    <row r="16" spans="1:8" x14ac:dyDescent="0.25">
      <c r="A16" s="190">
        <v>45046</v>
      </c>
      <c r="B16">
        <v>289941</v>
      </c>
      <c r="C16" t="s">
        <v>1514</v>
      </c>
      <c r="D16" t="s">
        <v>1364</v>
      </c>
      <c r="F16" s="564">
        <v>5.31</v>
      </c>
      <c r="G16" s="164"/>
      <c r="H16" s="164">
        <v>1522067.03</v>
      </c>
    </row>
    <row r="17" spans="1:8" x14ac:dyDescent="0.25">
      <c r="A17" s="190">
        <v>45046</v>
      </c>
      <c r="B17">
        <v>289940</v>
      </c>
      <c r="C17" t="s">
        <v>1509</v>
      </c>
      <c r="D17" t="s">
        <v>1364</v>
      </c>
      <c r="F17" s="562">
        <v>8315.2000000000007</v>
      </c>
      <c r="H17" s="164">
        <v>1530382.23</v>
      </c>
    </row>
    <row r="18" spans="1:8" x14ac:dyDescent="0.25">
      <c r="A18" s="190">
        <v>45046</v>
      </c>
      <c r="B18">
        <v>289939</v>
      </c>
      <c r="C18" t="s">
        <v>1500</v>
      </c>
      <c r="D18" t="s">
        <v>1364</v>
      </c>
      <c r="F18" s="248">
        <v>21296.29</v>
      </c>
      <c r="H18" s="164">
        <v>1551678.52</v>
      </c>
    </row>
    <row r="19" spans="1:8" x14ac:dyDescent="0.25">
      <c r="A19" s="190">
        <v>45077</v>
      </c>
      <c r="B19">
        <v>290905</v>
      </c>
      <c r="C19" t="s">
        <v>1515</v>
      </c>
      <c r="D19" t="s">
        <v>1365</v>
      </c>
      <c r="F19" s="563">
        <v>5.31</v>
      </c>
      <c r="H19" s="164">
        <v>1551683.83</v>
      </c>
    </row>
    <row r="20" spans="1:8" x14ac:dyDescent="0.25">
      <c r="A20" s="190">
        <v>45077</v>
      </c>
      <c r="B20">
        <v>290904</v>
      </c>
      <c r="C20" t="s">
        <v>1510</v>
      </c>
      <c r="D20" t="s">
        <v>1365</v>
      </c>
      <c r="F20" s="562">
        <v>8315.2000000000007</v>
      </c>
      <c r="H20" s="164">
        <v>1559999.03</v>
      </c>
    </row>
    <row r="21" spans="1:8" x14ac:dyDescent="0.25">
      <c r="A21" s="190">
        <v>45077</v>
      </c>
      <c r="B21">
        <v>290903</v>
      </c>
      <c r="C21" t="s">
        <v>1501</v>
      </c>
      <c r="D21" t="s">
        <v>1365</v>
      </c>
      <c r="E21" s="164"/>
      <c r="F21" s="248">
        <v>21296.29</v>
      </c>
      <c r="G21" s="164"/>
      <c r="H21" s="164">
        <v>1581295.32</v>
      </c>
    </row>
    <row r="22" spans="1:8" x14ac:dyDescent="0.25">
      <c r="A22" s="190">
        <v>45107</v>
      </c>
      <c r="B22">
        <v>291857</v>
      </c>
      <c r="C22" t="s">
        <v>1505</v>
      </c>
      <c r="D22" t="s">
        <v>1367</v>
      </c>
      <c r="F22" s="563">
        <v>20.34</v>
      </c>
      <c r="H22" s="164">
        <v>1581315.66</v>
      </c>
    </row>
    <row r="23" spans="1:8" x14ac:dyDescent="0.25">
      <c r="A23" s="190">
        <v>45107</v>
      </c>
      <c r="B23">
        <v>291855</v>
      </c>
      <c r="C23" t="s">
        <v>1504</v>
      </c>
      <c r="D23" t="s">
        <v>1367</v>
      </c>
      <c r="F23" s="248">
        <v>21361.26</v>
      </c>
      <c r="H23" s="164">
        <v>1602676.92</v>
      </c>
    </row>
    <row r="24" spans="1:8" x14ac:dyDescent="0.25">
      <c r="A24" s="190">
        <v>45107</v>
      </c>
      <c r="B24">
        <v>291856</v>
      </c>
      <c r="C24" t="s">
        <v>1511</v>
      </c>
      <c r="D24" t="s">
        <v>1367</v>
      </c>
      <c r="G24" s="164">
        <v>-640310.85</v>
      </c>
      <c r="H24" s="164">
        <v>962366.07</v>
      </c>
    </row>
    <row r="25" spans="1:8" x14ac:dyDescent="0.25">
      <c r="F25" s="116">
        <f>SUM(F4:F24)</f>
        <v>1602676.9200000004</v>
      </c>
    </row>
    <row r="32" spans="1:8" x14ac:dyDescent="0.25">
      <c r="D32" s="190">
        <v>44926</v>
      </c>
      <c r="E32" t="s">
        <v>776</v>
      </c>
      <c r="F32" t="s">
        <v>777</v>
      </c>
      <c r="G32" t="s">
        <v>1527</v>
      </c>
      <c r="H32" s="190">
        <v>45107</v>
      </c>
    </row>
    <row r="33" spans="3:8" x14ac:dyDescent="0.25">
      <c r="C33" s="168" t="s">
        <v>1524</v>
      </c>
      <c r="D33" s="116">
        <f>2825115.3+404002.73</f>
        <v>3229118.03</v>
      </c>
      <c r="E33" s="116">
        <f>F5+F6+F9+F10+F13+F15+F18+F21+F23</f>
        <v>1137118.9900000002</v>
      </c>
      <c r="F33" s="116">
        <f>-'Provisão para contigencia'!H18-'Provisão para contigencia'!H19</f>
        <v>16350.89</v>
      </c>
      <c r="G33" s="116"/>
      <c r="H33" s="116">
        <f>SUM(D33:G33)</f>
        <v>4382587.9099999992</v>
      </c>
    </row>
    <row r="34" spans="3:8" x14ac:dyDescent="0.25">
      <c r="C34" s="168" t="s">
        <v>1525</v>
      </c>
      <c r="D34" s="116">
        <v>6633425.5</v>
      </c>
      <c r="E34" s="116">
        <f>F7+F11+F14+F17+F20</f>
        <v>465496.55000000005</v>
      </c>
      <c r="F34" s="116">
        <v>0</v>
      </c>
      <c r="G34" s="116">
        <f>G24</f>
        <v>-640310.85</v>
      </c>
      <c r="H34" s="116">
        <f t="shared" ref="H34" si="0">SUM(D34:G34)</f>
        <v>6458611.2000000002</v>
      </c>
    </row>
    <row r="35" spans="3:8" x14ac:dyDescent="0.25">
      <c r="C35" s="168" t="s">
        <v>1526</v>
      </c>
      <c r="D35" s="116">
        <v>2346.3000000000002</v>
      </c>
      <c r="E35" s="116">
        <f>F4+F8+F12+F16+F19+F22</f>
        <v>61.38000000000001</v>
      </c>
      <c r="F35" s="116">
        <v>0</v>
      </c>
      <c r="G35" s="116"/>
      <c r="H35" s="116">
        <f>SUM(D35:G35)</f>
        <v>2407.6800000000003</v>
      </c>
    </row>
    <row r="36" spans="3:8" x14ac:dyDescent="0.25">
      <c r="D36" s="116">
        <f>SUM(D33:D35)</f>
        <v>9864889.8300000001</v>
      </c>
      <c r="E36" s="116">
        <f>SUM(E33:E35)</f>
        <v>1602676.9200000002</v>
      </c>
      <c r="F36" s="116">
        <f t="shared" ref="F36:H36" si="1">SUM(F33:F35)</f>
        <v>16350.89</v>
      </c>
      <c r="G36" s="116">
        <f t="shared" si="1"/>
        <v>-640310.85</v>
      </c>
      <c r="H36" s="116">
        <f t="shared" si="1"/>
        <v>10843606.789999999</v>
      </c>
    </row>
    <row r="38" spans="3:8" x14ac:dyDescent="0.25">
      <c r="D38" s="116"/>
    </row>
    <row r="39" spans="3:8" x14ac:dyDescent="0.25">
      <c r="D39" s="116"/>
      <c r="E39" s="211">
        <f>E34/1000</f>
        <v>465.49655000000007</v>
      </c>
    </row>
    <row r="40" spans="3:8" x14ac:dyDescent="0.25">
      <c r="D40" s="116"/>
    </row>
    <row r="41" spans="3:8" x14ac:dyDescent="0.25">
      <c r="E41" s="211">
        <f>ROUND(E39,0)</f>
        <v>465</v>
      </c>
    </row>
    <row r="43" spans="3:8" x14ac:dyDescent="0.25">
      <c r="E43" s="211">
        <f>E36</f>
        <v>1602676.9200000002</v>
      </c>
      <c r="F43" s="211">
        <f>G36</f>
        <v>-640310.85</v>
      </c>
    </row>
    <row r="44" spans="3:8" x14ac:dyDescent="0.25">
      <c r="E44" s="565">
        <v>0.34</v>
      </c>
      <c r="F44" s="565">
        <v>0.34</v>
      </c>
    </row>
    <row r="45" spans="3:8" x14ac:dyDescent="0.25">
      <c r="E45" s="116">
        <f>E43*E44</f>
        <v>544910.15280000004</v>
      </c>
      <c r="F45" s="116">
        <f>F43*F44</f>
        <v>-217705.68900000001</v>
      </c>
    </row>
  </sheetData>
  <autoFilter ref="A3:H24"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31"/>
  <sheetViews>
    <sheetView showGridLines="0" zoomScale="84" zoomScaleNormal="84" workbookViewId="0">
      <pane xSplit="3" ySplit="6" topLeftCell="L7" activePane="bottomRight" state="frozen"/>
      <selection pane="topRight"/>
      <selection pane="bottomLeft"/>
      <selection pane="bottomRight" activeCell="P31" sqref="P31"/>
    </sheetView>
  </sheetViews>
  <sheetFormatPr defaultColWidth="9.140625" defaultRowHeight="17.25" x14ac:dyDescent="0.3"/>
  <cols>
    <col min="1" max="1" width="50.85546875" style="300" customWidth="1"/>
    <col min="2" max="2" width="38.85546875" style="300" customWidth="1"/>
    <col min="3" max="3" width="39.42578125" style="300" customWidth="1"/>
    <col min="4" max="4" width="18.28515625" style="302" customWidth="1"/>
    <col min="5" max="5" width="20.28515625" style="302" customWidth="1"/>
    <col min="6" max="6" width="18.28515625" style="300" bestFit="1" customWidth="1"/>
    <col min="7" max="7" width="18.140625" style="300" customWidth="1"/>
    <col min="8" max="8" width="18.28515625" style="300" bestFit="1" customWidth="1"/>
    <col min="9" max="9" width="18.140625" style="300" customWidth="1"/>
    <col min="10" max="11" width="18.28515625" style="300" bestFit="1" customWidth="1"/>
    <col min="12" max="12" width="19.5703125" style="300" bestFit="1" customWidth="1"/>
    <col min="13" max="13" width="19.5703125" style="300" hidden="1" customWidth="1"/>
    <col min="14" max="14" width="19.42578125" style="300" hidden="1" customWidth="1"/>
    <col min="15" max="15" width="18.28515625" style="300" hidden="1" customWidth="1"/>
    <col min="16" max="16" width="8.42578125" style="301" bestFit="1" customWidth="1"/>
    <col min="17" max="17" width="15.140625" style="300" customWidth="1"/>
    <col min="18" max="18" width="18.140625" style="300" bestFit="1" customWidth="1"/>
    <col min="19" max="19" width="13" style="300" bestFit="1" customWidth="1"/>
    <col min="20" max="16384" width="9.140625" style="300"/>
  </cols>
  <sheetData>
    <row r="1" spans="1:18" s="461" customFormat="1" x14ac:dyDescent="0.3">
      <c r="D1" s="466"/>
      <c r="E1" s="466"/>
      <c r="P1" s="462"/>
    </row>
    <row r="2" spans="1:18" s="461" customFormat="1" ht="20.25" x14ac:dyDescent="0.3">
      <c r="B2" s="465" t="s">
        <v>1470</v>
      </c>
      <c r="D2" s="465"/>
      <c r="E2" s="464"/>
      <c r="P2" s="462"/>
    </row>
    <row r="3" spans="1:18" s="461" customFormat="1" ht="20.25" x14ac:dyDescent="0.3">
      <c r="B3" s="463" t="s">
        <v>1469</v>
      </c>
      <c r="D3" s="463"/>
      <c r="E3" s="463"/>
      <c r="P3" s="462"/>
    </row>
    <row r="4" spans="1:18" ht="20.25" x14ac:dyDescent="0.3">
      <c r="B4" s="460" t="s">
        <v>1468</v>
      </c>
      <c r="D4" s="460"/>
      <c r="E4" s="460"/>
    </row>
    <row r="5" spans="1:18" ht="20.25" x14ac:dyDescent="0.3">
      <c r="B5" s="460"/>
      <c r="D5" s="460">
        <v>1</v>
      </c>
      <c r="E5" s="460">
        <v>2</v>
      </c>
      <c r="F5" s="300">
        <v>3</v>
      </c>
      <c r="G5" s="460">
        <v>4</v>
      </c>
      <c r="H5" s="460">
        <v>5</v>
      </c>
      <c r="I5" s="300">
        <v>6</v>
      </c>
      <c r="J5" s="460">
        <v>7</v>
      </c>
      <c r="K5" s="460">
        <v>8</v>
      </c>
      <c r="L5" s="300">
        <v>9</v>
      </c>
      <c r="M5" s="460">
        <v>10</v>
      </c>
      <c r="N5" s="460">
        <v>11</v>
      </c>
      <c r="O5" s="300">
        <v>12</v>
      </c>
    </row>
    <row r="6" spans="1:18" s="458" customFormat="1" ht="33" customHeight="1" x14ac:dyDescent="0.3">
      <c r="A6" s="672" t="s">
        <v>1467</v>
      </c>
      <c r="B6" s="416" t="s">
        <v>1453</v>
      </c>
      <c r="C6" s="415" t="s">
        <v>266</v>
      </c>
      <c r="D6" s="414" t="s">
        <v>1415</v>
      </c>
      <c r="E6" s="414" t="s">
        <v>1414</v>
      </c>
      <c r="F6" s="414" t="s">
        <v>1413</v>
      </c>
      <c r="G6" s="414" t="s">
        <v>1412</v>
      </c>
      <c r="H6" s="414" t="s">
        <v>1411</v>
      </c>
      <c r="I6" s="414" t="s">
        <v>1410</v>
      </c>
      <c r="J6" s="414" t="s">
        <v>1409</v>
      </c>
      <c r="K6" s="414" t="s">
        <v>1408</v>
      </c>
      <c r="L6" s="414" t="s">
        <v>1407</v>
      </c>
      <c r="M6" s="414" t="s">
        <v>1406</v>
      </c>
      <c r="N6" s="414" t="s">
        <v>1405</v>
      </c>
      <c r="O6" s="414" t="s">
        <v>1404</v>
      </c>
      <c r="P6" s="459"/>
    </row>
    <row r="7" spans="1:18" x14ac:dyDescent="0.3">
      <c r="A7" s="673"/>
      <c r="B7" s="413">
        <v>3</v>
      </c>
      <c r="C7" s="336" t="s">
        <v>56</v>
      </c>
      <c r="D7" s="412">
        <f>'[2]01.2023'!H187</f>
        <v>11891006.949999999</v>
      </c>
      <c r="E7" s="412">
        <f>'[2]02.2023'!H191</f>
        <v>25385208.739999998</v>
      </c>
      <c r="F7" s="412">
        <f>-'[2]03.2023'!H194</f>
        <v>36035568.840000004</v>
      </c>
      <c r="G7" s="350">
        <f>-'[2]04.2023'!H190</f>
        <v>46564886.689999998</v>
      </c>
      <c r="H7" s="350">
        <f>-'[2]05.2023'!H201</f>
        <v>54608222.600000001</v>
      </c>
      <c r="I7" s="350">
        <f>-'[2]06.2023'!H195</f>
        <v>65865984.630000003</v>
      </c>
      <c r="J7" s="350">
        <f>[3]IRPJ_CSLL_2023!$J$7</f>
        <v>74616030.650000006</v>
      </c>
      <c r="K7" s="350">
        <f>[3]IRPJ_CSLL_2023!$K$7</f>
        <v>84809863.290000007</v>
      </c>
      <c r="L7" s="457">
        <f>-SUMIF('Balancete 09.2023'!C:C,IRPJ_CSLL_2023!B7,'Balancete 09.2023'!I:I)</f>
        <v>96064824.840000004</v>
      </c>
      <c r="M7" s="457"/>
      <c r="N7" s="325"/>
      <c r="O7" s="350"/>
      <c r="P7" s="362"/>
    </row>
    <row r="8" spans="1:18" ht="35.25" thickBot="1" x14ac:dyDescent="0.35">
      <c r="A8" s="404" t="s">
        <v>1466</v>
      </c>
      <c r="B8" s="410">
        <v>4</v>
      </c>
      <c r="C8" s="360" t="s">
        <v>196</v>
      </c>
      <c r="D8" s="408">
        <f>'[2]01.2023'!H199</f>
        <v>10339582.65</v>
      </c>
      <c r="E8" s="408">
        <f>'[2]02.2023'!H205</f>
        <v>21832221.059999999</v>
      </c>
      <c r="F8" s="412">
        <f>'[2]03.2023'!H208</f>
        <v>33776380.299999997</v>
      </c>
      <c r="G8" s="350">
        <f>'[2]04.2023'!H204</f>
        <v>43920399.100000001</v>
      </c>
      <c r="H8" s="350">
        <f>'[2]05.2023'!H215</f>
        <v>54450696.380000003</v>
      </c>
      <c r="I8" s="350">
        <f>'[2]06.2023'!H209</f>
        <v>63665392.030000001</v>
      </c>
      <c r="J8" s="350">
        <f>[3]IRPJ_CSLL_2023!$J$8</f>
        <v>73443255.859999999</v>
      </c>
      <c r="K8" s="350">
        <f>[3]IRPJ_CSLL_2023!$K$8</f>
        <v>83438090.099999994</v>
      </c>
      <c r="L8" s="457">
        <f>SUMIF('Balancete 09.2023'!C:C,IRPJ_CSLL_2023!B8,'Balancete 09.2023'!I:I)</f>
        <v>94630691.349999994</v>
      </c>
      <c r="M8" s="325"/>
      <c r="N8" s="325"/>
      <c r="O8" s="350"/>
      <c r="P8" s="362"/>
    </row>
    <row r="9" spans="1:18" ht="18" thickBot="1" x14ac:dyDescent="0.35">
      <c r="A9" s="691" t="s">
        <v>1465</v>
      </c>
      <c r="B9" s="692"/>
      <c r="C9" s="693"/>
      <c r="D9" s="363">
        <f t="shared" ref="D9:O9" si="0">D7-D8</f>
        <v>1551424.2999999989</v>
      </c>
      <c r="E9" s="456">
        <f t="shared" si="0"/>
        <v>3552987.6799999997</v>
      </c>
      <c r="F9" s="455">
        <f t="shared" si="0"/>
        <v>2259188.5400000066</v>
      </c>
      <c r="G9" s="364">
        <f t="shared" si="0"/>
        <v>2644487.5899999961</v>
      </c>
      <c r="H9" s="364">
        <f t="shared" si="0"/>
        <v>157526.21999999881</v>
      </c>
      <c r="I9" s="364">
        <f t="shared" si="0"/>
        <v>2200592.6000000015</v>
      </c>
      <c r="J9" s="363">
        <f t="shared" si="0"/>
        <v>1172774.7900000066</v>
      </c>
      <c r="K9" s="363">
        <f t="shared" si="0"/>
        <v>1371773.1900000125</v>
      </c>
      <c r="L9" s="363">
        <f t="shared" si="0"/>
        <v>1434133.4900000095</v>
      </c>
      <c r="M9" s="363">
        <f t="shared" si="0"/>
        <v>0</v>
      </c>
      <c r="N9" s="363">
        <f t="shared" si="0"/>
        <v>0</v>
      </c>
      <c r="O9" s="363">
        <f t="shared" si="0"/>
        <v>0</v>
      </c>
      <c r="P9" s="362"/>
    </row>
    <row r="10" spans="1:18" ht="18" thickBot="1" x14ac:dyDescent="0.35">
      <c r="A10" s="454"/>
      <c r="B10" s="453" t="s">
        <v>1450</v>
      </c>
      <c r="C10" s="357" t="s">
        <v>1449</v>
      </c>
      <c r="D10" s="393">
        <v>0</v>
      </c>
      <c r="E10" s="393">
        <f>'[2]02.2023'!H305+'[2]02.2023'!H307</f>
        <v>353126.53</v>
      </c>
      <c r="F10" s="350">
        <f>'[2]03.2023'!H311+'[2]03.2023'!H313</f>
        <v>903156.74</v>
      </c>
      <c r="G10" s="350">
        <f>'[2]04.2023'!H307+'[2]04.2023'!H309</f>
        <v>1062826.6599999999</v>
      </c>
      <c r="H10" s="350">
        <f>'[2]05.2023'!H319+'[2]05.2023'!H321</f>
        <v>1177278.69</v>
      </c>
      <c r="I10" s="350">
        <f>'[2]06.2023'!H314+'[2]06.2023'!H316</f>
        <v>874334.08</v>
      </c>
      <c r="J10" s="350">
        <f>[3]IRPJ_CSLL_2023!$J$10</f>
        <v>874334.08</v>
      </c>
      <c r="K10" s="350">
        <f>[3]IRPJ_CSLL_2023!$K$10</f>
        <v>641593.48</v>
      </c>
      <c r="L10" s="350">
        <f>[3]IRPJ_CSLL_2023!$L$10</f>
        <v>755084.83000000007</v>
      </c>
      <c r="M10" s="350"/>
      <c r="N10" s="350"/>
      <c r="O10" s="350"/>
      <c r="P10" s="362"/>
    </row>
    <row r="11" spans="1:18" ht="18" thickBot="1" x14ac:dyDescent="0.35">
      <c r="A11" s="666" t="s">
        <v>1464</v>
      </c>
      <c r="B11" s="667"/>
      <c r="C11" s="668"/>
      <c r="D11" s="398">
        <f t="shared" ref="D11:O11" si="1">D9+D10</f>
        <v>1551424.2999999989</v>
      </c>
      <c r="E11" s="398">
        <f t="shared" si="1"/>
        <v>3906114.21</v>
      </c>
      <c r="F11" s="452">
        <f t="shared" si="1"/>
        <v>3162345.2800000068</v>
      </c>
      <c r="G11" s="400">
        <f t="shared" si="1"/>
        <v>3707314.2499999963</v>
      </c>
      <c r="H11" s="400">
        <f t="shared" si="1"/>
        <v>1334804.9099999988</v>
      </c>
      <c r="I11" s="400">
        <f t="shared" si="1"/>
        <v>3074926.6800000016</v>
      </c>
      <c r="J11" s="398">
        <f t="shared" si="1"/>
        <v>2047108.8700000066</v>
      </c>
      <c r="K11" s="398">
        <f t="shared" si="1"/>
        <v>2013366.6700000125</v>
      </c>
      <c r="L11" s="398">
        <f t="shared" si="1"/>
        <v>2189218.3200000096</v>
      </c>
      <c r="M11" s="398">
        <f t="shared" si="1"/>
        <v>0</v>
      </c>
      <c r="N11" s="398">
        <f t="shared" si="1"/>
        <v>0</v>
      </c>
      <c r="O11" s="398">
        <f t="shared" si="1"/>
        <v>0</v>
      </c>
      <c r="P11" s="362"/>
      <c r="Q11" s="303"/>
      <c r="R11" s="451"/>
    </row>
    <row r="12" spans="1:18" s="348" customFormat="1" ht="18" thickBot="1" x14ac:dyDescent="0.3">
      <c r="A12" s="677" t="s">
        <v>1447</v>
      </c>
      <c r="B12" s="678"/>
      <c r="C12" s="679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49"/>
    </row>
    <row r="13" spans="1:18" s="348" customFormat="1" x14ac:dyDescent="0.3">
      <c r="A13" s="694" t="s">
        <v>1446</v>
      </c>
      <c r="B13" s="480">
        <v>411111</v>
      </c>
      <c r="C13" s="481" t="s">
        <v>1428</v>
      </c>
      <c r="D13" s="482">
        <v>0</v>
      </c>
      <c r="E13" s="482">
        <v>0</v>
      </c>
      <c r="F13" s="482">
        <f>'[2]03.2022'!G1449</f>
        <v>0</v>
      </c>
      <c r="G13" s="482">
        <v>0</v>
      </c>
      <c r="H13" s="482">
        <v>0</v>
      </c>
      <c r="I13" s="482">
        <v>0</v>
      </c>
      <c r="J13" s="350">
        <f>[3]IRPJ_CSLL_2023!$J$13</f>
        <v>15848.95</v>
      </c>
      <c r="K13" s="350">
        <f>[3]IRPJ_CSLL_2023!$K$13</f>
        <v>33396</v>
      </c>
      <c r="L13" s="350">
        <f>SUMIF('Balancete 09.2023'!C:C,IRPJ_CSLL_2023!B13,'Balancete 09.2023'!I:I)</f>
        <v>33962.03</v>
      </c>
      <c r="M13" s="325"/>
      <c r="N13" s="325"/>
      <c r="O13" s="350"/>
      <c r="P13" s="450"/>
      <c r="Q13" s="515">
        <f t="shared" ref="Q13:Q26" si="2">L13*34%</f>
        <v>11547.090200000001</v>
      </c>
    </row>
    <row r="14" spans="1:18" s="348" customFormat="1" x14ac:dyDescent="0.3">
      <c r="A14" s="680"/>
      <c r="B14" s="480">
        <v>411113</v>
      </c>
      <c r="C14" s="481" t="s">
        <v>476</v>
      </c>
      <c r="D14" s="482">
        <v>0</v>
      </c>
      <c r="E14" s="482">
        <v>0</v>
      </c>
      <c r="F14" s="482">
        <f>'[2]03.2023'!H216</f>
        <v>5034.72</v>
      </c>
      <c r="G14" s="483">
        <f>'[2]04.2023'!H212</f>
        <v>28673.42</v>
      </c>
      <c r="H14" s="483">
        <f>'[2]05.2023'!H223</f>
        <v>45057.66</v>
      </c>
      <c r="I14" s="482">
        <f>'[2]06.2023'!H217</f>
        <v>51621.279999999999</v>
      </c>
      <c r="J14" s="350">
        <f>[3]IRPJ_CSLL_2023!$J$14</f>
        <v>51621.279999999999</v>
      </c>
      <c r="K14" s="350">
        <f>[3]IRPJ_CSLL_2023!$K$14</f>
        <v>59872.6</v>
      </c>
      <c r="L14" s="350">
        <f>SUMIF('Balancete 09.2023'!C:C,IRPJ_CSLL_2023!B14,'Balancete 09.2023'!I:I)</f>
        <v>59872.6</v>
      </c>
      <c r="M14" s="325"/>
      <c r="N14" s="325"/>
      <c r="O14" s="350"/>
      <c r="P14" s="450"/>
      <c r="Q14" s="515">
        <f t="shared" si="2"/>
        <v>20356.684000000001</v>
      </c>
    </row>
    <row r="15" spans="1:18" s="348" customFormat="1" x14ac:dyDescent="0.3">
      <c r="A15" s="680"/>
      <c r="B15" s="480">
        <v>411310</v>
      </c>
      <c r="C15" s="481" t="s">
        <v>207</v>
      </c>
      <c r="D15" s="483">
        <f>'[2]01.2023'!H220</f>
        <v>340</v>
      </c>
      <c r="E15" s="483">
        <f>'[2]02.2023'!H226</f>
        <v>680</v>
      </c>
      <c r="F15" s="482">
        <f>'[2]03.2023'!H230</f>
        <v>1020</v>
      </c>
      <c r="G15" s="483">
        <f>'[2]04.2023'!H226</f>
        <v>1360</v>
      </c>
      <c r="H15" s="483">
        <f>'[2]05.2023'!H237</f>
        <v>1700</v>
      </c>
      <c r="I15" s="482">
        <f>'[2]06.2023'!H232</f>
        <v>2030</v>
      </c>
      <c r="J15" s="350">
        <f>[3]IRPJ_CSLL_2023!$J$15</f>
        <v>2360</v>
      </c>
      <c r="K15" s="350">
        <f>[3]IRPJ_CSLL_2023!$K$15</f>
        <v>2690</v>
      </c>
      <c r="L15" s="350">
        <f>SUMIF('Balancete 09.2023'!C:C,IRPJ_CSLL_2023!B15,'Balancete 09.2023'!I:I)</f>
        <v>3020</v>
      </c>
      <c r="M15" s="325"/>
      <c r="N15" s="325"/>
      <c r="O15" s="350"/>
      <c r="P15" s="450"/>
      <c r="Q15" s="515">
        <f t="shared" si="2"/>
        <v>1026.8000000000002</v>
      </c>
    </row>
    <row r="16" spans="1:18" s="348" customFormat="1" x14ac:dyDescent="0.3">
      <c r="A16" s="680"/>
      <c r="B16" s="352">
        <v>416211</v>
      </c>
      <c r="C16" s="351" t="s">
        <v>1441</v>
      </c>
      <c r="D16" s="350">
        <f>'[2]01.2022'!G1557</f>
        <v>0</v>
      </c>
      <c r="E16" s="350">
        <v>0</v>
      </c>
      <c r="F16" s="350">
        <f>'[2]03.2022'!G1566</f>
        <v>0</v>
      </c>
      <c r="G16" s="350">
        <f>'[2]04.2022'!G1570</f>
        <v>0</v>
      </c>
      <c r="H16" s="350">
        <f>'[2]05.2022'!G1575</f>
        <v>0</v>
      </c>
      <c r="I16" s="350">
        <v>0</v>
      </c>
      <c r="J16" s="350">
        <f>[3]IRPJ_CSLL_2023!$J$16</f>
        <v>0</v>
      </c>
      <c r="K16" s="350">
        <f>[3]IRPJ_CSLL_2023!$K$16</f>
        <v>0</v>
      </c>
      <c r="L16" s="350">
        <f>SUMIF('Balancete 09.2023'!C:C,IRPJ_CSLL_2023!B16,'Balancete 09.2023'!I:I)</f>
        <v>0</v>
      </c>
      <c r="M16" s="350"/>
      <c r="N16" s="350"/>
      <c r="O16" s="350"/>
      <c r="P16" s="450"/>
      <c r="Q16" s="384">
        <f t="shared" si="2"/>
        <v>0</v>
      </c>
    </row>
    <row r="17" spans="1:20" x14ac:dyDescent="0.3">
      <c r="A17" s="680"/>
      <c r="B17" s="480">
        <v>421110</v>
      </c>
      <c r="C17" s="481" t="s">
        <v>1428</v>
      </c>
      <c r="D17" s="483">
        <f>'[2]01.2023'!H253</f>
        <v>18055.72</v>
      </c>
      <c r="E17" s="483">
        <f>'[2]02.2023'!H264</f>
        <v>22715.26</v>
      </c>
      <c r="F17" s="482">
        <f>'[2]03.2023'!H269</f>
        <v>22715.26</v>
      </c>
      <c r="G17" s="482">
        <f>'[2]04.2023'!H265</f>
        <v>22715.26</v>
      </c>
      <c r="H17" s="483">
        <f>'[2]05.2023'!H276</f>
        <v>22715.26</v>
      </c>
      <c r="I17" s="482">
        <f>'[2]06.2023'!H271</f>
        <v>22715.26</v>
      </c>
      <c r="J17" s="350">
        <f>[3]IRPJ_CSLL_2023!$J$17</f>
        <v>27764.2</v>
      </c>
      <c r="K17" s="350">
        <f>[3]IRPJ_CSLL_2023!$K$17</f>
        <v>43415.91</v>
      </c>
      <c r="L17" s="350">
        <f>SUMIF('Balancete 09.2023'!C:C,IRPJ_CSLL_2023!B17,'Balancete 09.2023'!I:I)</f>
        <v>53008.9</v>
      </c>
      <c r="M17" s="325"/>
      <c r="N17" s="325"/>
      <c r="O17" s="350"/>
      <c r="P17" s="362"/>
      <c r="Q17" s="515">
        <f t="shared" si="2"/>
        <v>18023.026000000002</v>
      </c>
    </row>
    <row r="18" spans="1:20" x14ac:dyDescent="0.3">
      <c r="A18" s="680"/>
      <c r="B18" s="480">
        <v>421112</v>
      </c>
      <c r="C18" s="481" t="s">
        <v>476</v>
      </c>
      <c r="D18" s="482">
        <f>'[2]01.2022'!G1581</f>
        <v>0</v>
      </c>
      <c r="E18" s="482">
        <v>0</v>
      </c>
      <c r="F18" s="482">
        <f>'[2]03.2023'!H270</f>
        <v>7573.41</v>
      </c>
      <c r="G18" s="482">
        <f>'[2]04.2023'!H266</f>
        <v>7573.41</v>
      </c>
      <c r="H18" s="482">
        <f>'[2]05.2023'!H277</f>
        <v>7573.41</v>
      </c>
      <c r="I18" s="482">
        <f>'[2]06.2023'!H272</f>
        <v>7573.41</v>
      </c>
      <c r="J18" s="350">
        <f>[3]IRPJ_CSLL_2023!$J$18</f>
        <v>7573.41</v>
      </c>
      <c r="K18" s="350">
        <f>[3]IRPJ_CSLL_2023!$K$18</f>
        <v>7573.41</v>
      </c>
      <c r="L18" s="350">
        <f>SUMIF('Balancete 09.2023'!C:C,IRPJ_CSLL_2023!B18,'Balancete 09.2023'!I:I)</f>
        <v>23536.07</v>
      </c>
      <c r="M18" s="350"/>
      <c r="N18" s="350"/>
      <c r="O18" s="350"/>
      <c r="P18" s="362"/>
      <c r="Q18" s="515">
        <f t="shared" si="2"/>
        <v>8002.2638000000006</v>
      </c>
    </row>
    <row r="19" spans="1:20" x14ac:dyDescent="0.3">
      <c r="A19" s="680"/>
      <c r="B19" s="480">
        <v>421310</v>
      </c>
      <c r="C19" s="481" t="s">
        <v>207</v>
      </c>
      <c r="D19" s="483">
        <f>'[2]01.2023'!H268</f>
        <v>624</v>
      </c>
      <c r="E19" s="483">
        <f>'[2]02.2023'!H279</f>
        <v>1250</v>
      </c>
      <c r="F19" s="482">
        <f>'[2]03.2023'!H285</f>
        <v>1876</v>
      </c>
      <c r="G19" s="483">
        <f>'[2]04.2023'!H281</f>
        <v>2502</v>
      </c>
      <c r="H19" s="483">
        <f>'[2]05.2023'!H292</f>
        <v>3128</v>
      </c>
      <c r="I19" s="482">
        <f>'[2]06.2023'!H287</f>
        <v>3751</v>
      </c>
      <c r="J19" s="350">
        <f>[3]IRPJ_CSLL_2023!$J$19</f>
        <v>4374</v>
      </c>
      <c r="K19" s="350">
        <f>[3]IRPJ_CSLL_2023!$K$19</f>
        <v>4997</v>
      </c>
      <c r="L19" s="350">
        <f>SUMIF('Balancete 09.2023'!C:C,IRPJ_CSLL_2023!B19,'Balancete 09.2023'!I:I)</f>
        <v>5622</v>
      </c>
      <c r="M19" s="325"/>
      <c r="N19" s="325"/>
      <c r="O19" s="350"/>
      <c r="P19" s="362"/>
      <c r="Q19" s="515">
        <f t="shared" si="2"/>
        <v>1911.4800000000002</v>
      </c>
    </row>
    <row r="20" spans="1:20" x14ac:dyDescent="0.3">
      <c r="A20" s="680"/>
      <c r="B20" s="480">
        <v>42541</v>
      </c>
      <c r="C20" s="484" t="s">
        <v>1445</v>
      </c>
      <c r="D20" s="482">
        <f>'[2]01.2022'!G1673</f>
        <v>0</v>
      </c>
      <c r="E20" s="482">
        <v>0</v>
      </c>
      <c r="F20" s="482">
        <v>0</v>
      </c>
      <c r="G20" s="482">
        <v>0</v>
      </c>
      <c r="H20" s="482">
        <v>0</v>
      </c>
      <c r="I20" s="482">
        <v>16350.89</v>
      </c>
      <c r="J20" s="350">
        <f>[3]IRPJ_CSLL_2023!$J$20</f>
        <v>16350.89</v>
      </c>
      <c r="K20" s="350">
        <f>[3]IRPJ_CSLL_2023!$K$20</f>
        <v>16350.89</v>
      </c>
      <c r="L20" s="350">
        <f>SUMIF('Balancete 09.2023'!C:C,IRPJ_CSLL_2023!B20,'Balancete 09.2023'!I:I)</f>
        <v>16350.89</v>
      </c>
      <c r="M20" s="325"/>
      <c r="N20" s="325"/>
      <c r="O20" s="350"/>
      <c r="P20" s="362"/>
      <c r="Q20" s="515">
        <f t="shared" si="2"/>
        <v>5559.3026</v>
      </c>
    </row>
    <row r="21" spans="1:20" x14ac:dyDescent="0.3">
      <c r="A21" s="680"/>
      <c r="B21" s="352">
        <v>42542</v>
      </c>
      <c r="C21" s="351" t="s">
        <v>1444</v>
      </c>
      <c r="D21" s="350">
        <f>'[2]01.2022'!G1674</f>
        <v>0</v>
      </c>
      <c r="E21" s="350">
        <v>0</v>
      </c>
      <c r="F21" s="350">
        <v>0</v>
      </c>
      <c r="G21" s="350">
        <f>'[2]04.2022'!G1687</f>
        <v>0</v>
      </c>
      <c r="H21" s="350">
        <f>'[2]05.2022'!G1692</f>
        <v>0</v>
      </c>
      <c r="I21" s="350">
        <v>0</v>
      </c>
      <c r="J21" s="350">
        <f>[3]IRPJ_CSLL_2023!$J$21</f>
        <v>0</v>
      </c>
      <c r="K21" s="350">
        <f>[3]IRPJ_CSLL_2023!$K$21</f>
        <v>0</v>
      </c>
      <c r="L21" s="350">
        <f>SUMIF('Balancete 09.2023'!C:C,IRPJ_CSLL_2023!B21,'Balancete 09.2023'!I:I)</f>
        <v>0</v>
      </c>
      <c r="M21" s="350"/>
      <c r="N21" s="350"/>
      <c r="O21" s="350"/>
      <c r="P21" s="362"/>
      <c r="Q21" s="384">
        <f t="shared" si="2"/>
        <v>0</v>
      </c>
      <c r="T21" s="300">
        <v>11</v>
      </c>
    </row>
    <row r="22" spans="1:20" x14ac:dyDescent="0.3">
      <c r="A22" s="680"/>
      <c r="B22" s="352">
        <v>42543</v>
      </c>
      <c r="C22" s="336" t="s">
        <v>490</v>
      </c>
      <c r="D22" s="350">
        <f>'[2]01.2022'!G1675</f>
        <v>0</v>
      </c>
      <c r="E22" s="350">
        <v>0</v>
      </c>
      <c r="F22" s="350">
        <v>0</v>
      </c>
      <c r="G22" s="350">
        <f>'[2]04.2022'!G1688</f>
        <v>0</v>
      </c>
      <c r="H22" s="350">
        <f>'[2]05.2022'!G1693</f>
        <v>0</v>
      </c>
      <c r="I22" s="350">
        <v>0</v>
      </c>
      <c r="J22" s="350">
        <f>[3]IRPJ_CSLL_2023!$J$22</f>
        <v>0</v>
      </c>
      <c r="K22" s="350">
        <f>[3]IRPJ_CSLL_2023!$K$22</f>
        <v>0</v>
      </c>
      <c r="L22" s="350">
        <f>SUMIF('Balancete 09.2023'!C:C,IRPJ_CSLL_2023!B22,'Balancete 09.2023'!I:I)</f>
        <v>0</v>
      </c>
      <c r="M22" s="325"/>
      <c r="N22" s="325"/>
      <c r="O22" s="350"/>
      <c r="P22" s="362"/>
      <c r="Q22" s="384">
        <f t="shared" si="2"/>
        <v>0</v>
      </c>
      <c r="R22" s="303"/>
    </row>
    <row r="23" spans="1:20" x14ac:dyDescent="0.3">
      <c r="A23" s="680"/>
      <c r="B23" s="352">
        <v>42544</v>
      </c>
      <c r="C23" s="336" t="s">
        <v>1463</v>
      </c>
      <c r="D23" s="350">
        <v>0</v>
      </c>
      <c r="E23" s="350">
        <v>0</v>
      </c>
      <c r="F23" s="350">
        <v>0</v>
      </c>
      <c r="G23" s="350">
        <v>0</v>
      </c>
      <c r="H23" s="350">
        <v>0</v>
      </c>
      <c r="I23" s="350">
        <v>0</v>
      </c>
      <c r="J23" s="350">
        <f>[3]IRPJ_CSLL_2023!$J$23</f>
        <v>0</v>
      </c>
      <c r="K23" s="350">
        <f>[3]IRPJ_CSLL_2023!$K$23</f>
        <v>0</v>
      </c>
      <c r="L23" s="350">
        <f>SUMIF('Balancete 09.2023'!C:C,IRPJ_CSLL_2023!B23,'Balancete 09.2023'!I:I)</f>
        <v>0</v>
      </c>
      <c r="M23" s="325"/>
      <c r="N23" s="325"/>
      <c r="O23" s="350"/>
      <c r="P23" s="362"/>
      <c r="Q23" s="384">
        <f t="shared" si="2"/>
        <v>0</v>
      </c>
    </row>
    <row r="24" spans="1:20" x14ac:dyDescent="0.3">
      <c r="A24" s="680"/>
      <c r="B24" s="480">
        <v>42720</v>
      </c>
      <c r="C24" s="484" t="s">
        <v>1442</v>
      </c>
      <c r="D24" s="483">
        <f>'[2]01.2023'!H310</f>
        <v>20735.650000000001</v>
      </c>
      <c r="E24" s="483">
        <f>'[2]02.2023'!H332</f>
        <v>41471.300000000003</v>
      </c>
      <c r="F24" s="483">
        <f>'[2]03.2023'!H340</f>
        <v>1522061.72</v>
      </c>
      <c r="G24" s="483">
        <f>'[2]04.2023'!H336</f>
        <v>1551678.52</v>
      </c>
      <c r="H24" s="483">
        <f>'[2]05.2023'!H348</f>
        <v>1581295.32</v>
      </c>
      <c r="I24" s="482">
        <f>Planilha5!E36</f>
        <v>1602676.9200000002</v>
      </c>
      <c r="J24" s="350">
        <f>[3]IRPJ_CSLL_2023!$J$24</f>
        <v>1070802.1399999999</v>
      </c>
      <c r="K24" s="350">
        <f>[3]IRPJ_CSLL_2023!$K$24</f>
        <v>1179238.45</v>
      </c>
      <c r="L24" s="350">
        <f>SUMIF('Balancete 09.2023'!C:C,IRPJ_CSLL_2023!B24,'Balancete 09.2023'!I:I)</f>
        <v>1663157.5</v>
      </c>
      <c r="M24" s="325"/>
      <c r="N24" s="325"/>
      <c r="O24" s="350"/>
      <c r="P24" s="362"/>
      <c r="Q24" s="515">
        <f>L24*34%</f>
        <v>565473.55000000005</v>
      </c>
      <c r="R24" s="303">
        <f>I24-F24</f>
        <v>80615.200000000186</v>
      </c>
      <c r="S24" s="303">
        <f>R24*34%</f>
        <v>27409.168000000067</v>
      </c>
    </row>
    <row r="25" spans="1:20" x14ac:dyDescent="0.3">
      <c r="A25" s="680"/>
      <c r="B25" s="480">
        <v>426213</v>
      </c>
      <c r="C25" s="481" t="s">
        <v>1441</v>
      </c>
      <c r="D25" s="483">
        <f>'[2]01.2023'!H304</f>
        <v>4980.5</v>
      </c>
      <c r="E25" s="483">
        <f>'[2]02.2023'!H326</f>
        <v>4980.5</v>
      </c>
      <c r="F25" s="482">
        <f>'[2]03.2023'!H334</f>
        <v>0</v>
      </c>
      <c r="G25" s="482">
        <v>0</v>
      </c>
      <c r="H25" s="482">
        <v>0</v>
      </c>
      <c r="I25" s="482">
        <v>0</v>
      </c>
      <c r="J25" s="350">
        <f>[3]IRPJ_CSLL_2023!$J$25</f>
        <v>0</v>
      </c>
      <c r="K25" s="350">
        <f>[3]IRPJ_CSLL_2023!$K$25</f>
        <v>0</v>
      </c>
      <c r="L25" s="350">
        <f>SUMIF('Balancete 09.2023'!C:C,IRPJ_CSLL_2023!B25,'Balancete 09.2023'!I:I)</f>
        <v>0</v>
      </c>
      <c r="M25" s="325"/>
      <c r="N25" s="325"/>
      <c r="O25" s="350"/>
      <c r="P25" s="362"/>
      <c r="Q25" s="384">
        <f t="shared" si="2"/>
        <v>0</v>
      </c>
    </row>
    <row r="26" spans="1:20" ht="18" thickBot="1" x14ac:dyDescent="0.35">
      <c r="A26" s="680"/>
      <c r="B26" s="352">
        <v>427121</v>
      </c>
      <c r="C26" s="336" t="s">
        <v>1251</v>
      </c>
      <c r="D26" s="350">
        <f>'[2]01.2022'!G1729</f>
        <v>0</v>
      </c>
      <c r="E26" s="350">
        <v>0</v>
      </c>
      <c r="F26" s="350">
        <v>0</v>
      </c>
      <c r="G26" s="350">
        <f>'[2]04.2022'!G1743</f>
        <v>0</v>
      </c>
      <c r="H26" s="350">
        <f>'[2]05.2022'!G1748</f>
        <v>0</v>
      </c>
      <c r="I26" s="350">
        <v>0</v>
      </c>
      <c r="J26" s="350">
        <f>[3]IRPJ_CSLL_2023!$J$26</f>
        <v>0</v>
      </c>
      <c r="K26" s="350">
        <f>[3]IRPJ_CSLL_2023!$K$26</f>
        <v>0</v>
      </c>
      <c r="L26" s="350">
        <f>SUMIF('Balancete 09.2023'!C:C,IRPJ_CSLL_2023!B26,'Balancete 09.2023'!I:I)</f>
        <v>0</v>
      </c>
      <c r="M26" s="350">
        <v>0</v>
      </c>
      <c r="N26" s="350">
        <v>0</v>
      </c>
      <c r="O26" s="350">
        <v>0</v>
      </c>
      <c r="P26" s="362"/>
      <c r="Q26" s="384">
        <f t="shared" si="2"/>
        <v>0</v>
      </c>
    </row>
    <row r="27" spans="1:20" s="348" customFormat="1" ht="18" thickBot="1" x14ac:dyDescent="0.3">
      <c r="A27" s="677" t="s">
        <v>1440</v>
      </c>
      <c r="B27" s="678"/>
      <c r="C27" s="679"/>
      <c r="D27" s="449">
        <f t="shared" ref="D27:O27" si="3">SUM(D13:D26)</f>
        <v>44735.87</v>
      </c>
      <c r="E27" s="449">
        <f t="shared" si="3"/>
        <v>71097.06</v>
      </c>
      <c r="F27" s="449">
        <f t="shared" si="3"/>
        <v>1560281.1099999999</v>
      </c>
      <c r="G27" s="449">
        <f t="shared" si="3"/>
        <v>1614502.61</v>
      </c>
      <c r="H27" s="449">
        <f t="shared" si="3"/>
        <v>1661469.6500000001</v>
      </c>
      <c r="I27" s="449">
        <f t="shared" si="3"/>
        <v>1706718.7600000002</v>
      </c>
      <c r="J27" s="449">
        <f t="shared" si="3"/>
        <v>1196694.8699999999</v>
      </c>
      <c r="K27" s="449">
        <f t="shared" si="3"/>
        <v>1347534.26</v>
      </c>
      <c r="L27" s="449">
        <f>SUM(L13:L26)</f>
        <v>1858529.99</v>
      </c>
      <c r="M27" s="449">
        <f t="shared" si="3"/>
        <v>0</v>
      </c>
      <c r="N27" s="449">
        <f t="shared" si="3"/>
        <v>0</v>
      </c>
      <c r="O27" s="449">
        <f t="shared" si="3"/>
        <v>0</v>
      </c>
      <c r="P27" s="349"/>
      <c r="Q27" s="514">
        <f>-L27*34%</f>
        <v>-631900.19660000002</v>
      </c>
      <c r="R27" s="448"/>
    </row>
    <row r="28" spans="1:20" s="348" customFormat="1" ht="18" thickBot="1" x14ac:dyDescent="0.3">
      <c r="A28" s="681" t="s">
        <v>1439</v>
      </c>
      <c r="B28" s="682"/>
      <c r="C28" s="683"/>
      <c r="D28" s="382"/>
      <c r="E28" s="382"/>
      <c r="F28" s="383"/>
      <c r="G28" s="447"/>
      <c r="H28" s="447"/>
      <c r="I28" s="382"/>
      <c r="J28" s="382"/>
      <c r="K28" s="382"/>
      <c r="L28" s="382"/>
      <c r="M28" s="382"/>
      <c r="N28" s="382"/>
      <c r="O28" s="382"/>
      <c r="P28" s="349"/>
    </row>
    <row r="29" spans="1:20" s="440" customFormat="1" ht="15.75" customHeight="1" x14ac:dyDescent="0.3">
      <c r="A29" s="695" t="s">
        <v>1438</v>
      </c>
      <c r="B29" s="352">
        <v>33611</v>
      </c>
      <c r="C29" s="336" t="s">
        <v>1246</v>
      </c>
      <c r="D29" s="442">
        <f>'[2]01.2022'!G1398</f>
        <v>0</v>
      </c>
      <c r="E29" s="442">
        <v>0</v>
      </c>
      <c r="F29" s="442">
        <v>0</v>
      </c>
      <c r="G29" s="442">
        <v>0</v>
      </c>
      <c r="H29" s="442">
        <f>'[2]05.2022'!G1416</f>
        <v>0</v>
      </c>
      <c r="I29" s="442">
        <v>0</v>
      </c>
      <c r="J29" s="442">
        <f>[3]IRPJ_CSLL_2023!$J$29</f>
        <v>0</v>
      </c>
      <c r="K29" s="442">
        <f>[3]IRPJ_CSLL_2023!$K$29</f>
        <v>0</v>
      </c>
      <c r="L29" s="442">
        <f>[3]IRPJ_CSLL_2023!$L$29</f>
        <v>12400</v>
      </c>
      <c r="M29" s="442">
        <v>0</v>
      </c>
      <c r="N29" s="442">
        <v>0</v>
      </c>
      <c r="O29" s="442">
        <f>'[2]12.2021'!G210</f>
        <v>0</v>
      </c>
      <c r="P29" s="441"/>
    </row>
    <row r="30" spans="1:20" s="440" customFormat="1" ht="18" customHeight="1" x14ac:dyDescent="0.3">
      <c r="A30" s="696"/>
      <c r="B30" s="376">
        <v>33612</v>
      </c>
      <c r="C30" s="360" t="s">
        <v>194</v>
      </c>
      <c r="D30" s="442">
        <f>'[2]01.2022'!G1399</f>
        <v>0</v>
      </c>
      <c r="E30" s="442">
        <v>0</v>
      </c>
      <c r="F30" s="442">
        <v>0</v>
      </c>
      <c r="G30" s="442">
        <v>0</v>
      </c>
      <c r="H30" s="342">
        <v>0</v>
      </c>
      <c r="I30" s="342">
        <v>0</v>
      </c>
      <c r="J30" s="604">
        <f>[3]IRPJ_CSLL_2023!$J$30</f>
        <v>0</v>
      </c>
      <c r="K30" s="604">
        <f>[3]IRPJ_CSLL_2023!$K$30</f>
        <v>0</v>
      </c>
      <c r="L30" s="604">
        <f>[3]IRPJ_CSLL_2023!$L$30</f>
        <v>0</v>
      </c>
      <c r="M30" s="446"/>
      <c r="N30" s="445"/>
      <c r="O30" s="444"/>
      <c r="P30" s="441"/>
    </row>
    <row r="31" spans="1:20" s="440" customFormat="1" ht="18" customHeight="1" thickBot="1" x14ac:dyDescent="0.35">
      <c r="A31" s="443"/>
      <c r="B31" s="376">
        <v>33613</v>
      </c>
      <c r="C31" s="360" t="s">
        <v>471</v>
      </c>
      <c r="D31" s="442">
        <f>'[2]01.2022'!G1400</f>
        <v>0</v>
      </c>
      <c r="E31" s="442">
        <v>0</v>
      </c>
      <c r="F31" s="442">
        <v>0</v>
      </c>
      <c r="G31" s="342">
        <v>0</v>
      </c>
      <c r="H31" s="342">
        <f>'[2]05.2022'!G1418</f>
        <v>0</v>
      </c>
      <c r="I31" s="342">
        <f>-Planilha5!G34</f>
        <v>640310.85</v>
      </c>
      <c r="J31" s="342">
        <f>[3]IRPJ_CSLL_2023!$J$31</f>
        <v>0</v>
      </c>
      <c r="K31" s="342">
        <f>[3]IRPJ_CSLL_2023!$K$31</f>
        <v>0</v>
      </c>
      <c r="L31" s="342">
        <f>[3]IRPJ_CSLL_2023!$L$31</f>
        <v>0</v>
      </c>
      <c r="M31" s="342"/>
      <c r="N31" s="342"/>
      <c r="O31" s="342"/>
      <c r="P31" s="441"/>
    </row>
    <row r="32" spans="1:20" s="348" customFormat="1" ht="18" thickBot="1" x14ac:dyDescent="0.35">
      <c r="A32" s="684" t="s">
        <v>1437</v>
      </c>
      <c r="B32" s="685"/>
      <c r="C32" s="686"/>
      <c r="D32" s="374">
        <f>SUM(D29:D31)</f>
        <v>0</v>
      </c>
      <c r="E32" s="374">
        <f>SUM(E29:E31)</f>
        <v>0</v>
      </c>
      <c r="F32" s="439">
        <f>SUM(F29:F31)</f>
        <v>0</v>
      </c>
      <c r="G32" s="438">
        <f>SUM(G29:G31)</f>
        <v>0</v>
      </c>
      <c r="H32" s="438">
        <f t="shared" ref="H32:M32" si="4">SUM(H29:H30)</f>
        <v>0</v>
      </c>
      <c r="I32" s="438">
        <f>SUM(I29:I31)</f>
        <v>640310.85</v>
      </c>
      <c r="J32" s="372">
        <f t="shared" si="4"/>
        <v>0</v>
      </c>
      <c r="K32" s="373">
        <f t="shared" si="4"/>
        <v>0</v>
      </c>
      <c r="L32" s="372">
        <f t="shared" si="4"/>
        <v>12400</v>
      </c>
      <c r="M32" s="372">
        <f t="shared" si="4"/>
        <v>0</v>
      </c>
      <c r="N32" s="373">
        <f>SUM(N29:N31)</f>
        <v>0</v>
      </c>
      <c r="O32" s="373">
        <f>SUM(O29:O31)</f>
        <v>0</v>
      </c>
      <c r="P32" s="349"/>
      <c r="Q32" s="384">
        <f>L32*34%</f>
        <v>4216</v>
      </c>
    </row>
    <row r="33" spans="1:18" x14ac:dyDescent="0.3">
      <c r="A33" s="437" t="s">
        <v>1462</v>
      </c>
      <c r="B33" s="345"/>
      <c r="C33" s="345"/>
      <c r="D33" s="432">
        <f t="shared" ref="D33:O33" si="5">D11+D27-D32</f>
        <v>1596160.169999999</v>
      </c>
      <c r="E33" s="432">
        <f t="shared" si="5"/>
        <v>3977211.27</v>
      </c>
      <c r="F33" s="436">
        <f t="shared" si="5"/>
        <v>4722626.3900000062</v>
      </c>
      <c r="G33" s="435">
        <f t="shared" si="5"/>
        <v>5321816.8599999966</v>
      </c>
      <c r="H33" s="434">
        <f t="shared" si="5"/>
        <v>2996274.5599999987</v>
      </c>
      <c r="I33" s="433">
        <f t="shared" si="5"/>
        <v>4141334.5900000012</v>
      </c>
      <c r="J33" s="432">
        <f t="shared" si="5"/>
        <v>3243803.7400000067</v>
      </c>
      <c r="K33" s="432">
        <f t="shared" si="5"/>
        <v>3360900.9300000127</v>
      </c>
      <c r="L33" s="433">
        <f t="shared" si="5"/>
        <v>4035348.3100000098</v>
      </c>
      <c r="M33" s="432">
        <f t="shared" si="5"/>
        <v>0</v>
      </c>
      <c r="N33" s="432">
        <f t="shared" si="5"/>
        <v>0</v>
      </c>
      <c r="O33" s="431">
        <f t="shared" si="5"/>
        <v>0</v>
      </c>
    </row>
    <row r="34" spans="1:18" ht="18" thickBot="1" x14ac:dyDescent="0.35">
      <c r="A34" s="336" t="s">
        <v>1461</v>
      </c>
      <c r="B34" s="336"/>
      <c r="C34" s="336"/>
      <c r="D34" s="325">
        <f t="shared" ref="D34:M34" si="6">-D33*30%</f>
        <v>-478848.05099999969</v>
      </c>
      <c r="E34" s="325">
        <f t="shared" si="6"/>
        <v>-1193163.3810000001</v>
      </c>
      <c r="F34" s="325">
        <f t="shared" si="6"/>
        <v>-1416787.9170000018</v>
      </c>
      <c r="G34" s="325">
        <f t="shared" si="6"/>
        <v>-1596545.057999999</v>
      </c>
      <c r="H34" s="430">
        <f t="shared" si="6"/>
        <v>-898882.36799999955</v>
      </c>
      <c r="I34" s="325">
        <f t="shared" si="6"/>
        <v>-1242400.3770000003</v>
      </c>
      <c r="J34" s="325">
        <f t="shared" si="6"/>
        <v>-973141.12200000195</v>
      </c>
      <c r="K34" s="325">
        <f t="shared" si="6"/>
        <v>-1008270.2790000038</v>
      </c>
      <c r="L34" s="325">
        <f t="shared" si="6"/>
        <v>-1210604.4930000028</v>
      </c>
      <c r="M34" s="325">
        <f t="shared" si="6"/>
        <v>0</v>
      </c>
      <c r="N34" s="325">
        <v>0</v>
      </c>
      <c r="O34" s="325">
        <v>0</v>
      </c>
      <c r="P34" s="358"/>
    </row>
    <row r="35" spans="1:18" ht="18" thickBot="1" x14ac:dyDescent="0.35">
      <c r="A35" s="662" t="s">
        <v>1434</v>
      </c>
      <c r="B35" s="663"/>
      <c r="C35" s="664"/>
      <c r="D35" s="429">
        <f t="shared" ref="D35:O35" si="7">D33+D34</f>
        <v>1117312.1189999992</v>
      </c>
      <c r="E35" s="429">
        <f t="shared" si="7"/>
        <v>2784047.889</v>
      </c>
      <c r="F35" s="429">
        <f t="shared" si="7"/>
        <v>3305838.4730000044</v>
      </c>
      <c r="G35" s="344">
        <f t="shared" si="7"/>
        <v>3725271.8019999973</v>
      </c>
      <c r="H35" s="344">
        <f t="shared" si="7"/>
        <v>2097392.1919999989</v>
      </c>
      <c r="I35" s="344">
        <f t="shared" si="7"/>
        <v>2898934.2130000009</v>
      </c>
      <c r="J35" s="429">
        <f t="shared" si="7"/>
        <v>2270662.6180000049</v>
      </c>
      <c r="K35" s="429">
        <f t="shared" si="7"/>
        <v>2352630.6510000089</v>
      </c>
      <c r="L35" s="344">
        <f t="shared" si="7"/>
        <v>2824743.8170000073</v>
      </c>
      <c r="M35" s="429">
        <f t="shared" si="7"/>
        <v>0</v>
      </c>
      <c r="N35" s="429">
        <f t="shared" si="7"/>
        <v>0</v>
      </c>
      <c r="O35" s="429">
        <f t="shared" si="7"/>
        <v>0</v>
      </c>
    </row>
    <row r="36" spans="1:18" ht="18" thickBot="1" x14ac:dyDescent="0.35">
      <c r="A36" s="666" t="s">
        <v>1460</v>
      </c>
      <c r="B36" s="667"/>
      <c r="C36" s="668">
        <f>IF(C34&gt;0,C34*9%,0)</f>
        <v>0</v>
      </c>
      <c r="D36" s="398">
        <f t="shared" ref="D36:I36" si="8">IF(D35&gt;0,D35*0.09,0)</f>
        <v>100558.09070999993</v>
      </c>
      <c r="E36" s="428">
        <f t="shared" si="8"/>
        <v>250564.31000999999</v>
      </c>
      <c r="F36" s="427">
        <f t="shared" si="8"/>
        <v>297525.46257000038</v>
      </c>
      <c r="G36" s="427">
        <f t="shared" si="8"/>
        <v>335274.46217999974</v>
      </c>
      <c r="H36" s="427">
        <f t="shared" si="8"/>
        <v>188765.29727999988</v>
      </c>
      <c r="I36" s="427">
        <f t="shared" si="8"/>
        <v>260904.07917000007</v>
      </c>
      <c r="J36" s="398">
        <f>IF(J35&gt;0,J35*0.09,0)</f>
        <v>204359.63562000042</v>
      </c>
      <c r="K36" s="398">
        <f t="shared" ref="K36:O36" si="9">IF(K35&gt;0,K35*0.09,0)</f>
        <v>211736.7585900008</v>
      </c>
      <c r="L36" s="398">
        <f t="shared" si="9"/>
        <v>254226.94353000063</v>
      </c>
      <c r="M36" s="398">
        <f t="shared" si="9"/>
        <v>0</v>
      </c>
      <c r="N36" s="398">
        <f t="shared" si="9"/>
        <v>0</v>
      </c>
      <c r="O36" s="398">
        <f t="shared" si="9"/>
        <v>0</v>
      </c>
      <c r="P36" s="426"/>
      <c r="Q36" s="302"/>
      <c r="R36" s="303"/>
    </row>
    <row r="37" spans="1:18" x14ac:dyDescent="0.3">
      <c r="A37" s="336"/>
      <c r="B37" s="335"/>
      <c r="C37" s="335"/>
      <c r="D37" s="333"/>
      <c r="E37" s="333"/>
      <c r="F37" s="425"/>
      <c r="G37" s="333"/>
      <c r="H37" s="424"/>
      <c r="I37" s="333"/>
      <c r="J37" s="333"/>
      <c r="K37" s="333"/>
      <c r="L37" s="333"/>
      <c r="M37" s="333"/>
      <c r="N37" s="333"/>
      <c r="O37" s="333"/>
    </row>
    <row r="38" spans="1:18" x14ac:dyDescent="0.3">
      <c r="A38" s="688" t="s">
        <v>1459</v>
      </c>
      <c r="B38" s="689"/>
      <c r="C38" s="690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</row>
    <row r="39" spans="1:18" x14ac:dyDescent="0.3">
      <c r="A39" s="336" t="s">
        <v>1458</v>
      </c>
      <c r="B39" s="335"/>
      <c r="C39" s="335">
        <v>0</v>
      </c>
      <c r="D39" s="341">
        <f>C44</f>
        <v>0</v>
      </c>
      <c r="E39" s="341">
        <f>D44</f>
        <v>100558.09070999993</v>
      </c>
      <c r="F39" s="341">
        <f>E42+E44</f>
        <v>250564.31000999999</v>
      </c>
      <c r="G39" s="341">
        <f>F42+F44</f>
        <v>297525.46257000038</v>
      </c>
      <c r="H39" s="341">
        <f>G42+G44</f>
        <v>335274.46217999974</v>
      </c>
      <c r="I39" s="341">
        <f>H42</f>
        <v>335274.46217999974</v>
      </c>
      <c r="J39" s="341">
        <f>I42</f>
        <v>335274.46217999974</v>
      </c>
      <c r="K39" s="341">
        <f>J42</f>
        <v>335274.46217999974</v>
      </c>
      <c r="L39" s="341">
        <f>K42</f>
        <v>335274.46217999974</v>
      </c>
      <c r="M39" s="341">
        <f t="shared" ref="M39:O39" si="10">L42+L44</f>
        <v>254226.94353000063</v>
      </c>
      <c r="N39" s="341">
        <f t="shared" si="10"/>
        <v>0</v>
      </c>
      <c r="O39" s="341">
        <f t="shared" si="10"/>
        <v>0</v>
      </c>
    </row>
    <row r="40" spans="1:18" x14ac:dyDescent="0.3">
      <c r="A40" s="336" t="s">
        <v>1457</v>
      </c>
      <c r="B40" s="340"/>
      <c r="C40" s="340">
        <v>0</v>
      </c>
      <c r="D40" s="423">
        <v>0</v>
      </c>
      <c r="E40" s="333">
        <v>0</v>
      </c>
      <c r="F40" s="333">
        <v>0</v>
      </c>
      <c r="G40" s="333">
        <v>0</v>
      </c>
      <c r="H40" s="333">
        <v>0</v>
      </c>
      <c r="I40" s="333">
        <v>0</v>
      </c>
      <c r="J40" s="333">
        <v>0</v>
      </c>
      <c r="K40" s="333">
        <v>0</v>
      </c>
      <c r="L40" s="333">
        <v>0</v>
      </c>
      <c r="M40" s="333">
        <v>0</v>
      </c>
      <c r="N40" s="333">
        <v>0</v>
      </c>
      <c r="O40" s="333">
        <v>0</v>
      </c>
    </row>
    <row r="41" spans="1:18" ht="18" thickBot="1" x14ac:dyDescent="0.35">
      <c r="A41" s="336"/>
      <c r="B41" s="335"/>
      <c r="C41" s="335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</row>
    <row r="42" spans="1:18" ht="18" thickBot="1" x14ac:dyDescent="0.35">
      <c r="A42" s="666" t="s">
        <v>1456</v>
      </c>
      <c r="B42" s="667">
        <v>0</v>
      </c>
      <c r="C42" s="668">
        <f t="shared" ref="C42:O42" si="11">SUM(C39:C41)</f>
        <v>0</v>
      </c>
      <c r="D42" s="398">
        <f t="shared" si="11"/>
        <v>0</v>
      </c>
      <c r="E42" s="398">
        <f t="shared" si="11"/>
        <v>100558.09070999993</v>
      </c>
      <c r="F42" s="398">
        <f t="shared" si="11"/>
        <v>250564.31000999999</v>
      </c>
      <c r="G42" s="398">
        <f t="shared" si="11"/>
        <v>297525.46257000038</v>
      </c>
      <c r="H42" s="398">
        <f t="shared" si="11"/>
        <v>335274.46217999974</v>
      </c>
      <c r="I42" s="398">
        <f t="shared" si="11"/>
        <v>335274.46217999974</v>
      </c>
      <c r="J42" s="398">
        <f t="shared" si="11"/>
        <v>335274.46217999974</v>
      </c>
      <c r="K42" s="398">
        <f t="shared" si="11"/>
        <v>335274.46217999974</v>
      </c>
      <c r="L42" s="398">
        <f t="shared" si="11"/>
        <v>335274.46217999974</v>
      </c>
      <c r="M42" s="398">
        <f t="shared" si="11"/>
        <v>254226.94353000063</v>
      </c>
      <c r="N42" s="398">
        <f t="shared" si="11"/>
        <v>0</v>
      </c>
      <c r="O42" s="398">
        <f t="shared" si="11"/>
        <v>0</v>
      </c>
      <c r="P42" s="362"/>
    </row>
    <row r="43" spans="1:18" ht="18" thickBot="1" x14ac:dyDescent="0.35">
      <c r="A43" s="360"/>
      <c r="B43" s="359"/>
      <c r="C43" s="359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</row>
    <row r="44" spans="1:18" ht="21" thickBot="1" x14ac:dyDescent="0.35">
      <c r="A44" s="669" t="s">
        <v>1455</v>
      </c>
      <c r="B44" s="670"/>
      <c r="C44" s="671"/>
      <c r="D44" s="398">
        <f t="shared" ref="D44:O44" si="12">D36-D42</f>
        <v>100558.09070999993</v>
      </c>
      <c r="E44" s="398">
        <f t="shared" si="12"/>
        <v>150006.21930000006</v>
      </c>
      <c r="F44" s="398">
        <f t="shared" si="12"/>
        <v>46961.152560000395</v>
      </c>
      <c r="G44" s="398">
        <f t="shared" si="12"/>
        <v>37748.999609999359</v>
      </c>
      <c r="H44" s="398">
        <f t="shared" si="12"/>
        <v>-146509.16489999986</v>
      </c>
      <c r="I44" s="398">
        <f t="shared" si="12"/>
        <v>-74370.38300999967</v>
      </c>
      <c r="J44" s="398">
        <f t="shared" si="12"/>
        <v>-130914.82655999932</v>
      </c>
      <c r="K44" s="398">
        <f t="shared" si="12"/>
        <v>-123537.70358999894</v>
      </c>
      <c r="L44" s="398">
        <f t="shared" si="12"/>
        <v>-81047.51864999911</v>
      </c>
      <c r="M44" s="398">
        <f t="shared" si="12"/>
        <v>-254226.94353000063</v>
      </c>
      <c r="N44" s="398">
        <f t="shared" si="12"/>
        <v>0</v>
      </c>
      <c r="O44" s="398">
        <f t="shared" si="12"/>
        <v>0</v>
      </c>
      <c r="P44" s="362"/>
    </row>
    <row r="45" spans="1:18" x14ac:dyDescent="0.3">
      <c r="D45" s="300"/>
      <c r="E45" s="300"/>
      <c r="P45" s="362"/>
    </row>
    <row r="46" spans="1:18" x14ac:dyDescent="0.3">
      <c r="A46" s="422"/>
      <c r="B46" s="421"/>
      <c r="C46" s="421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362"/>
    </row>
    <row r="47" spans="1:18" x14ac:dyDescent="0.3">
      <c r="A47" s="419"/>
      <c r="B47" s="418"/>
      <c r="C47" s="418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362"/>
    </row>
    <row r="48" spans="1:18" x14ac:dyDescent="0.3">
      <c r="D48" s="300"/>
      <c r="E48" s="300"/>
      <c r="P48" s="362"/>
    </row>
    <row r="49" spans="1:18" x14ac:dyDescent="0.3">
      <c r="A49" s="672" t="s">
        <v>1454</v>
      </c>
      <c r="B49" s="416" t="s">
        <v>1453</v>
      </c>
      <c r="C49" s="415" t="s">
        <v>266</v>
      </c>
      <c r="D49" s="414" t="s">
        <v>1415</v>
      </c>
      <c r="E49" s="414" t="s">
        <v>1414</v>
      </c>
      <c r="F49" s="414" t="s">
        <v>1413</v>
      </c>
      <c r="G49" s="414" t="s">
        <v>1412</v>
      </c>
      <c r="H49" s="414" t="s">
        <v>1411</v>
      </c>
      <c r="I49" s="414" t="s">
        <v>1410</v>
      </c>
      <c r="J49" s="414" t="s">
        <v>1409</v>
      </c>
      <c r="K49" s="414" t="s">
        <v>1408</v>
      </c>
      <c r="L49" s="414" t="s">
        <v>1407</v>
      </c>
      <c r="M49" s="414" t="s">
        <v>1406</v>
      </c>
      <c r="N49" s="414" t="s">
        <v>1405</v>
      </c>
      <c r="O49" s="414" t="s">
        <v>1404</v>
      </c>
    </row>
    <row r="50" spans="1:18" x14ac:dyDescent="0.3">
      <c r="A50" s="673"/>
      <c r="B50" s="413">
        <v>3</v>
      </c>
      <c r="C50" s="336" t="s">
        <v>56</v>
      </c>
      <c r="D50" s="325">
        <f t="shared" ref="D50:O50" si="13">D7</f>
        <v>11891006.949999999</v>
      </c>
      <c r="E50" s="412">
        <f t="shared" si="13"/>
        <v>25385208.739999998</v>
      </c>
      <c r="F50" s="325">
        <f t="shared" si="13"/>
        <v>36035568.840000004</v>
      </c>
      <c r="G50" s="350">
        <f t="shared" si="13"/>
        <v>46564886.689999998</v>
      </c>
      <c r="H50" s="350">
        <f t="shared" si="13"/>
        <v>54608222.600000001</v>
      </c>
      <c r="I50" s="350">
        <f t="shared" si="13"/>
        <v>65865984.630000003</v>
      </c>
      <c r="J50" s="325">
        <f t="shared" si="13"/>
        <v>74616030.650000006</v>
      </c>
      <c r="K50" s="325">
        <f t="shared" si="13"/>
        <v>84809863.290000007</v>
      </c>
      <c r="L50" s="325">
        <f t="shared" si="13"/>
        <v>96064824.840000004</v>
      </c>
      <c r="M50" s="325">
        <f t="shared" si="13"/>
        <v>0</v>
      </c>
      <c r="N50" s="325">
        <f t="shared" si="13"/>
        <v>0</v>
      </c>
      <c r="O50" s="350">
        <f t="shared" si="13"/>
        <v>0</v>
      </c>
    </row>
    <row r="51" spans="1:18" x14ac:dyDescent="0.3">
      <c r="A51" s="411"/>
      <c r="B51" s="410">
        <v>4</v>
      </c>
      <c r="C51" s="360" t="s">
        <v>196</v>
      </c>
      <c r="D51" s="409">
        <f t="shared" ref="D51:O51" si="14">D8</f>
        <v>10339582.65</v>
      </c>
      <c r="E51" s="408">
        <f t="shared" si="14"/>
        <v>21832221.059999999</v>
      </c>
      <c r="F51" s="325">
        <f t="shared" si="14"/>
        <v>33776380.299999997</v>
      </c>
      <c r="G51" s="350">
        <f t="shared" si="14"/>
        <v>43920399.100000001</v>
      </c>
      <c r="H51" s="350">
        <f t="shared" si="14"/>
        <v>54450696.380000003</v>
      </c>
      <c r="I51" s="350">
        <f t="shared" si="14"/>
        <v>63665392.030000001</v>
      </c>
      <c r="J51" s="325">
        <f t="shared" si="14"/>
        <v>73443255.859999999</v>
      </c>
      <c r="K51" s="325">
        <f t="shared" si="14"/>
        <v>83438090.099999994</v>
      </c>
      <c r="L51" s="325">
        <f t="shared" si="14"/>
        <v>94630691.349999994</v>
      </c>
      <c r="M51" s="325">
        <f t="shared" si="14"/>
        <v>0</v>
      </c>
      <c r="N51" s="325">
        <f t="shared" si="14"/>
        <v>0</v>
      </c>
      <c r="O51" s="350">
        <f t="shared" si="14"/>
        <v>0</v>
      </c>
    </row>
    <row r="52" spans="1:18" ht="23.25" customHeight="1" x14ac:dyDescent="0.3">
      <c r="A52" s="674" t="s">
        <v>1452</v>
      </c>
      <c r="B52" s="675"/>
      <c r="C52" s="676"/>
      <c r="D52" s="406">
        <f t="shared" ref="D52:O52" si="15">D50-D51</f>
        <v>1551424.2999999989</v>
      </c>
      <c r="E52" s="406">
        <f t="shared" si="15"/>
        <v>3552987.6799999997</v>
      </c>
      <c r="F52" s="406">
        <f t="shared" si="15"/>
        <v>2259188.5400000066</v>
      </c>
      <c r="G52" s="405">
        <f t="shared" si="15"/>
        <v>2644487.5899999961</v>
      </c>
      <c r="H52" s="405">
        <f t="shared" si="15"/>
        <v>157526.21999999881</v>
      </c>
      <c r="I52" s="405">
        <f t="shared" si="15"/>
        <v>2200592.6000000015</v>
      </c>
      <c r="J52" s="406">
        <f t="shared" si="15"/>
        <v>1172774.7900000066</v>
      </c>
      <c r="K52" s="406">
        <f t="shared" si="15"/>
        <v>1371773.1900000125</v>
      </c>
      <c r="L52" s="406">
        <f t="shared" si="15"/>
        <v>1434133.4900000095</v>
      </c>
      <c r="M52" s="407">
        <f t="shared" si="15"/>
        <v>0</v>
      </c>
      <c r="N52" s="406">
        <f t="shared" si="15"/>
        <v>0</v>
      </c>
      <c r="O52" s="405">
        <f t="shared" si="15"/>
        <v>0</v>
      </c>
    </row>
    <row r="53" spans="1:18" ht="18" thickBot="1" x14ac:dyDescent="0.35">
      <c r="A53" s="404" t="s">
        <v>1451</v>
      </c>
      <c r="B53" s="403" t="s">
        <v>1450</v>
      </c>
      <c r="C53" s="369" t="s">
        <v>1449</v>
      </c>
      <c r="D53" s="401">
        <f t="shared" ref="D53:O53" si="16">D10</f>
        <v>0</v>
      </c>
      <c r="E53" s="401">
        <f t="shared" si="16"/>
        <v>353126.53</v>
      </c>
      <c r="F53" s="401">
        <f t="shared" si="16"/>
        <v>903156.74</v>
      </c>
      <c r="G53" s="401">
        <f t="shared" si="16"/>
        <v>1062826.6599999999</v>
      </c>
      <c r="H53" s="401">
        <f t="shared" si="16"/>
        <v>1177278.69</v>
      </c>
      <c r="I53" s="401">
        <f t="shared" si="16"/>
        <v>874334.08</v>
      </c>
      <c r="J53" s="401">
        <f t="shared" si="16"/>
        <v>874334.08</v>
      </c>
      <c r="K53" s="402">
        <f t="shared" si="16"/>
        <v>641593.48</v>
      </c>
      <c r="L53" s="401">
        <f t="shared" si="16"/>
        <v>755084.83000000007</v>
      </c>
      <c r="M53" s="401">
        <f t="shared" si="16"/>
        <v>0</v>
      </c>
      <c r="N53" s="401">
        <f t="shared" si="16"/>
        <v>0</v>
      </c>
      <c r="O53" s="401">
        <f t="shared" si="16"/>
        <v>0</v>
      </c>
      <c r="P53" s="358"/>
    </row>
    <row r="54" spans="1:18" ht="18" thickBot="1" x14ac:dyDescent="0.35">
      <c r="A54" s="666" t="s">
        <v>1448</v>
      </c>
      <c r="B54" s="667"/>
      <c r="C54" s="668"/>
      <c r="D54" s="398">
        <f t="shared" ref="D54:O54" si="17">D52+D53</f>
        <v>1551424.2999999989</v>
      </c>
      <c r="E54" s="398">
        <f t="shared" si="17"/>
        <v>3906114.21</v>
      </c>
      <c r="F54" s="398">
        <f t="shared" si="17"/>
        <v>3162345.2800000068</v>
      </c>
      <c r="G54" s="400">
        <f t="shared" si="17"/>
        <v>3707314.2499999963</v>
      </c>
      <c r="H54" s="400">
        <f t="shared" si="17"/>
        <v>1334804.9099999988</v>
      </c>
      <c r="I54" s="400">
        <f t="shared" si="17"/>
        <v>3074926.6800000016</v>
      </c>
      <c r="J54" s="398">
        <f t="shared" si="17"/>
        <v>2047108.8700000066</v>
      </c>
      <c r="K54" s="398">
        <f t="shared" si="17"/>
        <v>2013366.6700000125</v>
      </c>
      <c r="L54" s="398">
        <f t="shared" si="17"/>
        <v>2189218.3200000096</v>
      </c>
      <c r="M54" s="399">
        <f t="shared" si="17"/>
        <v>0</v>
      </c>
      <c r="N54" s="398">
        <f t="shared" si="17"/>
        <v>0</v>
      </c>
      <c r="O54" s="398">
        <f t="shared" si="17"/>
        <v>0</v>
      </c>
      <c r="P54" s="498">
        <f>L54-L11</f>
        <v>0</v>
      </c>
      <c r="Q54" s="303"/>
      <c r="R54" s="302"/>
    </row>
    <row r="55" spans="1:18" s="348" customFormat="1" ht="18" thickBot="1" x14ac:dyDescent="0.3">
      <c r="A55" s="677" t="s">
        <v>1447</v>
      </c>
      <c r="B55" s="678"/>
      <c r="C55" s="679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49"/>
    </row>
    <row r="56" spans="1:18" x14ac:dyDescent="0.3">
      <c r="A56" s="680" t="s">
        <v>1446</v>
      </c>
      <c r="B56" s="396">
        <v>411111</v>
      </c>
      <c r="C56" s="395" t="s">
        <v>1428</v>
      </c>
      <c r="D56" s="350">
        <f t="shared" ref="D56:O56" si="18">D13</f>
        <v>0</v>
      </c>
      <c r="E56" s="350">
        <f t="shared" si="18"/>
        <v>0</v>
      </c>
      <c r="F56" s="350">
        <f t="shared" si="18"/>
        <v>0</v>
      </c>
      <c r="G56" s="350">
        <f t="shared" si="18"/>
        <v>0</v>
      </c>
      <c r="H56" s="350">
        <f t="shared" si="18"/>
        <v>0</v>
      </c>
      <c r="I56" s="350">
        <f t="shared" si="18"/>
        <v>0</v>
      </c>
      <c r="J56" s="329">
        <f t="shared" si="18"/>
        <v>15848.95</v>
      </c>
      <c r="K56" s="329">
        <f t="shared" si="18"/>
        <v>33396</v>
      </c>
      <c r="L56" s="329">
        <f t="shared" si="18"/>
        <v>33962.03</v>
      </c>
      <c r="M56" s="329">
        <f t="shared" si="18"/>
        <v>0</v>
      </c>
      <c r="N56" s="329">
        <f t="shared" si="18"/>
        <v>0</v>
      </c>
      <c r="O56" s="329">
        <f t="shared" si="18"/>
        <v>0</v>
      </c>
      <c r="P56" s="358"/>
    </row>
    <row r="57" spans="1:18" x14ac:dyDescent="0.3">
      <c r="A57" s="680"/>
      <c r="B57" s="352">
        <v>411113</v>
      </c>
      <c r="C57" s="351" t="s">
        <v>476</v>
      </c>
      <c r="D57" s="350">
        <f t="shared" ref="D57:O57" si="19">D14</f>
        <v>0</v>
      </c>
      <c r="E57" s="350">
        <f t="shared" si="19"/>
        <v>0</v>
      </c>
      <c r="F57" s="350">
        <f t="shared" si="19"/>
        <v>5034.72</v>
      </c>
      <c r="G57" s="329">
        <f t="shared" si="19"/>
        <v>28673.42</v>
      </c>
      <c r="H57" s="329">
        <f t="shared" si="19"/>
        <v>45057.66</v>
      </c>
      <c r="I57" s="329">
        <f t="shared" si="19"/>
        <v>51621.279999999999</v>
      </c>
      <c r="J57" s="329">
        <f t="shared" si="19"/>
        <v>51621.279999999999</v>
      </c>
      <c r="K57" s="329">
        <f t="shared" si="19"/>
        <v>59872.6</v>
      </c>
      <c r="L57" s="329">
        <f t="shared" si="19"/>
        <v>59872.6</v>
      </c>
      <c r="M57" s="329">
        <f t="shared" si="19"/>
        <v>0</v>
      </c>
      <c r="N57" s="329">
        <f t="shared" si="19"/>
        <v>0</v>
      </c>
      <c r="O57" s="329">
        <f t="shared" si="19"/>
        <v>0</v>
      </c>
      <c r="P57" s="358"/>
    </row>
    <row r="58" spans="1:18" x14ac:dyDescent="0.3">
      <c r="A58" s="680"/>
      <c r="B58" s="352">
        <v>411310</v>
      </c>
      <c r="C58" s="351" t="s">
        <v>207</v>
      </c>
      <c r="D58" s="325">
        <f t="shared" ref="D58:O58" si="20">D15</f>
        <v>340</v>
      </c>
      <c r="E58" s="329">
        <f t="shared" si="20"/>
        <v>680</v>
      </c>
      <c r="F58" s="325">
        <f t="shared" si="20"/>
        <v>1020</v>
      </c>
      <c r="G58" s="329">
        <f t="shared" si="20"/>
        <v>1360</v>
      </c>
      <c r="H58" s="329">
        <f t="shared" si="20"/>
        <v>1700</v>
      </c>
      <c r="I58" s="329">
        <f t="shared" si="20"/>
        <v>2030</v>
      </c>
      <c r="J58" s="329">
        <f t="shared" si="20"/>
        <v>2360</v>
      </c>
      <c r="K58" s="329">
        <f t="shared" si="20"/>
        <v>2690</v>
      </c>
      <c r="L58" s="329">
        <f t="shared" si="20"/>
        <v>3020</v>
      </c>
      <c r="M58" s="329">
        <f t="shared" si="20"/>
        <v>0</v>
      </c>
      <c r="N58" s="329">
        <f t="shared" si="20"/>
        <v>0</v>
      </c>
      <c r="O58" s="329">
        <f t="shared" si="20"/>
        <v>0</v>
      </c>
    </row>
    <row r="59" spans="1:18" x14ac:dyDescent="0.3">
      <c r="A59" s="680"/>
      <c r="B59" s="352">
        <v>416211</v>
      </c>
      <c r="C59" s="351" t="s">
        <v>1441</v>
      </c>
      <c r="D59" s="350">
        <f t="shared" ref="D59:O59" si="21">D16</f>
        <v>0</v>
      </c>
      <c r="E59" s="350">
        <f t="shared" si="21"/>
        <v>0</v>
      </c>
      <c r="F59" s="350">
        <f t="shared" si="21"/>
        <v>0</v>
      </c>
      <c r="G59" s="350">
        <f t="shared" si="21"/>
        <v>0</v>
      </c>
      <c r="H59" s="350">
        <f t="shared" si="21"/>
        <v>0</v>
      </c>
      <c r="I59" s="350">
        <f t="shared" si="21"/>
        <v>0</v>
      </c>
      <c r="J59" s="350">
        <f t="shared" si="21"/>
        <v>0</v>
      </c>
      <c r="K59" s="350">
        <f t="shared" si="21"/>
        <v>0</v>
      </c>
      <c r="L59" s="350">
        <f t="shared" si="21"/>
        <v>0</v>
      </c>
      <c r="M59" s="350">
        <f t="shared" si="21"/>
        <v>0</v>
      </c>
      <c r="N59" s="350">
        <f t="shared" si="21"/>
        <v>0</v>
      </c>
      <c r="O59" s="350">
        <f t="shared" si="21"/>
        <v>0</v>
      </c>
    </row>
    <row r="60" spans="1:18" x14ac:dyDescent="0.3">
      <c r="A60" s="680"/>
      <c r="B60" s="352">
        <v>421110</v>
      </c>
      <c r="C60" s="351" t="s">
        <v>1428</v>
      </c>
      <c r="D60" s="325">
        <f t="shared" ref="D60:O60" si="22">D17</f>
        <v>18055.72</v>
      </c>
      <c r="E60" s="329">
        <f t="shared" si="22"/>
        <v>22715.26</v>
      </c>
      <c r="F60" s="325">
        <f t="shared" si="22"/>
        <v>22715.26</v>
      </c>
      <c r="G60" s="329">
        <f t="shared" si="22"/>
        <v>22715.26</v>
      </c>
      <c r="H60" s="329">
        <f t="shared" si="22"/>
        <v>22715.26</v>
      </c>
      <c r="I60" s="329">
        <f t="shared" si="22"/>
        <v>22715.26</v>
      </c>
      <c r="J60" s="329">
        <f t="shared" si="22"/>
        <v>27764.2</v>
      </c>
      <c r="K60" s="329">
        <f t="shared" si="22"/>
        <v>43415.91</v>
      </c>
      <c r="L60" s="329">
        <f t="shared" si="22"/>
        <v>53008.9</v>
      </c>
      <c r="M60" s="329">
        <f t="shared" si="22"/>
        <v>0</v>
      </c>
      <c r="N60" s="329">
        <f t="shared" si="22"/>
        <v>0</v>
      </c>
      <c r="O60" s="329">
        <f t="shared" si="22"/>
        <v>0</v>
      </c>
    </row>
    <row r="61" spans="1:18" x14ac:dyDescent="0.3">
      <c r="A61" s="680"/>
      <c r="B61" s="352">
        <v>421112</v>
      </c>
      <c r="C61" s="351" t="s">
        <v>476</v>
      </c>
      <c r="D61" s="350">
        <f t="shared" ref="D61:O61" si="23">D18</f>
        <v>0</v>
      </c>
      <c r="E61" s="350">
        <f t="shared" si="23"/>
        <v>0</v>
      </c>
      <c r="F61" s="350">
        <f t="shared" si="23"/>
        <v>7573.41</v>
      </c>
      <c r="G61" s="329">
        <f t="shared" si="23"/>
        <v>7573.41</v>
      </c>
      <c r="H61" s="350">
        <f t="shared" si="23"/>
        <v>7573.41</v>
      </c>
      <c r="I61" s="329">
        <f t="shared" si="23"/>
        <v>7573.41</v>
      </c>
      <c r="J61" s="350">
        <f t="shared" si="23"/>
        <v>7573.41</v>
      </c>
      <c r="K61" s="350">
        <f t="shared" si="23"/>
        <v>7573.41</v>
      </c>
      <c r="L61" s="350">
        <f t="shared" si="23"/>
        <v>23536.07</v>
      </c>
      <c r="M61" s="350">
        <f t="shared" si="23"/>
        <v>0</v>
      </c>
      <c r="N61" s="350">
        <f t="shared" si="23"/>
        <v>0</v>
      </c>
      <c r="O61" s="394">
        <f t="shared" si="23"/>
        <v>0</v>
      </c>
    </row>
    <row r="62" spans="1:18" x14ac:dyDescent="0.3">
      <c r="A62" s="680"/>
      <c r="B62" s="352">
        <v>421310</v>
      </c>
      <c r="C62" s="351" t="s">
        <v>207</v>
      </c>
      <c r="D62" s="325">
        <f t="shared" ref="D62:O62" si="24">D19</f>
        <v>624</v>
      </c>
      <c r="E62" s="329">
        <f t="shared" si="24"/>
        <v>1250</v>
      </c>
      <c r="F62" s="325">
        <f t="shared" si="24"/>
        <v>1876</v>
      </c>
      <c r="G62" s="329">
        <f t="shared" si="24"/>
        <v>2502</v>
      </c>
      <c r="H62" s="329">
        <f t="shared" si="24"/>
        <v>3128</v>
      </c>
      <c r="I62" s="329">
        <f t="shared" si="24"/>
        <v>3751</v>
      </c>
      <c r="J62" s="329">
        <f t="shared" si="24"/>
        <v>4374</v>
      </c>
      <c r="K62" s="329">
        <f t="shared" si="24"/>
        <v>4997</v>
      </c>
      <c r="L62" s="329">
        <f t="shared" si="24"/>
        <v>5622</v>
      </c>
      <c r="M62" s="329">
        <f t="shared" si="24"/>
        <v>0</v>
      </c>
      <c r="N62" s="329">
        <f t="shared" si="24"/>
        <v>0</v>
      </c>
      <c r="O62" s="329">
        <f t="shared" si="24"/>
        <v>0</v>
      </c>
    </row>
    <row r="63" spans="1:18" x14ac:dyDescent="0.3">
      <c r="A63" s="680"/>
      <c r="B63" s="352">
        <v>42541</v>
      </c>
      <c r="C63" s="336" t="s">
        <v>1445</v>
      </c>
      <c r="D63" s="350">
        <f t="shared" ref="D63:O63" si="25">D20</f>
        <v>0</v>
      </c>
      <c r="E63" s="350">
        <f t="shared" si="25"/>
        <v>0</v>
      </c>
      <c r="F63" s="350">
        <f t="shared" si="25"/>
        <v>0</v>
      </c>
      <c r="G63" s="350">
        <f t="shared" si="25"/>
        <v>0</v>
      </c>
      <c r="H63" s="350">
        <f t="shared" si="25"/>
        <v>0</v>
      </c>
      <c r="I63" s="350">
        <f t="shared" si="25"/>
        <v>16350.89</v>
      </c>
      <c r="J63" s="329">
        <f t="shared" si="25"/>
        <v>16350.89</v>
      </c>
      <c r="K63" s="329">
        <f t="shared" si="25"/>
        <v>16350.89</v>
      </c>
      <c r="L63" s="329">
        <f t="shared" si="25"/>
        <v>16350.89</v>
      </c>
      <c r="M63" s="329">
        <f t="shared" si="25"/>
        <v>0</v>
      </c>
      <c r="N63" s="329">
        <f t="shared" si="25"/>
        <v>0</v>
      </c>
      <c r="O63" s="329">
        <f t="shared" si="25"/>
        <v>0</v>
      </c>
    </row>
    <row r="64" spans="1:18" x14ac:dyDescent="0.3">
      <c r="A64" s="680"/>
      <c r="B64" s="352">
        <v>42542</v>
      </c>
      <c r="C64" s="351" t="s">
        <v>1444</v>
      </c>
      <c r="D64" s="350">
        <f t="shared" ref="D64:O64" si="26">D21</f>
        <v>0</v>
      </c>
      <c r="E64" s="350">
        <f t="shared" si="26"/>
        <v>0</v>
      </c>
      <c r="F64" s="350">
        <f t="shared" si="26"/>
        <v>0</v>
      </c>
      <c r="G64" s="350">
        <f t="shared" si="26"/>
        <v>0</v>
      </c>
      <c r="H64" s="350">
        <f t="shared" si="26"/>
        <v>0</v>
      </c>
      <c r="I64" s="350">
        <f t="shared" si="26"/>
        <v>0</v>
      </c>
      <c r="J64" s="350">
        <f t="shared" si="26"/>
        <v>0</v>
      </c>
      <c r="K64" s="350">
        <f t="shared" si="26"/>
        <v>0</v>
      </c>
      <c r="L64" s="350">
        <f t="shared" si="26"/>
        <v>0</v>
      </c>
      <c r="M64" s="350">
        <f t="shared" si="26"/>
        <v>0</v>
      </c>
      <c r="N64" s="350">
        <f t="shared" si="26"/>
        <v>0</v>
      </c>
      <c r="O64" s="350">
        <f t="shared" si="26"/>
        <v>0</v>
      </c>
    </row>
    <row r="65" spans="1:18" x14ac:dyDescent="0.3">
      <c r="A65" s="680"/>
      <c r="B65" s="352">
        <v>42543</v>
      </c>
      <c r="C65" s="336" t="s">
        <v>490</v>
      </c>
      <c r="D65" s="350">
        <f t="shared" ref="D65:O65" si="27">D22</f>
        <v>0</v>
      </c>
      <c r="E65" s="350">
        <f t="shared" si="27"/>
        <v>0</v>
      </c>
      <c r="F65" s="350">
        <f t="shared" si="27"/>
        <v>0</v>
      </c>
      <c r="G65" s="350">
        <f t="shared" si="27"/>
        <v>0</v>
      </c>
      <c r="H65" s="350">
        <f t="shared" si="27"/>
        <v>0</v>
      </c>
      <c r="I65" s="350">
        <f t="shared" si="27"/>
        <v>0</v>
      </c>
      <c r="J65" s="350">
        <f t="shared" si="27"/>
        <v>0</v>
      </c>
      <c r="K65" s="350">
        <f t="shared" si="27"/>
        <v>0</v>
      </c>
      <c r="L65" s="329">
        <f t="shared" si="27"/>
        <v>0</v>
      </c>
      <c r="M65" s="329">
        <f t="shared" si="27"/>
        <v>0</v>
      </c>
      <c r="N65" s="329">
        <f t="shared" si="27"/>
        <v>0</v>
      </c>
      <c r="O65" s="329">
        <f t="shared" si="27"/>
        <v>0</v>
      </c>
    </row>
    <row r="66" spans="1:18" x14ac:dyDescent="0.3">
      <c r="A66" s="680"/>
      <c r="B66" s="352">
        <v>42544</v>
      </c>
      <c r="C66" s="336" t="s">
        <v>1443</v>
      </c>
      <c r="D66" s="350">
        <f>D23</f>
        <v>0</v>
      </c>
      <c r="E66" s="350">
        <v>0</v>
      </c>
      <c r="F66" s="350">
        <f>F23</f>
        <v>0</v>
      </c>
      <c r="G66" s="393">
        <v>0</v>
      </c>
      <c r="H66" s="393">
        <v>0</v>
      </c>
      <c r="I66" s="393">
        <v>0</v>
      </c>
      <c r="J66" s="393">
        <v>0</v>
      </c>
      <c r="K66" s="393">
        <v>0</v>
      </c>
      <c r="L66" s="329">
        <f t="shared" ref="L66:O69" si="28">L23</f>
        <v>0</v>
      </c>
      <c r="M66" s="329">
        <f t="shared" si="28"/>
        <v>0</v>
      </c>
      <c r="N66" s="329">
        <f t="shared" si="28"/>
        <v>0</v>
      </c>
      <c r="O66" s="329">
        <f t="shared" si="28"/>
        <v>0</v>
      </c>
    </row>
    <row r="67" spans="1:18" x14ac:dyDescent="0.3">
      <c r="A67" s="680"/>
      <c r="B67" s="352">
        <v>42720</v>
      </c>
      <c r="C67" s="336" t="s">
        <v>1442</v>
      </c>
      <c r="D67" s="325">
        <f>D24</f>
        <v>20735.650000000001</v>
      </c>
      <c r="E67" s="329">
        <f>E24</f>
        <v>41471.300000000003</v>
      </c>
      <c r="F67" s="325">
        <f>F24</f>
        <v>1522061.72</v>
      </c>
      <c r="G67" s="329">
        <f t="shared" ref="G67:K69" si="29">G24</f>
        <v>1551678.52</v>
      </c>
      <c r="H67" s="329">
        <f t="shared" si="29"/>
        <v>1581295.32</v>
      </c>
      <c r="I67" s="329">
        <f t="shared" si="29"/>
        <v>1602676.9200000002</v>
      </c>
      <c r="J67" s="329">
        <f t="shared" si="29"/>
        <v>1070802.1399999999</v>
      </c>
      <c r="K67" s="329">
        <f t="shared" si="29"/>
        <v>1179238.45</v>
      </c>
      <c r="L67" s="329">
        <f t="shared" si="28"/>
        <v>1663157.5</v>
      </c>
      <c r="M67" s="329">
        <f t="shared" si="28"/>
        <v>0</v>
      </c>
      <c r="N67" s="329">
        <f t="shared" si="28"/>
        <v>0</v>
      </c>
      <c r="O67" s="329">
        <f t="shared" si="28"/>
        <v>0</v>
      </c>
      <c r="P67" s="358"/>
    </row>
    <row r="68" spans="1:18" x14ac:dyDescent="0.3">
      <c r="A68" s="680"/>
      <c r="B68" s="352">
        <v>426213</v>
      </c>
      <c r="C68" s="351" t="s">
        <v>1441</v>
      </c>
      <c r="D68" s="325">
        <f>D25</f>
        <v>4980.5</v>
      </c>
      <c r="E68" s="329">
        <f>E25</f>
        <v>4980.5</v>
      </c>
      <c r="F68" s="350">
        <f>F25</f>
        <v>0</v>
      </c>
      <c r="G68" s="350">
        <f t="shared" si="29"/>
        <v>0</v>
      </c>
      <c r="H68" s="350">
        <f t="shared" si="29"/>
        <v>0</v>
      </c>
      <c r="I68" s="350">
        <f t="shared" si="29"/>
        <v>0</v>
      </c>
      <c r="J68" s="329">
        <f t="shared" si="29"/>
        <v>0</v>
      </c>
      <c r="K68" s="329">
        <f t="shared" si="29"/>
        <v>0</v>
      </c>
      <c r="L68" s="329">
        <f t="shared" si="28"/>
        <v>0</v>
      </c>
      <c r="M68" s="329">
        <f t="shared" si="28"/>
        <v>0</v>
      </c>
      <c r="N68" s="329">
        <f t="shared" si="28"/>
        <v>0</v>
      </c>
      <c r="O68" s="329">
        <f t="shared" si="28"/>
        <v>0</v>
      </c>
    </row>
    <row r="69" spans="1:18" x14ac:dyDescent="0.3">
      <c r="A69" s="680"/>
      <c r="B69" s="376">
        <v>427121</v>
      </c>
      <c r="C69" s="360" t="s">
        <v>1251</v>
      </c>
      <c r="D69" s="350">
        <f>D26</f>
        <v>0</v>
      </c>
      <c r="E69" s="350">
        <f>E26</f>
        <v>0</v>
      </c>
      <c r="F69" s="350">
        <f>F26</f>
        <v>0</v>
      </c>
      <c r="G69" s="350">
        <f t="shared" si="29"/>
        <v>0</v>
      </c>
      <c r="H69" s="350">
        <f t="shared" si="29"/>
        <v>0</v>
      </c>
      <c r="I69" s="350">
        <f t="shared" si="29"/>
        <v>0</v>
      </c>
      <c r="J69" s="350">
        <f t="shared" si="29"/>
        <v>0</v>
      </c>
      <c r="K69" s="350">
        <f t="shared" si="29"/>
        <v>0</v>
      </c>
      <c r="L69" s="350">
        <f t="shared" si="28"/>
        <v>0</v>
      </c>
      <c r="M69" s="350">
        <f t="shared" si="28"/>
        <v>0</v>
      </c>
      <c r="N69" s="350">
        <f t="shared" si="28"/>
        <v>0</v>
      </c>
      <c r="O69" s="350">
        <f t="shared" si="28"/>
        <v>0</v>
      </c>
    </row>
    <row r="70" spans="1:18" ht="18" thickBot="1" x14ac:dyDescent="0.35">
      <c r="A70" s="392"/>
      <c r="B70" s="391">
        <v>42521</v>
      </c>
      <c r="C70" s="390" t="s">
        <v>244</v>
      </c>
      <c r="D70" s="350">
        <v>0</v>
      </c>
      <c r="E70" s="350">
        <v>0</v>
      </c>
      <c r="F70" s="350">
        <v>0</v>
      </c>
      <c r="G70" s="350">
        <v>0</v>
      </c>
      <c r="H70" s="350">
        <v>0</v>
      </c>
      <c r="I70" s="350">
        <v>0</v>
      </c>
      <c r="J70" s="389">
        <v>0</v>
      </c>
      <c r="K70" s="350">
        <v>0</v>
      </c>
      <c r="L70" s="350">
        <v>0</v>
      </c>
      <c r="M70" s="350">
        <v>0</v>
      </c>
      <c r="N70" s="350">
        <f>N36</f>
        <v>0</v>
      </c>
      <c r="O70" s="350">
        <f>O36</f>
        <v>0</v>
      </c>
    </row>
    <row r="71" spans="1:18" s="348" customFormat="1" ht="18" thickBot="1" x14ac:dyDescent="0.35">
      <c r="A71" s="677" t="s">
        <v>1440</v>
      </c>
      <c r="B71" s="678"/>
      <c r="C71" s="679"/>
      <c r="D71" s="387">
        <f t="shared" ref="D71:O71" si="30">SUM(D56:D70)</f>
        <v>44735.87</v>
      </c>
      <c r="E71" s="387">
        <f t="shared" si="30"/>
        <v>71097.06</v>
      </c>
      <c r="F71" s="388">
        <f t="shared" si="30"/>
        <v>1560281.1099999999</v>
      </c>
      <c r="G71" s="387">
        <f t="shared" si="30"/>
        <v>1614502.61</v>
      </c>
      <c r="H71" s="387">
        <f t="shared" si="30"/>
        <v>1661469.6500000001</v>
      </c>
      <c r="I71" s="387">
        <f t="shared" si="30"/>
        <v>1706718.7600000002</v>
      </c>
      <c r="J71" s="386">
        <f t="shared" si="30"/>
        <v>1196694.8699999999</v>
      </c>
      <c r="K71" s="386">
        <f t="shared" si="30"/>
        <v>1347534.26</v>
      </c>
      <c r="L71" s="386">
        <f t="shared" si="30"/>
        <v>1858529.99</v>
      </c>
      <c r="M71" s="386">
        <f t="shared" si="30"/>
        <v>0</v>
      </c>
      <c r="N71" s="386">
        <f t="shared" si="30"/>
        <v>0</v>
      </c>
      <c r="O71" s="386">
        <f t="shared" si="30"/>
        <v>0</v>
      </c>
      <c r="P71" s="498">
        <f>L71-L27</f>
        <v>0</v>
      </c>
      <c r="Q71" s="385"/>
      <c r="R71" s="384"/>
    </row>
    <row r="72" spans="1:18" s="348" customFormat="1" ht="18" thickBot="1" x14ac:dyDescent="0.3">
      <c r="A72" s="681" t="s">
        <v>1439</v>
      </c>
      <c r="B72" s="682"/>
      <c r="C72" s="683"/>
      <c r="D72" s="382"/>
      <c r="E72" s="382"/>
      <c r="F72" s="382"/>
      <c r="G72" s="383"/>
      <c r="H72" s="383"/>
      <c r="I72" s="382"/>
      <c r="J72" s="382"/>
      <c r="K72" s="382"/>
      <c r="L72" s="382"/>
      <c r="M72" s="382"/>
      <c r="N72" s="382"/>
      <c r="O72" s="382"/>
      <c r="P72" s="349"/>
      <c r="R72" s="349"/>
    </row>
    <row r="73" spans="1:18" x14ac:dyDescent="0.3">
      <c r="A73" s="687" t="s">
        <v>1438</v>
      </c>
      <c r="B73" s="381">
        <v>33611</v>
      </c>
      <c r="C73" s="380" t="s">
        <v>1246</v>
      </c>
      <c r="D73" s="350">
        <f>D29</f>
        <v>0</v>
      </c>
      <c r="E73" s="350">
        <v>0</v>
      </c>
      <c r="F73" s="350">
        <v>0</v>
      </c>
      <c r="G73" s="350">
        <f>G29</f>
        <v>0</v>
      </c>
      <c r="H73" s="350">
        <v>0</v>
      </c>
      <c r="I73" s="350">
        <v>0</v>
      </c>
      <c r="J73" s="350">
        <v>0</v>
      </c>
      <c r="K73" s="350">
        <f>[3]IRPJ_CSLL_2023!$K$73</f>
        <v>0</v>
      </c>
      <c r="L73" s="350">
        <f>L29</f>
        <v>12400</v>
      </c>
      <c r="M73" s="350">
        <v>0</v>
      </c>
      <c r="N73" s="350">
        <v>0</v>
      </c>
      <c r="O73" s="325">
        <f>O29</f>
        <v>0</v>
      </c>
      <c r="P73" s="349"/>
    </row>
    <row r="74" spans="1:18" x14ac:dyDescent="0.3">
      <c r="A74" s="687"/>
      <c r="B74" s="379">
        <v>33612</v>
      </c>
      <c r="C74" s="361" t="s">
        <v>194</v>
      </c>
      <c r="D74" s="350">
        <f>D30</f>
        <v>0</v>
      </c>
      <c r="E74" s="350">
        <v>0</v>
      </c>
      <c r="F74" s="350">
        <f>F30</f>
        <v>0</v>
      </c>
      <c r="G74" s="350">
        <f>G30</f>
        <v>0</v>
      </c>
      <c r="H74" s="350">
        <f>H30</f>
        <v>0</v>
      </c>
      <c r="I74" s="378">
        <f>I30</f>
        <v>0</v>
      </c>
      <c r="J74" s="325">
        <f>J30</f>
        <v>0</v>
      </c>
      <c r="K74" s="350">
        <f>[3]IRPJ_CSLL_2023!$K$74</f>
        <v>0</v>
      </c>
      <c r="L74" s="350">
        <f t="shared" ref="L74:L75" si="31">L30</f>
        <v>0</v>
      </c>
      <c r="M74" s="325">
        <f>M30</f>
        <v>0</v>
      </c>
      <c r="N74" s="325">
        <f>N30</f>
        <v>0</v>
      </c>
      <c r="O74" s="325">
        <f>O30</f>
        <v>0</v>
      </c>
    </row>
    <row r="75" spans="1:18" ht="18" thickBot="1" x14ac:dyDescent="0.35">
      <c r="A75" s="377"/>
      <c r="B75" s="376">
        <v>33613</v>
      </c>
      <c r="C75" s="360" t="s">
        <v>471</v>
      </c>
      <c r="D75" s="350">
        <f>D31</f>
        <v>0</v>
      </c>
      <c r="E75" s="350">
        <v>0</v>
      </c>
      <c r="F75" s="350">
        <f>F31</f>
        <v>0</v>
      </c>
      <c r="G75" s="350">
        <f>G31</f>
        <v>0</v>
      </c>
      <c r="H75" s="350">
        <v>0</v>
      </c>
      <c r="I75" s="350">
        <f>-Planilha5!G34</f>
        <v>640310.85</v>
      </c>
      <c r="J75" s="350">
        <v>0</v>
      </c>
      <c r="K75" s="350">
        <v>0</v>
      </c>
      <c r="L75" s="350">
        <f t="shared" si="31"/>
        <v>0</v>
      </c>
      <c r="M75" s="350">
        <v>0</v>
      </c>
      <c r="N75" s="350">
        <v>0</v>
      </c>
      <c r="O75" s="350">
        <f>O31</f>
        <v>0</v>
      </c>
    </row>
    <row r="76" spans="1:18" s="348" customFormat="1" ht="18" thickBot="1" x14ac:dyDescent="0.35">
      <c r="A76" s="684" t="s">
        <v>1437</v>
      </c>
      <c r="B76" s="685"/>
      <c r="C76" s="686"/>
      <c r="D76" s="375">
        <f>SUM(D73:D75)</f>
        <v>0</v>
      </c>
      <c r="E76" s="375">
        <f>SUM(E73:E75)</f>
        <v>0</v>
      </c>
      <c r="F76" s="375">
        <f>SUM(F73:F75)</f>
        <v>0</v>
      </c>
      <c r="G76" s="375">
        <f t="shared" ref="G76:N76" si="32">G73+G74</f>
        <v>0</v>
      </c>
      <c r="H76" s="374">
        <f t="shared" si="32"/>
        <v>0</v>
      </c>
      <c r="I76" s="374">
        <f>I73+I74+I75</f>
        <v>640310.85</v>
      </c>
      <c r="J76" s="372">
        <f t="shared" si="32"/>
        <v>0</v>
      </c>
      <c r="K76" s="373">
        <f t="shared" si="32"/>
        <v>0</v>
      </c>
      <c r="L76" s="372">
        <f t="shared" si="32"/>
        <v>12400</v>
      </c>
      <c r="M76" s="370">
        <f t="shared" si="32"/>
        <v>0</v>
      </c>
      <c r="N76" s="371">
        <f t="shared" si="32"/>
        <v>0</v>
      </c>
      <c r="O76" s="370">
        <f>SUM(O73:O75)</f>
        <v>0</v>
      </c>
      <c r="P76" s="498">
        <f>L76-L32</f>
        <v>0</v>
      </c>
    </row>
    <row r="77" spans="1:18" ht="18" thickBot="1" x14ac:dyDescent="0.35">
      <c r="A77" s="369"/>
      <c r="B77" s="368"/>
      <c r="C77" s="368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</row>
    <row r="78" spans="1:18" s="361" customFormat="1" ht="18" thickBot="1" x14ac:dyDescent="0.35">
      <c r="A78" s="662" t="s">
        <v>1436</v>
      </c>
      <c r="B78" s="663"/>
      <c r="C78" s="664"/>
      <c r="D78" s="363">
        <f t="shared" ref="D78:O78" si="33">D54+D71-D76</f>
        <v>1596160.169999999</v>
      </c>
      <c r="E78" s="363">
        <f t="shared" si="33"/>
        <v>3977211.27</v>
      </c>
      <c r="F78" s="363">
        <f t="shared" si="33"/>
        <v>4722626.3900000062</v>
      </c>
      <c r="G78" s="364">
        <f t="shared" si="33"/>
        <v>5321816.8599999966</v>
      </c>
      <c r="H78" s="363">
        <f t="shared" si="33"/>
        <v>2996274.5599999987</v>
      </c>
      <c r="I78" s="364">
        <f t="shared" si="33"/>
        <v>4141334.5900000012</v>
      </c>
      <c r="J78" s="363">
        <f t="shared" si="33"/>
        <v>3243803.7400000067</v>
      </c>
      <c r="K78" s="363">
        <f t="shared" si="33"/>
        <v>3360900.9300000127</v>
      </c>
      <c r="L78" s="363">
        <f t="shared" si="33"/>
        <v>4035348.3100000098</v>
      </c>
      <c r="M78" s="363">
        <f t="shared" si="33"/>
        <v>0</v>
      </c>
      <c r="N78" s="363">
        <f t="shared" si="33"/>
        <v>0</v>
      </c>
      <c r="O78" s="363">
        <f t="shared" si="33"/>
        <v>0</v>
      </c>
      <c r="P78" s="367"/>
    </row>
    <row r="79" spans="1:18" ht="18" thickBot="1" x14ac:dyDescent="0.35">
      <c r="A79" s="357" t="s">
        <v>1435</v>
      </c>
      <c r="B79" s="356"/>
      <c r="C79" s="366"/>
      <c r="D79" s="365">
        <f t="shared" ref="D79:M79" si="34">D78*30%</f>
        <v>478848.05099999969</v>
      </c>
      <c r="E79" s="365">
        <f t="shared" si="34"/>
        <v>1193163.3810000001</v>
      </c>
      <c r="F79" s="365">
        <f t="shared" si="34"/>
        <v>1416787.9170000018</v>
      </c>
      <c r="G79" s="365">
        <f t="shared" si="34"/>
        <v>1596545.057999999</v>
      </c>
      <c r="H79" s="365">
        <f t="shared" si="34"/>
        <v>898882.36799999955</v>
      </c>
      <c r="I79" s="365">
        <f t="shared" si="34"/>
        <v>1242400.3770000003</v>
      </c>
      <c r="J79" s="365">
        <f t="shared" si="34"/>
        <v>973141.12200000195</v>
      </c>
      <c r="K79" s="365">
        <f t="shared" si="34"/>
        <v>1008270.2790000038</v>
      </c>
      <c r="L79" s="365">
        <f t="shared" si="34"/>
        <v>1210604.4930000028</v>
      </c>
      <c r="M79" s="365">
        <f t="shared" si="34"/>
        <v>0</v>
      </c>
      <c r="N79" s="365">
        <v>0</v>
      </c>
      <c r="O79" s="365">
        <v>0</v>
      </c>
      <c r="P79" s="362">
        <f>G79+G34</f>
        <v>0</v>
      </c>
    </row>
    <row r="80" spans="1:18" s="361" customFormat="1" ht="18" thickBot="1" x14ac:dyDescent="0.35">
      <c r="A80" s="662" t="s">
        <v>1434</v>
      </c>
      <c r="B80" s="663"/>
      <c r="C80" s="664"/>
      <c r="D80" s="363">
        <f t="shared" ref="D80:O80" si="35">D78-D79</f>
        <v>1117312.1189999992</v>
      </c>
      <c r="E80" s="363">
        <f t="shared" si="35"/>
        <v>2784047.889</v>
      </c>
      <c r="F80" s="363">
        <f t="shared" si="35"/>
        <v>3305838.4730000044</v>
      </c>
      <c r="G80" s="364">
        <f t="shared" si="35"/>
        <v>3725271.8019999973</v>
      </c>
      <c r="H80" s="363">
        <f t="shared" si="35"/>
        <v>2097392.1919999989</v>
      </c>
      <c r="I80" s="364">
        <f t="shared" si="35"/>
        <v>2898934.2130000009</v>
      </c>
      <c r="J80" s="363">
        <f t="shared" si="35"/>
        <v>2270662.6180000049</v>
      </c>
      <c r="K80" s="363">
        <f t="shared" si="35"/>
        <v>2352630.6510000089</v>
      </c>
      <c r="L80" s="363">
        <f t="shared" si="35"/>
        <v>2824743.8170000073</v>
      </c>
      <c r="M80" s="363">
        <f t="shared" si="35"/>
        <v>0</v>
      </c>
      <c r="N80" s="363">
        <f t="shared" si="35"/>
        <v>0</v>
      </c>
      <c r="O80" s="363">
        <f t="shared" si="35"/>
        <v>0</v>
      </c>
      <c r="P80" s="498">
        <f>L80-L35</f>
        <v>0</v>
      </c>
    </row>
    <row r="81" spans="1:18" x14ac:dyDescent="0.3">
      <c r="A81" s="336" t="s">
        <v>1433</v>
      </c>
      <c r="B81" s="335"/>
      <c r="C81" s="335"/>
      <c r="D81" s="329">
        <f t="shared" ref="D81:O81" si="36">IF(D80&gt;0,D80*15%,0)</f>
        <v>167596.81784999988</v>
      </c>
      <c r="E81" s="325">
        <f t="shared" si="36"/>
        <v>417607.18335000001</v>
      </c>
      <c r="F81" s="325">
        <f t="shared" si="36"/>
        <v>495875.77095000062</v>
      </c>
      <c r="G81" s="325">
        <f t="shared" si="36"/>
        <v>558790.77029999963</v>
      </c>
      <c r="H81" s="325">
        <f t="shared" si="36"/>
        <v>314608.82879999984</v>
      </c>
      <c r="I81" s="325">
        <f t="shared" si="36"/>
        <v>434840.13195000013</v>
      </c>
      <c r="J81" s="325">
        <f t="shared" si="36"/>
        <v>340599.39270000072</v>
      </c>
      <c r="K81" s="325">
        <f t="shared" si="36"/>
        <v>352894.59765000135</v>
      </c>
      <c r="L81" s="325">
        <f t="shared" si="36"/>
        <v>423711.57255000109</v>
      </c>
      <c r="M81" s="325">
        <f t="shared" si="36"/>
        <v>0</v>
      </c>
      <c r="N81" s="325">
        <f t="shared" si="36"/>
        <v>0</v>
      </c>
      <c r="O81" s="325">
        <f t="shared" si="36"/>
        <v>0</v>
      </c>
    </row>
    <row r="82" spans="1:18" ht="18" thickBot="1" x14ac:dyDescent="0.35">
      <c r="A82" s="360" t="s">
        <v>1432</v>
      </c>
      <c r="B82" s="359"/>
      <c r="C82" s="359"/>
      <c r="D82" s="325">
        <f t="shared" ref="D82:O82" si="37">IF(D80&gt;D83,((D80-(D83*1))*0.1),0)</f>
        <v>109731.21189999994</v>
      </c>
      <c r="E82" s="325">
        <f t="shared" si="37"/>
        <v>274404.78889999999</v>
      </c>
      <c r="F82" s="325">
        <f t="shared" si="37"/>
        <v>324583.84730000049</v>
      </c>
      <c r="G82" s="325">
        <f t="shared" si="37"/>
        <v>364527.18019999977</v>
      </c>
      <c r="H82" s="325">
        <f t="shared" si="37"/>
        <v>199739.2191999999</v>
      </c>
      <c r="I82" s="325">
        <f t="shared" si="37"/>
        <v>277893.4213000001</v>
      </c>
      <c r="J82" s="325">
        <f t="shared" si="37"/>
        <v>213066.2618000005</v>
      </c>
      <c r="K82" s="325">
        <f t="shared" si="37"/>
        <v>219263.06510000091</v>
      </c>
      <c r="L82" s="325">
        <f t="shared" si="37"/>
        <v>264474.38170000073</v>
      </c>
      <c r="M82" s="325">
        <f t="shared" si="37"/>
        <v>0</v>
      </c>
      <c r="N82" s="325">
        <f t="shared" si="37"/>
        <v>0</v>
      </c>
      <c r="O82" s="325">
        <f t="shared" si="37"/>
        <v>0</v>
      </c>
    </row>
    <row r="83" spans="1:18" ht="18" hidden="1" thickBot="1" x14ac:dyDescent="0.35">
      <c r="B83" s="332"/>
      <c r="C83" s="332"/>
      <c r="D83" s="302">
        <f t="shared" ref="D83:O83" si="38">20000*D5</f>
        <v>20000</v>
      </c>
      <c r="E83" s="302">
        <f t="shared" si="38"/>
        <v>40000</v>
      </c>
      <c r="F83" s="302">
        <f t="shared" si="38"/>
        <v>60000</v>
      </c>
      <c r="G83" s="302">
        <f t="shared" si="38"/>
        <v>80000</v>
      </c>
      <c r="H83" s="302">
        <f t="shared" si="38"/>
        <v>100000</v>
      </c>
      <c r="I83" s="302">
        <f t="shared" si="38"/>
        <v>120000</v>
      </c>
      <c r="J83" s="302">
        <f t="shared" si="38"/>
        <v>140000</v>
      </c>
      <c r="K83" s="302">
        <f t="shared" si="38"/>
        <v>160000</v>
      </c>
      <c r="L83" s="302">
        <f t="shared" si="38"/>
        <v>180000</v>
      </c>
      <c r="M83" s="302">
        <f t="shared" si="38"/>
        <v>200000</v>
      </c>
      <c r="N83" s="302">
        <f t="shared" si="38"/>
        <v>220000</v>
      </c>
      <c r="O83" s="302">
        <f t="shared" si="38"/>
        <v>240000</v>
      </c>
    </row>
    <row r="84" spans="1:18" ht="18" thickBot="1" x14ac:dyDescent="0.35">
      <c r="A84" s="656" t="s">
        <v>1431</v>
      </c>
      <c r="B84" s="657"/>
      <c r="C84" s="665"/>
      <c r="D84" s="331">
        <f t="shared" ref="D84:O84" si="39">D81+D82</f>
        <v>277328.02974999981</v>
      </c>
      <c r="E84" s="331">
        <f t="shared" si="39"/>
        <v>692011.97224999999</v>
      </c>
      <c r="F84" s="331">
        <f t="shared" si="39"/>
        <v>820459.61825000111</v>
      </c>
      <c r="G84" s="331">
        <f t="shared" si="39"/>
        <v>923317.95049999934</v>
      </c>
      <c r="H84" s="331">
        <f t="shared" si="39"/>
        <v>514348.04799999972</v>
      </c>
      <c r="I84" s="331">
        <f t="shared" si="39"/>
        <v>712733.55325000023</v>
      </c>
      <c r="J84" s="331">
        <f t="shared" si="39"/>
        <v>553665.65450000123</v>
      </c>
      <c r="K84" s="331">
        <f t="shared" si="39"/>
        <v>572157.66275000223</v>
      </c>
      <c r="L84" s="331">
        <f t="shared" si="39"/>
        <v>688185.95425000181</v>
      </c>
      <c r="M84" s="331">
        <f t="shared" si="39"/>
        <v>0</v>
      </c>
      <c r="N84" s="331">
        <f t="shared" si="39"/>
        <v>0</v>
      </c>
      <c r="O84" s="331">
        <f t="shared" si="39"/>
        <v>0</v>
      </c>
      <c r="P84" s="358"/>
      <c r="R84" s="302"/>
    </row>
    <row r="85" spans="1:18" x14ac:dyDescent="0.3">
      <c r="A85" s="357"/>
      <c r="B85" s="356"/>
      <c r="C85" s="356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55"/>
      <c r="R85" s="302"/>
    </row>
    <row r="86" spans="1:18" x14ac:dyDescent="0.3">
      <c r="A86" s="345" t="s">
        <v>1430</v>
      </c>
      <c r="B86" s="344"/>
      <c r="C86" s="335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53"/>
      <c r="R86" s="302"/>
    </row>
    <row r="87" spans="1:18" x14ac:dyDescent="0.3">
      <c r="A87" s="354" t="s">
        <v>1429</v>
      </c>
      <c r="B87" s="335"/>
      <c r="C87" s="335">
        <f>C81*4%</f>
        <v>0</v>
      </c>
      <c r="D87" s="338">
        <f t="shared" ref="D87:I87" si="40">IF(D113&gt;D111,D111*-1,D113*-1)*-1</f>
        <v>6703.8727139999955</v>
      </c>
      <c r="E87" s="338">
        <f t="shared" si="40"/>
        <v>16704.287334000001</v>
      </c>
      <c r="F87" s="338">
        <f t="shared" si="40"/>
        <v>19835.030838000024</v>
      </c>
      <c r="G87" s="338">
        <f t="shared" si="40"/>
        <v>22351.630811999985</v>
      </c>
      <c r="H87" s="338">
        <f t="shared" si="40"/>
        <v>12584.353151999994</v>
      </c>
      <c r="I87" s="338">
        <f t="shared" si="40"/>
        <v>17393.605278000006</v>
      </c>
      <c r="J87" s="338">
        <f>[3]IRPJ_CSLL_2023!$J$87</f>
        <v>13623.975708000029</v>
      </c>
      <c r="K87" s="338">
        <f>[3]IRPJ_CSLL_2023!$K$87</f>
        <v>14115.783906000055</v>
      </c>
      <c r="L87" s="338">
        <f>[3]IRPJ_CSLL_2023!$L$87</f>
        <v>16948.462902000003</v>
      </c>
      <c r="M87" s="338"/>
      <c r="N87" s="338"/>
      <c r="O87" s="338"/>
      <c r="P87" s="353"/>
    </row>
    <row r="88" spans="1:18" s="348" customFormat="1" x14ac:dyDescent="0.3">
      <c r="A88" s="351" t="s">
        <v>1428</v>
      </c>
      <c r="B88" s="352">
        <v>411111</v>
      </c>
      <c r="C88" s="351" t="str">
        <f>A88</f>
        <v>Salario Maternidade  - Prorrogação</v>
      </c>
      <c r="D88" s="338">
        <f>D56</f>
        <v>0</v>
      </c>
      <c r="E88" s="338">
        <v>0</v>
      </c>
      <c r="F88" s="338">
        <f>F56</f>
        <v>0</v>
      </c>
      <c r="G88" s="338">
        <f>G13</f>
        <v>0</v>
      </c>
      <c r="H88" s="338">
        <v>0</v>
      </c>
      <c r="I88" s="338">
        <f>I13</f>
        <v>0</v>
      </c>
      <c r="J88" s="350">
        <f>[3]IRPJ_CSLL_2023!$J$88</f>
        <v>15848.95</v>
      </c>
      <c r="K88" s="350">
        <f>[3]IRPJ_CSLL_2023!$K$88</f>
        <v>33396</v>
      </c>
      <c r="L88" s="350">
        <f>[3]IRPJ_CSLL_2023!$L$88</f>
        <v>33962.03</v>
      </c>
      <c r="M88" s="325"/>
      <c r="N88" s="325"/>
      <c r="O88" s="350"/>
      <c r="P88" s="349"/>
    </row>
    <row r="89" spans="1:18" s="348" customFormat="1" x14ac:dyDescent="0.3">
      <c r="A89" s="351" t="s">
        <v>476</v>
      </c>
      <c r="B89" s="352">
        <v>411113</v>
      </c>
      <c r="C89" s="351" t="str">
        <f>A89</f>
        <v>Licença Paternidade Prorrogação</v>
      </c>
      <c r="D89" s="338">
        <f>D57</f>
        <v>0</v>
      </c>
      <c r="E89" s="338">
        <v>0</v>
      </c>
      <c r="F89" s="338">
        <f>F57</f>
        <v>5034.72</v>
      </c>
      <c r="G89" s="325">
        <f>G57</f>
        <v>28673.42</v>
      </c>
      <c r="H89" s="325">
        <f>'[2]05.2023'!H223</f>
        <v>45057.66</v>
      </c>
      <c r="I89" s="350">
        <f>I14</f>
        <v>51621.279999999999</v>
      </c>
      <c r="J89" s="350">
        <f>[3]IRPJ_CSLL_2023!$J$89</f>
        <v>51621.279999999999</v>
      </c>
      <c r="K89" s="350">
        <f>[3]IRPJ_CSLL_2023!$K$89</f>
        <v>59872.6</v>
      </c>
      <c r="L89" s="350">
        <f>[3]IRPJ_CSLL_2023!$L$89</f>
        <v>59872.6</v>
      </c>
      <c r="M89" s="325"/>
      <c r="N89" s="325"/>
      <c r="O89" s="350"/>
      <c r="P89" s="349"/>
    </row>
    <row r="90" spans="1:18" s="348" customFormat="1" x14ac:dyDescent="0.3">
      <c r="A90" s="351" t="s">
        <v>1428</v>
      </c>
      <c r="B90" s="352">
        <v>421110</v>
      </c>
      <c r="C90" s="351" t="str">
        <f>A90</f>
        <v>Salario Maternidade  - Prorrogação</v>
      </c>
      <c r="D90" s="338">
        <f>D60</f>
        <v>18055.72</v>
      </c>
      <c r="E90" s="338">
        <f>'[2]02.2023'!H264</f>
        <v>22715.26</v>
      </c>
      <c r="F90" s="338">
        <f t="shared" ref="F90:H91" si="41">F60</f>
        <v>22715.26</v>
      </c>
      <c r="G90" s="325">
        <f t="shared" si="41"/>
        <v>22715.26</v>
      </c>
      <c r="H90" s="325">
        <f t="shared" si="41"/>
        <v>22715.26</v>
      </c>
      <c r="I90" s="350">
        <f>I17</f>
        <v>22715.26</v>
      </c>
      <c r="J90" s="325">
        <f>[3]IRPJ_CSLL_2023!$J$90</f>
        <v>27764.2</v>
      </c>
      <c r="K90" s="350">
        <f>[3]IRPJ_CSLL_2023!$K$90</f>
        <v>43415.91</v>
      </c>
      <c r="L90" s="350">
        <f>[3]IRPJ_CSLL_2023!$L$90</f>
        <v>53008.9</v>
      </c>
      <c r="M90" s="325"/>
      <c r="N90" s="325"/>
      <c r="O90" s="350"/>
      <c r="P90" s="349"/>
    </row>
    <row r="91" spans="1:18" s="348" customFormat="1" ht="18" thickBot="1" x14ac:dyDescent="0.35">
      <c r="A91" s="351" t="s">
        <v>476</v>
      </c>
      <c r="B91" s="352">
        <v>421112</v>
      </c>
      <c r="C91" s="351" t="str">
        <f>A91</f>
        <v>Licença Paternidade Prorrogação</v>
      </c>
      <c r="D91" s="338">
        <f>D61</f>
        <v>0</v>
      </c>
      <c r="E91" s="338">
        <v>0</v>
      </c>
      <c r="F91" s="338">
        <f t="shared" si="41"/>
        <v>7573.41</v>
      </c>
      <c r="G91" s="333">
        <f t="shared" si="41"/>
        <v>7573.41</v>
      </c>
      <c r="H91" s="335">
        <f t="shared" si="41"/>
        <v>7573.41</v>
      </c>
      <c r="I91" s="325">
        <f>I61</f>
        <v>7573.41</v>
      </c>
      <c r="J91" s="325">
        <f>[3]IRPJ_CSLL_2023!$J$91</f>
        <v>7573.41</v>
      </c>
      <c r="K91" s="350">
        <f>[3]IRPJ_CSLL_2023!$K$91</f>
        <v>7573.41</v>
      </c>
      <c r="L91" s="350">
        <f>[3]IRPJ_CSLL_2023!$L$91</f>
        <v>23536.07</v>
      </c>
      <c r="M91" s="350">
        <v>0</v>
      </c>
      <c r="N91" s="350">
        <v>0</v>
      </c>
      <c r="O91" s="350">
        <v>0</v>
      </c>
      <c r="P91" s="349"/>
    </row>
    <row r="92" spans="1:18" ht="18" thickBot="1" x14ac:dyDescent="0.35">
      <c r="A92" s="656" t="s">
        <v>1427</v>
      </c>
      <c r="B92" s="657"/>
      <c r="C92" s="665">
        <f>SUM(C87:C90)</f>
        <v>0</v>
      </c>
      <c r="D92" s="347">
        <f t="shared" ref="D92:I92" si="42">SUM(D87:D91)</f>
        <v>24759.592713999999</v>
      </c>
      <c r="E92" s="331">
        <f t="shared" si="42"/>
        <v>39419.547334000003</v>
      </c>
      <c r="F92" s="347">
        <f t="shared" si="42"/>
        <v>55158.42083800002</v>
      </c>
      <c r="G92" s="347">
        <f t="shared" si="42"/>
        <v>81313.720811999985</v>
      </c>
      <c r="H92" s="347">
        <f t="shared" si="42"/>
        <v>87930.683151999998</v>
      </c>
      <c r="I92" s="347">
        <f t="shared" si="42"/>
        <v>99303.555278</v>
      </c>
      <c r="J92" s="347">
        <f>SUM(J87:J91)</f>
        <v>116431.81570800002</v>
      </c>
      <c r="K92" s="347">
        <f>SUM(K87:K91)</f>
        <v>158373.70390600007</v>
      </c>
      <c r="L92" s="347">
        <f>SUM(L87:L91)</f>
        <v>187328.06290200001</v>
      </c>
      <c r="M92" s="347">
        <f t="shared" ref="M92:O92" si="43">SUM(M87:M91)</f>
        <v>0</v>
      </c>
      <c r="N92" s="347">
        <f t="shared" si="43"/>
        <v>0</v>
      </c>
      <c r="O92" s="347">
        <f t="shared" si="43"/>
        <v>0</v>
      </c>
    </row>
    <row r="93" spans="1:18" ht="18" thickBot="1" x14ac:dyDescent="0.35">
      <c r="A93" s="336"/>
      <c r="B93" s="335"/>
      <c r="C93" s="335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</row>
    <row r="94" spans="1:18" ht="18" thickBot="1" x14ac:dyDescent="0.35">
      <c r="A94" s="656" t="s">
        <v>1426</v>
      </c>
      <c r="B94" s="657"/>
      <c r="C94" s="665">
        <f>C84-C92</f>
        <v>0</v>
      </c>
      <c r="D94" s="331">
        <f>D84-D92</f>
        <v>252568.43703599981</v>
      </c>
      <c r="E94" s="331">
        <f>E84-E92</f>
        <v>652592.42491599999</v>
      </c>
      <c r="F94" s="331">
        <f>F84-F92</f>
        <v>765301.19741200109</v>
      </c>
      <c r="G94" s="331">
        <f t="shared" ref="G94:O94" si="44">IF(G84-G92&gt;0,G84-G92,0)</f>
        <v>842004.22968799935</v>
      </c>
      <c r="H94" s="331">
        <f t="shared" si="44"/>
        <v>426417.36484799971</v>
      </c>
      <c r="I94" s="331">
        <f t="shared" si="44"/>
        <v>613429.99797200027</v>
      </c>
      <c r="J94" s="331">
        <f t="shared" si="44"/>
        <v>437233.83879200119</v>
      </c>
      <c r="K94" s="331">
        <f t="shared" si="44"/>
        <v>413783.95884400216</v>
      </c>
      <c r="L94" s="331">
        <f t="shared" si="44"/>
        <v>500857.89134800178</v>
      </c>
      <c r="M94" s="331">
        <f t="shared" si="44"/>
        <v>0</v>
      </c>
      <c r="N94" s="331">
        <f t="shared" si="44"/>
        <v>0</v>
      </c>
      <c r="O94" s="331">
        <f t="shared" si="44"/>
        <v>0</v>
      </c>
      <c r="P94" s="346"/>
    </row>
    <row r="95" spans="1:18" x14ac:dyDescent="0.3">
      <c r="A95" s="345" t="s">
        <v>1425</v>
      </c>
      <c r="B95" s="344"/>
      <c r="C95" s="335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</row>
    <row r="96" spans="1:18" x14ac:dyDescent="0.3">
      <c r="A96" s="336" t="s">
        <v>1424</v>
      </c>
      <c r="B96" s="343"/>
      <c r="C96" s="342">
        <v>0</v>
      </c>
      <c r="D96" s="338">
        <f>C100</f>
        <v>0</v>
      </c>
      <c r="E96" s="341">
        <f>D100</f>
        <v>252568.43703599981</v>
      </c>
      <c r="F96" s="341">
        <f>E98+E100</f>
        <v>652592.42491599999</v>
      </c>
      <c r="G96" s="341">
        <f>F98+F100</f>
        <v>765301.19741200109</v>
      </c>
      <c r="H96" s="341">
        <f>G98+G100</f>
        <v>842004.22968799935</v>
      </c>
      <c r="I96" s="342">
        <f t="shared" ref="I96:O96" si="45">H98</f>
        <v>842004.22968799935</v>
      </c>
      <c r="J96" s="341">
        <f t="shared" si="45"/>
        <v>842004.22968799935</v>
      </c>
      <c r="K96" s="341">
        <f t="shared" si="45"/>
        <v>842004.22968799935</v>
      </c>
      <c r="L96" s="341">
        <f t="shared" si="45"/>
        <v>842004.22968799935</v>
      </c>
      <c r="M96" s="341">
        <f t="shared" si="45"/>
        <v>842004.22968799935</v>
      </c>
      <c r="N96" s="341">
        <f t="shared" si="45"/>
        <v>842004.22968799935</v>
      </c>
      <c r="O96" s="341">
        <f t="shared" si="45"/>
        <v>842004.22968799935</v>
      </c>
    </row>
    <row r="97" spans="1:17" ht="18" thickBot="1" x14ac:dyDescent="0.35">
      <c r="A97" s="336" t="s">
        <v>1423</v>
      </c>
      <c r="B97" s="340"/>
      <c r="C97" s="339"/>
      <c r="D97" s="338">
        <v>0</v>
      </c>
      <c r="E97" s="338">
        <v>0</v>
      </c>
      <c r="F97" s="338">
        <v>0</v>
      </c>
      <c r="G97" s="338">
        <v>0</v>
      </c>
      <c r="H97" s="338">
        <v>0</v>
      </c>
      <c r="I97" s="338">
        <v>0</v>
      </c>
      <c r="J97" s="333">
        <v>0</v>
      </c>
      <c r="K97" s="333">
        <v>0</v>
      </c>
      <c r="L97" s="333">
        <v>0</v>
      </c>
      <c r="M97" s="333">
        <v>0</v>
      </c>
      <c r="N97" s="333">
        <v>0</v>
      </c>
      <c r="O97" s="338">
        <v>0</v>
      </c>
      <c r="Q97" s="302"/>
    </row>
    <row r="98" spans="1:17" ht="18" thickBot="1" x14ac:dyDescent="0.35">
      <c r="A98" s="656" t="s">
        <v>1422</v>
      </c>
      <c r="B98" s="657">
        <v>0</v>
      </c>
      <c r="C98" s="665">
        <f t="shared" ref="C98:O98" si="46">SUM(C96:C97)</f>
        <v>0</v>
      </c>
      <c r="D98" s="331">
        <f t="shared" si="46"/>
        <v>0</v>
      </c>
      <c r="E98" s="331">
        <f t="shared" si="46"/>
        <v>252568.43703599981</v>
      </c>
      <c r="F98" s="331">
        <f t="shared" si="46"/>
        <v>652592.42491599999</v>
      </c>
      <c r="G98" s="331">
        <f t="shared" si="46"/>
        <v>765301.19741200109</v>
      </c>
      <c r="H98" s="337">
        <f t="shared" si="46"/>
        <v>842004.22968799935</v>
      </c>
      <c r="I98" s="337">
        <f t="shared" si="46"/>
        <v>842004.22968799935</v>
      </c>
      <c r="J98" s="331">
        <f t="shared" si="46"/>
        <v>842004.22968799935</v>
      </c>
      <c r="K98" s="331">
        <f t="shared" si="46"/>
        <v>842004.22968799935</v>
      </c>
      <c r="L98" s="331">
        <f t="shared" si="46"/>
        <v>842004.22968799935</v>
      </c>
      <c r="M98" s="331">
        <f t="shared" si="46"/>
        <v>842004.22968799935</v>
      </c>
      <c r="N98" s="331">
        <f t="shared" si="46"/>
        <v>842004.22968799935</v>
      </c>
      <c r="O98" s="331">
        <f t="shared" si="46"/>
        <v>842004.22968799935</v>
      </c>
      <c r="Q98" s="302"/>
    </row>
    <row r="99" spans="1:17" ht="18" thickBot="1" x14ac:dyDescent="0.35">
      <c r="A99" s="336"/>
      <c r="B99" s="335"/>
      <c r="C99" s="335"/>
      <c r="D99" s="334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2"/>
    </row>
    <row r="100" spans="1:17" ht="18" thickBot="1" x14ac:dyDescent="0.35">
      <c r="A100" s="656" t="s">
        <v>1421</v>
      </c>
      <c r="B100" s="657"/>
      <c r="C100" s="665">
        <f t="shared" ref="C100:O100" si="47">C94-C98</f>
        <v>0</v>
      </c>
      <c r="D100" s="331">
        <f t="shared" si="47"/>
        <v>252568.43703599981</v>
      </c>
      <c r="E100" s="331">
        <f t="shared" si="47"/>
        <v>400023.98788000015</v>
      </c>
      <c r="F100" s="331">
        <f t="shared" si="47"/>
        <v>112708.7724960011</v>
      </c>
      <c r="G100" s="331">
        <f t="shared" si="47"/>
        <v>76703.032275998266</v>
      </c>
      <c r="H100" s="331">
        <f t="shared" si="47"/>
        <v>-415586.86483999965</v>
      </c>
      <c r="I100" s="331">
        <f t="shared" si="47"/>
        <v>-228574.23171599908</v>
      </c>
      <c r="J100" s="331">
        <f t="shared" si="47"/>
        <v>-404770.39089599816</v>
      </c>
      <c r="K100" s="331">
        <f t="shared" si="47"/>
        <v>-428220.27084399719</v>
      </c>
      <c r="L100" s="331">
        <f t="shared" si="47"/>
        <v>-341146.33833999757</v>
      </c>
      <c r="M100" s="331">
        <f t="shared" si="47"/>
        <v>-842004.22968799935</v>
      </c>
      <c r="N100" s="331">
        <f t="shared" si="47"/>
        <v>-842004.22968799935</v>
      </c>
      <c r="O100" s="331">
        <f t="shared" si="47"/>
        <v>-842004.22968799935</v>
      </c>
    </row>
    <row r="101" spans="1:17" ht="18" thickBot="1" x14ac:dyDescent="0.35"/>
    <row r="102" spans="1:17" ht="18" thickBot="1" x14ac:dyDescent="0.35">
      <c r="A102" s="656" t="s">
        <v>1420</v>
      </c>
      <c r="B102" s="657"/>
      <c r="C102" s="657"/>
      <c r="D102" s="330" t="s">
        <v>1415</v>
      </c>
      <c r="E102" s="330" t="s">
        <v>1414</v>
      </c>
      <c r="F102" s="330" t="s">
        <v>1413</v>
      </c>
      <c r="G102" s="330" t="s">
        <v>1412</v>
      </c>
      <c r="H102" s="330" t="s">
        <v>1411</v>
      </c>
      <c r="I102" s="330" t="s">
        <v>1410</v>
      </c>
      <c r="J102" s="330" t="s">
        <v>1409</v>
      </c>
      <c r="K102" s="330" t="s">
        <v>1408</v>
      </c>
      <c r="L102" s="330" t="s">
        <v>1407</v>
      </c>
      <c r="M102" s="330" t="s">
        <v>1406</v>
      </c>
      <c r="N102" s="330" t="s">
        <v>1405</v>
      </c>
      <c r="O102" s="330" t="s">
        <v>1404</v>
      </c>
    </row>
    <row r="103" spans="1:17" x14ac:dyDescent="0.3">
      <c r="A103" s="327" t="s">
        <v>1419</v>
      </c>
      <c r="B103" s="326"/>
      <c r="C103" s="326"/>
      <c r="D103" s="329">
        <f>[2]IRPJ_CSLL_2022!O103-[2]IRPJ_CSLL_2022!O78</f>
        <v>4403156.1400000025</v>
      </c>
      <c r="E103" s="329">
        <f>IF(E78&lt;0, D103+E78, D103)</f>
        <v>4403156.1400000025</v>
      </c>
      <c r="F103" s="329">
        <f>IF(F78&lt;0, E103+F78, E103)</f>
        <v>4403156.1400000025</v>
      </c>
      <c r="G103" s="329">
        <f>IF(G78&lt;0, F103+G78, F103)</f>
        <v>4403156.1400000025</v>
      </c>
      <c r="H103" s="329">
        <f>IF(H78&lt;0, G103+H78, G103)</f>
        <v>4403156.1400000025</v>
      </c>
      <c r="I103" s="329">
        <f t="shared" ref="I103:O103" si="48">H103+H78</f>
        <v>7399430.7000000011</v>
      </c>
      <c r="J103" s="329">
        <f>[3]IRPJ_CSLL_2023!$J$103</f>
        <v>4403156.1400000025</v>
      </c>
      <c r="K103" s="329">
        <f>[3]IRPJ_CSLL_2023!$K$103</f>
        <v>4403156.1400000025</v>
      </c>
      <c r="L103" s="329">
        <f>[3]IRPJ_CSLL_2023!$L$103</f>
        <v>4403156.1399999997</v>
      </c>
      <c r="M103" s="329">
        <f t="shared" si="48"/>
        <v>8438504.4500000104</v>
      </c>
      <c r="N103" s="329">
        <f t="shared" si="48"/>
        <v>8438504.4500000104</v>
      </c>
      <c r="O103" s="329">
        <f t="shared" si="48"/>
        <v>8438504.4500000104</v>
      </c>
    </row>
    <row r="104" spans="1:17" x14ac:dyDescent="0.3">
      <c r="A104" s="327" t="s">
        <v>1418</v>
      </c>
      <c r="B104" s="326"/>
      <c r="C104" s="326"/>
      <c r="D104" s="328">
        <f t="shared" ref="D104:L104" si="49">D79</f>
        <v>478848.05099999969</v>
      </c>
      <c r="E104" s="328">
        <f t="shared" si="49"/>
        <v>1193163.3810000001</v>
      </c>
      <c r="F104" s="328">
        <f t="shared" si="49"/>
        <v>1416787.9170000018</v>
      </c>
      <c r="G104" s="328">
        <f t="shared" si="49"/>
        <v>1596545.057999999</v>
      </c>
      <c r="H104" s="328">
        <f t="shared" si="49"/>
        <v>898882.36799999955</v>
      </c>
      <c r="I104" s="328">
        <f t="shared" si="49"/>
        <v>1242400.3770000003</v>
      </c>
      <c r="J104" s="328">
        <f t="shared" si="49"/>
        <v>973141.12200000195</v>
      </c>
      <c r="K104" s="328">
        <f t="shared" si="49"/>
        <v>1008270.2790000038</v>
      </c>
      <c r="L104" s="328">
        <f t="shared" si="49"/>
        <v>1210604.4930000028</v>
      </c>
      <c r="M104" s="325">
        <f t="shared" ref="M104:O105" si="50">L104</f>
        <v>1210604.4930000028</v>
      </c>
      <c r="N104" s="325">
        <f t="shared" si="50"/>
        <v>1210604.4930000028</v>
      </c>
      <c r="O104" s="325">
        <f t="shared" si="50"/>
        <v>1210604.4930000028</v>
      </c>
    </row>
    <row r="105" spans="1:17" x14ac:dyDescent="0.3">
      <c r="A105" s="327" t="s">
        <v>1417</v>
      </c>
      <c r="B105" s="326"/>
      <c r="C105" s="326"/>
      <c r="D105" s="325">
        <f t="shared" ref="D105:L105" si="51">D103-D104</f>
        <v>3924308.0890000029</v>
      </c>
      <c r="E105" s="325">
        <f t="shared" si="51"/>
        <v>3209992.7590000024</v>
      </c>
      <c r="F105" s="325">
        <f t="shared" si="51"/>
        <v>2986368.2230000007</v>
      </c>
      <c r="G105" s="325">
        <f t="shared" si="51"/>
        <v>2806611.0820000032</v>
      </c>
      <c r="H105" s="325">
        <f t="shared" si="51"/>
        <v>3504273.7720000027</v>
      </c>
      <c r="I105" s="325">
        <f t="shared" si="51"/>
        <v>6157030.3230000008</v>
      </c>
      <c r="J105" s="325">
        <f t="shared" si="51"/>
        <v>3430015.0180000006</v>
      </c>
      <c r="K105" s="325">
        <f t="shared" si="51"/>
        <v>3394885.8609999986</v>
      </c>
      <c r="L105" s="325">
        <f t="shared" si="51"/>
        <v>3192551.6469999971</v>
      </c>
      <c r="M105" s="325">
        <f t="shared" si="50"/>
        <v>3192551.6469999971</v>
      </c>
      <c r="N105" s="325">
        <f t="shared" si="50"/>
        <v>3192551.6469999971</v>
      </c>
      <c r="O105" s="325">
        <f t="shared" si="50"/>
        <v>3192551.6469999971</v>
      </c>
    </row>
    <row r="107" spans="1:17" ht="18" thickBot="1" x14ac:dyDescent="0.35">
      <c r="C107" s="324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</row>
    <row r="108" spans="1:17" ht="18" thickBot="1" x14ac:dyDescent="0.35">
      <c r="B108" s="322" t="s">
        <v>1416</v>
      </c>
      <c r="C108" s="321"/>
      <c r="D108" s="320" t="s">
        <v>1415</v>
      </c>
      <c r="E108" s="320" t="s">
        <v>1414</v>
      </c>
      <c r="F108" s="320" t="s">
        <v>1413</v>
      </c>
      <c r="G108" s="320" t="s">
        <v>1412</v>
      </c>
      <c r="H108" s="320" t="s">
        <v>1411</v>
      </c>
      <c r="I108" s="320" t="s">
        <v>1410</v>
      </c>
      <c r="J108" s="320" t="s">
        <v>1409</v>
      </c>
      <c r="K108" s="320" t="s">
        <v>1408</v>
      </c>
      <c r="L108" s="320" t="s">
        <v>1407</v>
      </c>
      <c r="M108" s="320" t="s">
        <v>1406</v>
      </c>
      <c r="N108" s="320" t="s">
        <v>1405</v>
      </c>
      <c r="O108" s="320" t="s">
        <v>1404</v>
      </c>
    </row>
    <row r="109" spans="1:17" x14ac:dyDescent="0.3">
      <c r="B109" s="313" t="s">
        <v>1403</v>
      </c>
      <c r="C109" s="319">
        <v>41132</v>
      </c>
      <c r="D109" s="316">
        <f>'[2]01.2023'!H216</f>
        <v>18143.32</v>
      </c>
      <c r="E109" s="316">
        <f>'[2]02.2023'!H222</f>
        <v>170709.37</v>
      </c>
      <c r="F109" s="316">
        <f>'[2]03.2023'!H226</f>
        <v>323722.11</v>
      </c>
      <c r="G109" s="315">
        <f>'[2]04.2023'!H222</f>
        <v>476365.6</v>
      </c>
      <c r="H109" s="315">
        <f>'[2]05.2023'!H233</f>
        <v>629009.09</v>
      </c>
      <c r="I109" s="315">
        <f>'[2]06.2023'!H228</f>
        <v>779436.96</v>
      </c>
      <c r="J109" s="315">
        <f>[3]IRPJ_CSLL_2023!$J$109</f>
        <v>928611.32</v>
      </c>
      <c r="K109" s="315">
        <f>[3]IRPJ_CSLL_2023!$K$109</f>
        <v>1078374.54</v>
      </c>
      <c r="L109" s="315">
        <f>[3]IRPJ_CSLL_2023!$L$109</f>
        <v>1233061.29</v>
      </c>
      <c r="M109" s="315">
        <f>'[2]10.2022'!G235</f>
        <v>1461175.56</v>
      </c>
      <c r="N109" s="315">
        <f>VLOOKUP(C109,'[2]11.2022'!B:G,6,0)</f>
        <v>1603684.86</v>
      </c>
      <c r="O109" s="315">
        <f>'[2]12.2022'!H263</f>
        <v>1886772.51</v>
      </c>
    </row>
    <row r="110" spans="1:17" ht="18" thickBot="1" x14ac:dyDescent="0.35">
      <c r="B110" s="318" t="s">
        <v>1403</v>
      </c>
      <c r="C110" s="317">
        <v>42132</v>
      </c>
      <c r="D110" s="316">
        <f>'[2]01.2023'!H263</f>
        <v>7947.77</v>
      </c>
      <c r="E110" s="316">
        <f>'[2]02.2023'!H274</f>
        <v>77794.039999999994</v>
      </c>
      <c r="F110" s="316">
        <f>'[2]03.2023'!H280</f>
        <v>77794.039999999994</v>
      </c>
      <c r="G110" s="315">
        <f>'[2]04.2023'!H276</f>
        <v>218348.03</v>
      </c>
      <c r="H110" s="315">
        <f>'[2]05.2023'!H287</f>
        <v>288540.13</v>
      </c>
      <c r="I110" s="315">
        <f>'[2]06.2023'!H282</f>
        <v>357713.39</v>
      </c>
      <c r="J110" s="315">
        <f>[3]IRPJ_CSLL_2023!$J$110</f>
        <v>426343.29</v>
      </c>
      <c r="K110" s="315">
        <f>[3]IRPJ_CSLL_2023!$K$110</f>
        <v>495210.91</v>
      </c>
      <c r="L110" s="315">
        <f>[3]IRPJ_CSLL_2023!$L$110</f>
        <v>565875.39</v>
      </c>
      <c r="M110" s="315">
        <f>'[2]10.2022'!G288</f>
        <v>670023.73</v>
      </c>
      <c r="N110" s="315">
        <f>VLOOKUP(C110,'[2]11.2022'!B:G,6,0)</f>
        <v>735754</v>
      </c>
      <c r="O110" s="315">
        <f>'[2]12.2022'!H318</f>
        <v>866557.95</v>
      </c>
    </row>
    <row r="111" spans="1:17" ht="18" thickBot="1" x14ac:dyDescent="0.35">
      <c r="B111" s="658" t="s">
        <v>1387</v>
      </c>
      <c r="C111" s="659"/>
      <c r="D111" s="314">
        <f t="shared" ref="D111:O111" si="52">SUM(D109:D110)</f>
        <v>26091.09</v>
      </c>
      <c r="E111" s="314">
        <f t="shared" si="52"/>
        <v>248503.40999999997</v>
      </c>
      <c r="F111" s="314">
        <f t="shared" si="52"/>
        <v>401516.14999999997</v>
      </c>
      <c r="G111" s="314">
        <f t="shared" si="52"/>
        <v>694713.63</v>
      </c>
      <c r="H111" s="314">
        <f t="shared" si="52"/>
        <v>917549.22</v>
      </c>
      <c r="I111" s="314">
        <f t="shared" si="52"/>
        <v>1137150.3500000001</v>
      </c>
      <c r="J111" s="314">
        <f>SUM(J109:J110)</f>
        <v>1354954.6099999999</v>
      </c>
      <c r="K111" s="314">
        <f>SUM(K109:K110)</f>
        <v>1573585.45</v>
      </c>
      <c r="L111" s="314">
        <f t="shared" si="52"/>
        <v>1798936.6800000002</v>
      </c>
      <c r="M111" s="314">
        <f t="shared" si="52"/>
        <v>2131199.29</v>
      </c>
      <c r="N111" s="314">
        <f t="shared" si="52"/>
        <v>2339438.8600000003</v>
      </c>
      <c r="O111" s="314">
        <f t="shared" si="52"/>
        <v>2753330.46</v>
      </c>
    </row>
    <row r="112" spans="1:17" x14ac:dyDescent="0.3">
      <c r="B112" s="660" t="s">
        <v>1402</v>
      </c>
      <c r="C112" s="661"/>
      <c r="D112" s="312">
        <f t="shared" ref="D112:O112" si="53">D111*0.15</f>
        <v>3913.6634999999997</v>
      </c>
      <c r="E112" s="312">
        <f t="shared" si="53"/>
        <v>37275.511499999993</v>
      </c>
      <c r="F112" s="312">
        <f t="shared" si="53"/>
        <v>60227.422499999993</v>
      </c>
      <c r="G112" s="312">
        <f t="shared" si="53"/>
        <v>104207.0445</v>
      </c>
      <c r="H112" s="312">
        <f t="shared" si="53"/>
        <v>137632.383</v>
      </c>
      <c r="I112" s="312">
        <f t="shared" si="53"/>
        <v>170572.55250000002</v>
      </c>
      <c r="J112" s="312">
        <f>J111*0.15</f>
        <v>203243.19149999999</v>
      </c>
      <c r="K112" s="312">
        <f t="shared" si="53"/>
        <v>236037.81749999998</v>
      </c>
      <c r="L112" s="312">
        <f t="shared" si="53"/>
        <v>269840.50200000004</v>
      </c>
      <c r="M112" s="312">
        <f t="shared" si="53"/>
        <v>319679.89350000001</v>
      </c>
      <c r="N112" s="312">
        <f t="shared" si="53"/>
        <v>350915.82900000003</v>
      </c>
      <c r="O112" s="312">
        <f t="shared" si="53"/>
        <v>412999.56899999996</v>
      </c>
    </row>
    <row r="113" spans="2:15" x14ac:dyDescent="0.3">
      <c r="B113" s="313" t="s">
        <v>1401</v>
      </c>
      <c r="C113" s="310"/>
      <c r="D113" s="312">
        <f t="shared" ref="D113:O113" si="54">D81*0.04</f>
        <v>6703.8727139999955</v>
      </c>
      <c r="E113" s="312">
        <f t="shared" si="54"/>
        <v>16704.287334000001</v>
      </c>
      <c r="F113" s="312">
        <f t="shared" si="54"/>
        <v>19835.030838000024</v>
      </c>
      <c r="G113" s="312">
        <f t="shared" si="54"/>
        <v>22351.630811999985</v>
      </c>
      <c r="H113" s="312">
        <f t="shared" si="54"/>
        <v>12584.353151999994</v>
      </c>
      <c r="I113" s="312">
        <f t="shared" si="54"/>
        <v>17393.605278000006</v>
      </c>
      <c r="J113" s="312">
        <f>J81*0.04</f>
        <v>13623.975708000029</v>
      </c>
      <c r="K113" s="312">
        <f t="shared" si="54"/>
        <v>14115.783906000055</v>
      </c>
      <c r="L113" s="312">
        <f>L81*0.04</f>
        <v>16948.462902000043</v>
      </c>
      <c r="M113" s="312">
        <f t="shared" si="54"/>
        <v>0</v>
      </c>
      <c r="N113" s="312">
        <f t="shared" si="54"/>
        <v>0</v>
      </c>
      <c r="O113" s="312">
        <f t="shared" si="54"/>
        <v>0</v>
      </c>
    </row>
    <row r="114" spans="2:15" x14ac:dyDescent="0.3">
      <c r="B114" s="311" t="s">
        <v>1400</v>
      </c>
      <c r="C114" s="310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</row>
    <row r="115" spans="2:15" ht="18" thickBot="1" x14ac:dyDescent="0.35">
      <c r="B115" s="308" t="s">
        <v>1399</v>
      </c>
      <c r="C115" s="307"/>
      <c r="D115" s="306">
        <f t="shared" ref="D115:O115" si="55">IF(D113&gt;0,(D112-D113),0)</f>
        <v>-2790.2092139999959</v>
      </c>
      <c r="E115" s="306">
        <f t="shared" si="55"/>
        <v>20571.224165999993</v>
      </c>
      <c r="F115" s="306">
        <f t="shared" si="55"/>
        <v>40392.391661999965</v>
      </c>
      <c r="G115" s="306">
        <f t="shared" si="55"/>
        <v>81855.413688000015</v>
      </c>
      <c r="H115" s="306">
        <f t="shared" si="55"/>
        <v>125048.02984800001</v>
      </c>
      <c r="I115" s="306">
        <f t="shared" si="55"/>
        <v>153178.94722200002</v>
      </c>
      <c r="J115" s="306">
        <f t="shared" si="55"/>
        <v>189619.21579199994</v>
      </c>
      <c r="K115" s="306">
        <f t="shared" si="55"/>
        <v>221922.03359399992</v>
      </c>
      <c r="L115" s="306">
        <f t="shared" si="55"/>
        <v>252892.03909799998</v>
      </c>
      <c r="M115" s="306">
        <f t="shared" si="55"/>
        <v>0</v>
      </c>
      <c r="N115" s="306">
        <f t="shared" si="55"/>
        <v>0</v>
      </c>
      <c r="O115" s="306">
        <f t="shared" si="55"/>
        <v>0</v>
      </c>
    </row>
    <row r="116" spans="2:15" x14ac:dyDescent="0.3">
      <c r="B116" s="304"/>
      <c r="C116" s="305"/>
      <c r="D116" s="304"/>
      <c r="E116" s="304"/>
    </row>
    <row r="117" spans="2:15" x14ac:dyDescent="0.3">
      <c r="K117" s="303"/>
    </row>
    <row r="119" spans="2:15" x14ac:dyDescent="0.3">
      <c r="K119" s="302"/>
    </row>
    <row r="125" spans="2:15" x14ac:dyDescent="0.3">
      <c r="B125" s="300" t="s">
        <v>1398</v>
      </c>
    </row>
    <row r="126" spans="2:15" x14ac:dyDescent="0.3">
      <c r="B126" s="300" t="s">
        <v>1397</v>
      </c>
    </row>
    <row r="127" spans="2:15" x14ac:dyDescent="0.3">
      <c r="B127" s="300" t="s">
        <v>1396</v>
      </c>
      <c r="F127" s="302">
        <f>+F36+F94</f>
        <v>1062826.6599820014</v>
      </c>
    </row>
    <row r="128" spans="2:15" x14ac:dyDescent="0.3">
      <c r="F128" s="303">
        <f>-P16</f>
        <v>0</v>
      </c>
    </row>
    <row r="129" spans="2:6" x14ac:dyDescent="0.3">
      <c r="B129" s="300" t="s">
        <v>1145</v>
      </c>
      <c r="F129" s="302">
        <f>+F128-F127</f>
        <v>-1062826.6599820014</v>
      </c>
    </row>
    <row r="130" spans="2:6" x14ac:dyDescent="0.3">
      <c r="B130" s="300" t="s">
        <v>1395</v>
      </c>
    </row>
    <row r="131" spans="2:6" x14ac:dyDescent="0.3">
      <c r="B131" s="300" t="s">
        <v>1394</v>
      </c>
    </row>
  </sheetData>
  <autoFilter ref="A6:I7"/>
  <mergeCells count="33">
    <mergeCell ref="A38:C38"/>
    <mergeCell ref="A6:A7"/>
    <mergeCell ref="A9:C9"/>
    <mergeCell ref="A11:C11"/>
    <mergeCell ref="A12:C12"/>
    <mergeCell ref="A13:A26"/>
    <mergeCell ref="A27:C27"/>
    <mergeCell ref="A28:C28"/>
    <mergeCell ref="A29:A30"/>
    <mergeCell ref="A32:C32"/>
    <mergeCell ref="A35:C35"/>
    <mergeCell ref="A36:C36"/>
    <mergeCell ref="A78:C78"/>
    <mergeCell ref="A42:C42"/>
    <mergeCell ref="A44:C44"/>
    <mergeCell ref="A49:A50"/>
    <mergeCell ref="A52:C52"/>
    <mergeCell ref="A54:C54"/>
    <mergeCell ref="A55:C55"/>
    <mergeCell ref="A56:A69"/>
    <mergeCell ref="A71:C71"/>
    <mergeCell ref="A72:C72"/>
    <mergeCell ref="A76:C76"/>
    <mergeCell ref="A73:A74"/>
    <mergeCell ref="A102:C102"/>
    <mergeCell ref="B111:C111"/>
    <mergeCell ref="B112:C112"/>
    <mergeCell ref="A80:C80"/>
    <mergeCell ref="A84:C84"/>
    <mergeCell ref="A92:C92"/>
    <mergeCell ref="A94:C94"/>
    <mergeCell ref="A98:C98"/>
    <mergeCell ref="A100:C100"/>
  </mergeCells>
  <conditionalFormatting sqref="B96">
    <cfRule type="cellIs" dxfId="3" priority="13" operator="lessThan">
      <formula>0</formula>
    </cfRule>
  </conditionalFormatting>
  <conditionalFormatting sqref="D33:O33">
    <cfRule type="cellIs" dxfId="2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landscape" r:id="rId1"/>
  <rowBreaks count="1" manualBreakCount="1">
    <brk id="47" max="14" man="1"/>
  </rowBreaks>
  <colBreaks count="1" manualBreakCount="1">
    <brk id="11" max="10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1"/>
  <sheetViews>
    <sheetView showGridLines="0" zoomScale="84" zoomScaleNormal="84" workbookViewId="0">
      <pane xSplit="3" ySplit="6" topLeftCell="K76" activePane="bottomRight" state="frozen"/>
      <selection pane="topRight"/>
      <selection pane="bottomLeft"/>
      <selection pane="bottomRight" activeCell="R85" sqref="R85"/>
    </sheetView>
  </sheetViews>
  <sheetFormatPr defaultColWidth="9.140625" defaultRowHeight="17.25" x14ac:dyDescent="0.3"/>
  <cols>
    <col min="1" max="1" width="50.85546875" style="300" customWidth="1"/>
    <col min="2" max="2" width="38.85546875" style="300" customWidth="1"/>
    <col min="3" max="3" width="39.42578125" style="300" customWidth="1"/>
    <col min="4" max="4" width="18.28515625" style="302" customWidth="1"/>
    <col min="5" max="5" width="20.28515625" style="302" customWidth="1"/>
    <col min="6" max="6" width="18.28515625" style="300" customWidth="1"/>
    <col min="7" max="7" width="19.5703125" style="300" customWidth="1"/>
    <col min="8" max="8" width="19.140625" style="300" customWidth="1"/>
    <col min="9" max="9" width="17.5703125" style="300" customWidth="1"/>
    <col min="10" max="11" width="18.28515625" style="300" bestFit="1" customWidth="1"/>
    <col min="12" max="12" width="19.5703125" style="300" bestFit="1" customWidth="1"/>
    <col min="13" max="13" width="19.5703125" style="300" hidden="1" customWidth="1"/>
    <col min="14" max="14" width="19.42578125" style="300" hidden="1" customWidth="1"/>
    <col min="15" max="15" width="18.28515625" style="300" hidden="1" customWidth="1"/>
    <col min="16" max="16" width="15.85546875" style="301" bestFit="1" customWidth="1"/>
    <col min="17" max="17" width="17" style="300" customWidth="1"/>
    <col min="18" max="18" width="18.140625" style="300" bestFit="1" customWidth="1"/>
    <col min="19" max="16384" width="9.140625" style="300"/>
  </cols>
  <sheetData>
    <row r="1" spans="1:16" s="461" customFormat="1" x14ac:dyDescent="0.3">
      <c r="D1" s="466"/>
      <c r="E1" s="466"/>
      <c r="P1" s="462"/>
    </row>
    <row r="2" spans="1:16" s="461" customFormat="1" ht="20.25" x14ac:dyDescent="0.3">
      <c r="B2" s="465" t="s">
        <v>1470</v>
      </c>
      <c r="D2" s="465"/>
      <c r="E2" s="464">
        <f>+E94+E36</f>
        <v>579989.30795200018</v>
      </c>
      <c r="P2" s="462"/>
    </row>
    <row r="3" spans="1:16" s="461" customFormat="1" ht="20.25" x14ac:dyDescent="0.3">
      <c r="B3" s="463" t="s">
        <v>1475</v>
      </c>
      <c r="D3" s="463"/>
      <c r="E3" s="463"/>
      <c r="P3" s="462"/>
    </row>
    <row r="4" spans="1:16" ht="20.25" x14ac:dyDescent="0.3">
      <c r="B4" s="460" t="s">
        <v>1468</v>
      </c>
      <c r="D4" s="460"/>
      <c r="E4" s="460"/>
    </row>
    <row r="5" spans="1:16" ht="20.25" x14ac:dyDescent="0.3">
      <c r="B5" s="460"/>
      <c r="D5" s="460">
        <v>1</v>
      </c>
      <c r="E5" s="460">
        <v>2</v>
      </c>
      <c r="F5" s="300">
        <v>3</v>
      </c>
      <c r="G5" s="460">
        <v>4</v>
      </c>
      <c r="H5" s="460">
        <v>5</v>
      </c>
      <c r="I5" s="300">
        <v>6</v>
      </c>
      <c r="J5" s="460">
        <v>7</v>
      </c>
      <c r="K5" s="460">
        <v>8</v>
      </c>
      <c r="L5" s="300">
        <v>9</v>
      </c>
      <c r="M5" s="460">
        <v>10</v>
      </c>
      <c r="N5" s="460">
        <v>11</v>
      </c>
      <c r="O5" s="300">
        <v>12</v>
      </c>
    </row>
    <row r="6" spans="1:16" s="458" customFormat="1" ht="33" customHeight="1" x14ac:dyDescent="0.3">
      <c r="A6" s="672" t="s">
        <v>1467</v>
      </c>
      <c r="B6" s="416" t="s">
        <v>1453</v>
      </c>
      <c r="C6" s="415" t="s">
        <v>266</v>
      </c>
      <c r="D6" s="414" t="s">
        <v>1415</v>
      </c>
      <c r="E6" s="414" t="s">
        <v>1414</v>
      </c>
      <c r="F6" s="414" t="s">
        <v>1413</v>
      </c>
      <c r="G6" s="414" t="s">
        <v>1412</v>
      </c>
      <c r="H6" s="414" t="s">
        <v>1411</v>
      </c>
      <c r="I6" s="414" t="s">
        <v>1410</v>
      </c>
      <c r="J6" s="414" t="s">
        <v>1409</v>
      </c>
      <c r="K6" s="414" t="s">
        <v>1408</v>
      </c>
      <c r="L6" s="414" t="s">
        <v>1407</v>
      </c>
      <c r="M6" s="414" t="s">
        <v>1406</v>
      </c>
      <c r="N6" s="414" t="s">
        <v>1405</v>
      </c>
      <c r="O6" s="414" t="s">
        <v>1404</v>
      </c>
      <c r="P6" s="459"/>
    </row>
    <row r="7" spans="1:16" x14ac:dyDescent="0.3">
      <c r="A7" s="673"/>
      <c r="B7" s="413">
        <v>3</v>
      </c>
      <c r="C7" s="336" t="s">
        <v>56</v>
      </c>
      <c r="D7" s="412">
        <f>-'[2]01.2022'!G1348</f>
        <v>9473052.0600000005</v>
      </c>
      <c r="E7" s="412">
        <f>-'[2]02.2022'!G1355</f>
        <v>19581925.629999999</v>
      </c>
      <c r="F7" s="412">
        <f>-'[2]03.2022'!G1357</f>
        <v>26107789.34</v>
      </c>
      <c r="G7" s="350">
        <f>-'[2]04.2022'!G1361</f>
        <v>39850436.390000001</v>
      </c>
      <c r="H7" s="350">
        <f>'[2]05.2022'!G1366</f>
        <v>47289761.380000003</v>
      </c>
      <c r="I7" s="350">
        <f>'[2]06.2022'!G203</f>
        <v>58270033.719999999</v>
      </c>
      <c r="J7" s="350">
        <f>[3]IRPJ_CSLL_2022!$J$7</f>
        <v>68508548.799999997</v>
      </c>
      <c r="K7" s="325">
        <f>[3]IRPJ_CSLL_2022!$K$7</f>
        <v>77878509.329999998</v>
      </c>
      <c r="L7" s="457">
        <f>[3]IRPJ_CSLL_2022!$L$7</f>
        <v>86966560.060000002</v>
      </c>
      <c r="M7" s="457"/>
      <c r="N7" s="325"/>
      <c r="O7" s="350"/>
      <c r="P7" s="362"/>
    </row>
    <row r="8" spans="1:16" ht="35.25" thickBot="1" x14ac:dyDescent="0.35">
      <c r="A8" s="404" t="s">
        <v>1466</v>
      </c>
      <c r="B8" s="410">
        <v>4</v>
      </c>
      <c r="C8" s="360" t="s">
        <v>196</v>
      </c>
      <c r="D8" s="408">
        <f>'[2]01.2022'!G1427</f>
        <v>8384058.8799999999</v>
      </c>
      <c r="E8" s="408">
        <f>'[2]02.2022'!G1434</f>
        <v>17552573.829999998</v>
      </c>
      <c r="F8" s="412">
        <f>'[2]03.2022'!G1436</f>
        <v>26984381.649999999</v>
      </c>
      <c r="G8" s="350">
        <f>'[2]04.2022'!G1440</f>
        <v>36816461.890000001</v>
      </c>
      <c r="H8" s="350">
        <f>'[2]05.2022'!G1445</f>
        <v>45993774.890000001</v>
      </c>
      <c r="I8" s="350">
        <f>'[2]06.2022'!G225</f>
        <v>58268983.640000001</v>
      </c>
      <c r="J8" s="350">
        <f>[3]IRPJ_CSLL_2022!$J$8</f>
        <v>67932268.450000003</v>
      </c>
      <c r="K8" s="325">
        <f>[3]IRPJ_CSLL_2022!$K$8</f>
        <v>77641537.030000001</v>
      </c>
      <c r="L8" s="350">
        <f>[3]IRPJ_CSLL_2022!$L$8</f>
        <v>86955557.159999996</v>
      </c>
      <c r="M8" s="325"/>
      <c r="N8" s="325"/>
      <c r="O8" s="350"/>
      <c r="P8" s="362"/>
    </row>
    <row r="9" spans="1:16" ht="18" thickBot="1" x14ac:dyDescent="0.35">
      <c r="A9" s="691" t="s">
        <v>1465</v>
      </c>
      <c r="B9" s="692"/>
      <c r="C9" s="693"/>
      <c r="D9" s="363">
        <f t="shared" ref="D9" si="0">D7-D8</f>
        <v>1088993.1800000006</v>
      </c>
      <c r="E9" s="456">
        <f>E7-E8</f>
        <v>2029351.8000000007</v>
      </c>
      <c r="F9" s="455">
        <f>F7-F8</f>
        <v>-876592.30999999866</v>
      </c>
      <c r="G9" s="363">
        <f>G7-G8</f>
        <v>3033974.5</v>
      </c>
      <c r="H9" s="364">
        <f>H7-H8</f>
        <v>1295986.4900000021</v>
      </c>
      <c r="I9" s="507">
        <f>I7-I8</f>
        <v>1050.0799999982119</v>
      </c>
      <c r="J9" s="363">
        <f t="shared" ref="J9" si="1">J7-J8</f>
        <v>576280.34999999404</v>
      </c>
      <c r="K9" s="363">
        <f>K7-K8</f>
        <v>236972.29999999702</v>
      </c>
      <c r="L9" s="363">
        <f>L7-L8</f>
        <v>11002.90000000596</v>
      </c>
      <c r="M9" s="363">
        <f t="shared" ref="M9" si="2">M7-M8</f>
        <v>0</v>
      </c>
      <c r="N9" s="363">
        <f>N7-N8</f>
        <v>0</v>
      </c>
      <c r="O9" s="363">
        <f t="shared" ref="O9" si="3">O7-O8</f>
        <v>0</v>
      </c>
    </row>
    <row r="10" spans="1:16" ht="18" thickBot="1" x14ac:dyDescent="0.35">
      <c r="A10" s="454"/>
      <c r="B10" s="453" t="s">
        <v>1450</v>
      </c>
      <c r="C10" s="357" t="s">
        <v>1449</v>
      </c>
      <c r="D10" s="393">
        <v>0</v>
      </c>
      <c r="E10" s="393">
        <f>'[2]02.2022'!G1671+'[2]02.2022'!G1674</f>
        <v>287520.53999999998</v>
      </c>
      <c r="F10" s="350">
        <f>'[2]03.2022'!G668+'[2]03.2022'!G1671</f>
        <v>579989.31000000006</v>
      </c>
      <c r="G10" s="350">
        <f>'[2]04.2022'!G1676+'[2]04.2022'!G1679</f>
        <v>579989.31000000006</v>
      </c>
      <c r="H10" s="350">
        <f>'[2]05.2022'!G1681+'[2]05.2022'!G1684</f>
        <v>935173.29</v>
      </c>
      <c r="I10" s="350">
        <f>'[2]06.2022'!G331+'[2]06.2022'!G333</f>
        <v>135998.71</v>
      </c>
      <c r="J10" s="350">
        <f>[3]IRPJ_CSLL_2022!$J$10</f>
        <v>135998.71</v>
      </c>
      <c r="K10" s="350">
        <f>[3]IRPJ_CSLL_2022!$K$10</f>
        <v>323361.78000000003</v>
      </c>
      <c r="L10" s="350">
        <v>230065.94</v>
      </c>
      <c r="M10" s="350"/>
      <c r="N10" s="350"/>
      <c r="O10" s="350"/>
      <c r="P10" s="362"/>
    </row>
    <row r="11" spans="1:16" ht="18" thickBot="1" x14ac:dyDescent="0.35">
      <c r="A11" s="666" t="s">
        <v>1464</v>
      </c>
      <c r="B11" s="667"/>
      <c r="C11" s="668"/>
      <c r="D11" s="398">
        <f t="shared" ref="D11:K11" si="4">D9+D10</f>
        <v>1088993.1800000006</v>
      </c>
      <c r="E11" s="398">
        <f t="shared" si="4"/>
        <v>2316872.3400000008</v>
      </c>
      <c r="F11" s="452">
        <f t="shared" si="4"/>
        <v>-296602.9999999986</v>
      </c>
      <c r="G11" s="398">
        <f t="shared" si="4"/>
        <v>3613963.81</v>
      </c>
      <c r="H11" s="400">
        <f t="shared" si="4"/>
        <v>2231159.7800000021</v>
      </c>
      <c r="I11" s="400">
        <f>I9+I10</f>
        <v>137048.7899999982</v>
      </c>
      <c r="J11" s="398">
        <f t="shared" si="4"/>
        <v>712279.059999994</v>
      </c>
      <c r="K11" s="398">
        <f t="shared" si="4"/>
        <v>560334.07999999705</v>
      </c>
      <c r="L11" s="398">
        <f>L9+L10</f>
        <v>241068.84000000596</v>
      </c>
      <c r="M11" s="398">
        <f>M9+M10</f>
        <v>0</v>
      </c>
      <c r="N11" s="398">
        <f>N9+N10</f>
        <v>0</v>
      </c>
      <c r="O11" s="398">
        <f>O9+O10</f>
        <v>0</v>
      </c>
      <c r="P11" s="612">
        <f>L11*34%</f>
        <v>81963.405600002035</v>
      </c>
    </row>
    <row r="12" spans="1:16" s="348" customFormat="1" ht="18" thickBot="1" x14ac:dyDescent="0.3">
      <c r="A12" s="677" t="s">
        <v>1447</v>
      </c>
      <c r="B12" s="678"/>
      <c r="C12" s="679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49"/>
    </row>
    <row r="13" spans="1:16" s="348" customFormat="1" x14ac:dyDescent="0.3">
      <c r="A13" s="694" t="s">
        <v>1446</v>
      </c>
      <c r="B13" s="352">
        <v>411111</v>
      </c>
      <c r="C13" s="351" t="s">
        <v>1428</v>
      </c>
      <c r="D13" s="412">
        <f>'[2]01.2022'!G1441</f>
        <v>0</v>
      </c>
      <c r="E13" s="412">
        <f>'[2]02.2022'!G1448</f>
        <v>0</v>
      </c>
      <c r="F13" s="412">
        <f>'[2]03.2022'!G1449</f>
        <v>0</v>
      </c>
      <c r="G13" s="412">
        <f>'[2]04.2022'!G1454</f>
        <v>22161.22</v>
      </c>
      <c r="H13" s="412">
        <f>'[2]05.2022'!G1459</f>
        <v>46696.86</v>
      </c>
      <c r="I13" s="482">
        <f>'[2]06.2022'!G233</f>
        <v>47574.65</v>
      </c>
      <c r="J13" s="350">
        <f>[3]IRPJ_CSLL_2022!$J$13</f>
        <v>47574.65</v>
      </c>
      <c r="K13" s="325">
        <f>[3]IRPJ_CSLL_2022!$K$13</f>
        <v>47574.65</v>
      </c>
      <c r="L13" s="350">
        <f>[3]IRPJ_CSLL_2022!$L$13</f>
        <v>47574.65</v>
      </c>
      <c r="M13" s="325"/>
      <c r="N13" s="325"/>
      <c r="O13" s="350"/>
      <c r="P13" s="450">
        <f>L13*34%</f>
        <v>16175.381000000001</v>
      </c>
    </row>
    <row r="14" spans="1:16" s="348" customFormat="1" x14ac:dyDescent="0.3">
      <c r="A14" s="680"/>
      <c r="B14" s="352">
        <v>411113</v>
      </c>
      <c r="C14" s="351" t="s">
        <v>476</v>
      </c>
      <c r="D14" s="412">
        <f>'[2]01.2022'!G1442</f>
        <v>2089.2199999999998</v>
      </c>
      <c r="E14" s="412">
        <f>'[2]02.2022'!G1449</f>
        <v>16283.03</v>
      </c>
      <c r="F14" s="412">
        <f>'[2]03.2022'!G1451</f>
        <v>16283.03</v>
      </c>
      <c r="G14" s="412">
        <f>'[2]04.2022'!G1455</f>
        <v>24525.7</v>
      </c>
      <c r="H14" s="412">
        <f>'[2]05.2022'!G1460</f>
        <v>24525.7</v>
      </c>
      <c r="I14" s="482">
        <f>'[2]06.2022'!G234</f>
        <v>25354.66</v>
      </c>
      <c r="J14" s="350">
        <f>[3]IRPJ_CSLL_2022!$J$14</f>
        <v>25354.66</v>
      </c>
      <c r="K14" s="325">
        <f>[3]IRPJ_CSLL_2022!$K$14</f>
        <v>25354.66</v>
      </c>
      <c r="L14" s="350">
        <f>[3]IRPJ_CSLL_2022!$L$14</f>
        <v>25354.66</v>
      </c>
      <c r="M14" s="325"/>
      <c r="N14" s="325"/>
      <c r="O14" s="350"/>
      <c r="P14" s="450">
        <f t="shared" ref="P14:P26" si="5">L14*34%</f>
        <v>8620.5843999999997</v>
      </c>
    </row>
    <row r="15" spans="1:16" s="348" customFormat="1" x14ac:dyDescent="0.3">
      <c r="A15" s="680"/>
      <c r="B15" s="352">
        <v>411310</v>
      </c>
      <c r="C15" s="351" t="s">
        <v>207</v>
      </c>
      <c r="D15" s="412">
        <f>'[2]01.2022'!G1463</f>
        <v>438</v>
      </c>
      <c r="E15" s="412">
        <f>'[2]02.2022'!G1470</f>
        <v>876</v>
      </c>
      <c r="F15" s="412">
        <f>'[2]03.2022'!G1472</f>
        <v>1314</v>
      </c>
      <c r="G15" s="412">
        <f>'[2]04.2022'!G1476</f>
        <v>1752</v>
      </c>
      <c r="H15" s="412">
        <f>'[2]05.2022'!G1481</f>
        <v>2190</v>
      </c>
      <c r="I15" s="482">
        <f>'[2]06.2022'!G248</f>
        <v>2580</v>
      </c>
      <c r="J15" s="350">
        <f>[3]IRPJ_CSLL_2022!$J$15</f>
        <v>2996</v>
      </c>
      <c r="K15" s="325">
        <f>[3]IRPJ_CSLL_2022!$K$15</f>
        <v>3412</v>
      </c>
      <c r="L15" s="350">
        <f>[3]IRPJ_CSLL_2022!$L$15</f>
        <v>3828</v>
      </c>
      <c r="M15" s="325"/>
      <c r="N15" s="325"/>
      <c r="O15" s="350"/>
      <c r="P15" s="450">
        <f t="shared" si="5"/>
        <v>1301.52</v>
      </c>
    </row>
    <row r="16" spans="1:16" s="348" customFormat="1" x14ac:dyDescent="0.3">
      <c r="A16" s="680"/>
      <c r="B16" s="352">
        <v>416211</v>
      </c>
      <c r="C16" s="351" t="s">
        <v>1441</v>
      </c>
      <c r="D16" s="412">
        <f>'[2]01.2022'!G1557</f>
        <v>0</v>
      </c>
      <c r="E16" s="412">
        <f>'[2]02.2022'!G1564</f>
        <v>0</v>
      </c>
      <c r="F16" s="412">
        <f>'[2]03.2022'!G1566</f>
        <v>0</v>
      </c>
      <c r="G16" s="350">
        <f>'[2]04.2022'!G1570</f>
        <v>0</v>
      </c>
      <c r="H16" s="350">
        <f>'[2]05.2022'!G1575</f>
        <v>0</v>
      </c>
      <c r="I16" s="350">
        <v>0</v>
      </c>
      <c r="J16" s="350">
        <f>[3]IRPJ_CSLL_2022!$J$16</f>
        <v>0</v>
      </c>
      <c r="K16" s="350">
        <f>[3]IRPJ_CSLL_2022!$K$16</f>
        <v>0</v>
      </c>
      <c r="L16" s="350">
        <f>[3]IRPJ_CSLL_2022!$L$16</f>
        <v>0</v>
      </c>
      <c r="M16" s="350"/>
      <c r="N16" s="350"/>
      <c r="O16" s="350"/>
      <c r="P16" s="450">
        <f t="shared" si="5"/>
        <v>0</v>
      </c>
    </row>
    <row r="17" spans="1:18" x14ac:dyDescent="0.3">
      <c r="A17" s="680"/>
      <c r="B17" s="352">
        <v>421110</v>
      </c>
      <c r="C17" s="351" t="s">
        <v>1428</v>
      </c>
      <c r="D17" s="412">
        <f>'[2]01.2022'!G1580</f>
        <v>0</v>
      </c>
      <c r="E17" s="412">
        <f>'[2]02.2022'!G1587</f>
        <v>0</v>
      </c>
      <c r="F17" s="412">
        <f>'[2]03.2022'!G1589</f>
        <v>0</v>
      </c>
      <c r="G17" s="350">
        <f>'[2]04.2022'!G1593</f>
        <v>0</v>
      </c>
      <c r="H17" s="412">
        <f>-(IRPJ_CSLL_2022!I15+IRPJ_CSLL_2022!I19+IRPJ_CSLL_2022!I25-IRPJ_CSLL_2022!F25-IRPJ_CSLL_2022!F19-IRPJ_CSLL_2022!F15)</f>
        <v>-11770.000000000004</v>
      </c>
      <c r="I17" s="482">
        <f>'[2]06.2022'!G288</f>
        <v>20913.98</v>
      </c>
      <c r="J17" s="350">
        <f>[3]IRPJ_CSLL_2022!$J$17</f>
        <v>57368.88</v>
      </c>
      <c r="K17" s="325">
        <f>[3]IRPJ_CSLL_2022!$K$17</f>
        <v>84127.62</v>
      </c>
      <c r="L17" s="350">
        <f>[3]IRPJ_CSLL_2022!$L$17</f>
        <v>84127.62</v>
      </c>
      <c r="M17" s="325"/>
      <c r="N17" s="325"/>
      <c r="O17" s="350"/>
      <c r="P17" s="450">
        <f t="shared" si="5"/>
        <v>28603.390800000001</v>
      </c>
    </row>
    <row r="18" spans="1:18" x14ac:dyDescent="0.3">
      <c r="A18" s="680"/>
      <c r="B18" s="352">
        <v>421112</v>
      </c>
      <c r="C18" s="351" t="s">
        <v>476</v>
      </c>
      <c r="D18" s="412">
        <f>'[2]01.2022'!G1581</f>
        <v>0</v>
      </c>
      <c r="E18" s="412">
        <f>'[2]02.2022'!G1588</f>
        <v>0</v>
      </c>
      <c r="F18" s="412">
        <f>'[2]03.2022'!G1590</f>
        <v>0</v>
      </c>
      <c r="G18" s="350">
        <f>'[2]04.2022'!G1594</f>
        <v>0</v>
      </c>
      <c r="H18" s="350">
        <f>'[2]05.2022'!G1599</f>
        <v>0</v>
      </c>
      <c r="I18" s="482">
        <v>0</v>
      </c>
      <c r="J18" s="350">
        <f>[3]IRPJ_CSLL_2022!$J$18</f>
        <v>0</v>
      </c>
      <c r="K18" s="350">
        <f>[3]IRPJ_CSLL_2022!$K$18</f>
        <v>0</v>
      </c>
      <c r="L18" s="350">
        <f>[3]IRPJ_CSLL_2022!$L$18</f>
        <v>0</v>
      </c>
      <c r="M18" s="350"/>
      <c r="N18" s="350"/>
      <c r="O18" s="350"/>
      <c r="P18" s="450">
        <f t="shared" si="5"/>
        <v>0</v>
      </c>
    </row>
    <row r="19" spans="1:18" x14ac:dyDescent="0.3">
      <c r="A19" s="680"/>
      <c r="B19" s="352">
        <v>421310</v>
      </c>
      <c r="C19" s="351" t="s">
        <v>207</v>
      </c>
      <c r="D19" s="412">
        <f>'[2]01.2022'!G1603</f>
        <v>663</v>
      </c>
      <c r="E19" s="412">
        <f>'[2]02.2022'!G1610</f>
        <v>1326</v>
      </c>
      <c r="F19" s="412">
        <f>'[2]03.2022'!G1612</f>
        <v>1989</v>
      </c>
      <c r="G19" s="412">
        <f>'[2]04.2022'!G1616</f>
        <v>2652</v>
      </c>
      <c r="H19" s="412">
        <f>'[2]05.2022'!G1621</f>
        <v>3315</v>
      </c>
      <c r="I19" s="482">
        <f>'[2]06.2022'!G303</f>
        <v>3964</v>
      </c>
      <c r="J19" s="350">
        <f>[3]IRPJ_CSLL_2022!$J$19</f>
        <v>4582</v>
      </c>
      <c r="K19" s="325">
        <f>[3]IRPJ_CSLL_2022!$K$19</f>
        <v>5200</v>
      </c>
      <c r="L19" s="350">
        <f>[3]IRPJ_CSLL_2022!$L$19</f>
        <v>5818</v>
      </c>
      <c r="M19" s="325"/>
      <c r="N19" s="325"/>
      <c r="O19" s="350"/>
      <c r="P19" s="450">
        <f t="shared" si="5"/>
        <v>1978.1200000000001</v>
      </c>
    </row>
    <row r="20" spans="1:18" x14ac:dyDescent="0.3">
      <c r="A20" s="680"/>
      <c r="B20" s="352">
        <v>42541</v>
      </c>
      <c r="C20" s="336" t="s">
        <v>1445</v>
      </c>
      <c r="D20" s="412">
        <f>'[2]01.2022'!G1673</f>
        <v>0</v>
      </c>
      <c r="E20" s="412">
        <f>'[2]02.2022'!G1680</f>
        <v>0</v>
      </c>
      <c r="F20" s="412">
        <f>'[2]03.2022'!G1682</f>
        <v>0</v>
      </c>
      <c r="G20" s="412">
        <f>'[2]04.2022'!G1686</f>
        <v>178512.66</v>
      </c>
      <c r="H20" s="412">
        <f>'[2]05.2022'!G1691</f>
        <v>178512.66</v>
      </c>
      <c r="I20" s="482">
        <f>'[2]06.2022'!G335</f>
        <v>178512.66</v>
      </c>
      <c r="J20" s="350">
        <f>[3]IRPJ_CSLL_2022!$J$20</f>
        <v>178512.66</v>
      </c>
      <c r="K20" s="325">
        <f>[3]IRPJ_CSLL_2022!$K$20</f>
        <v>178512.66</v>
      </c>
      <c r="L20" s="614">
        <f>[3]IRPJ_CSLL_2022!$L$20</f>
        <v>228883.71</v>
      </c>
      <c r="M20" s="325"/>
      <c r="N20" s="325"/>
      <c r="O20" s="350"/>
      <c r="P20" s="450">
        <f t="shared" si="5"/>
        <v>77820.4614</v>
      </c>
    </row>
    <row r="21" spans="1:18" x14ac:dyDescent="0.3">
      <c r="A21" s="680"/>
      <c r="B21" s="352">
        <v>42542</v>
      </c>
      <c r="C21" s="351" t="s">
        <v>1444</v>
      </c>
      <c r="D21" s="412">
        <f>'[2]01.2022'!G1674</f>
        <v>0</v>
      </c>
      <c r="E21" s="412">
        <f>'[2]02.2022'!G1681</f>
        <v>0</v>
      </c>
      <c r="F21" s="412">
        <f>'[2]03.2022'!G1683</f>
        <v>0</v>
      </c>
      <c r="G21" s="350">
        <f>'[2]04.2022'!G1687</f>
        <v>0</v>
      </c>
      <c r="H21" s="350">
        <f>'[2]05.2022'!G1692</f>
        <v>0</v>
      </c>
      <c r="I21" s="350">
        <v>0</v>
      </c>
      <c r="J21" s="350">
        <f>[3]IRPJ_CSLL_2022!$J$21</f>
        <v>0</v>
      </c>
      <c r="K21" s="350">
        <f>[3]IRPJ_CSLL_2022!$K$21</f>
        <v>0</v>
      </c>
      <c r="L21" s="350">
        <f>[3]IRPJ_CSLL_2022!$L$21</f>
        <v>0</v>
      </c>
      <c r="M21" s="350"/>
      <c r="N21" s="350"/>
      <c r="O21" s="350"/>
      <c r="P21" s="450">
        <f t="shared" si="5"/>
        <v>0</v>
      </c>
    </row>
    <row r="22" spans="1:18" x14ac:dyDescent="0.3">
      <c r="A22" s="680"/>
      <c r="B22" s="352">
        <v>42543</v>
      </c>
      <c r="C22" s="336" t="s">
        <v>490</v>
      </c>
      <c r="D22" s="412">
        <f>'[2]01.2022'!G1675</f>
        <v>0</v>
      </c>
      <c r="E22" s="412">
        <f>'[2]02.2022'!G1682</f>
        <v>0</v>
      </c>
      <c r="F22" s="412">
        <f>'[2]03.2022'!G1684</f>
        <v>0</v>
      </c>
      <c r="G22" s="350">
        <f>'[2]04.2022'!G1688</f>
        <v>0</v>
      </c>
      <c r="H22" s="350">
        <f>'[2]05.2022'!G1693</f>
        <v>0</v>
      </c>
      <c r="I22" s="350">
        <v>0</v>
      </c>
      <c r="J22" s="350">
        <f>[3]IRPJ_CSLL_2022!$J$22</f>
        <v>0</v>
      </c>
      <c r="K22" s="350">
        <f>[3]IRPJ_CSLL_2022!$K$22</f>
        <v>0</v>
      </c>
      <c r="L22" s="614">
        <f>[3]IRPJ_CSLL_2022!$L$22</f>
        <v>5067.3599999999997</v>
      </c>
      <c r="M22" s="325"/>
      <c r="N22" s="325"/>
      <c r="O22" s="350"/>
      <c r="P22" s="450">
        <f t="shared" si="5"/>
        <v>1722.9023999999999</v>
      </c>
      <c r="R22" s="303"/>
    </row>
    <row r="23" spans="1:18" x14ac:dyDescent="0.3">
      <c r="A23" s="680"/>
      <c r="B23" s="352">
        <v>42544</v>
      </c>
      <c r="C23" s="336" t="s">
        <v>1463</v>
      </c>
      <c r="D23" s="412"/>
      <c r="E23" s="412"/>
      <c r="F23" s="412"/>
      <c r="G23" s="350"/>
      <c r="H23" s="350"/>
      <c r="I23" s="350">
        <v>0</v>
      </c>
      <c r="J23" s="350">
        <f>[3]IRPJ_CSLL_2022!$J$23</f>
        <v>0</v>
      </c>
      <c r="K23" s="350">
        <f>[3]IRPJ_CSLL_2022!$K$23</f>
        <v>0</v>
      </c>
      <c r="L23" s="614">
        <f>[3]IRPJ_CSLL_2022!$L$23</f>
        <v>2346.3000000000002</v>
      </c>
      <c r="M23" s="325"/>
      <c r="N23" s="325"/>
      <c r="O23" s="350"/>
      <c r="P23" s="450">
        <f t="shared" si="5"/>
        <v>797.74200000000008</v>
      </c>
    </row>
    <row r="24" spans="1:18" x14ac:dyDescent="0.3">
      <c r="A24" s="680"/>
      <c r="B24" s="352">
        <v>42720</v>
      </c>
      <c r="C24" s="336" t="s">
        <v>1442</v>
      </c>
      <c r="D24" s="412">
        <f>'[2]01.2022'!G1728</f>
        <v>134429.18</v>
      </c>
      <c r="E24" s="412">
        <f>'[2]02.2022'!G1735</f>
        <v>268858.34999999998</v>
      </c>
      <c r="F24" s="412">
        <f>'[2]03.2022'!G1738</f>
        <v>283988.84000000003</v>
      </c>
      <c r="G24" s="412">
        <f>'[2]04.2022'!G1742</f>
        <v>373608.29</v>
      </c>
      <c r="H24" s="412">
        <f>'[2]05.2022'!G1747</f>
        <v>463227.74</v>
      </c>
      <c r="I24" s="482">
        <f>'[2]06.2022'!G364</f>
        <v>601833.38</v>
      </c>
      <c r="J24" s="350">
        <f>[3]IRPJ_CSLL_2022!$J$24</f>
        <v>648082.22</v>
      </c>
      <c r="K24" s="325">
        <f>[3]IRPJ_CSLL_2022!$K$24</f>
        <v>694331.06</v>
      </c>
      <c r="L24" s="614">
        <f>[3]IRPJ_CSLL_2022!$L$24</f>
        <v>800824.15</v>
      </c>
      <c r="M24" s="325"/>
      <c r="N24" s="325"/>
      <c r="O24" s="350"/>
      <c r="P24" s="450">
        <f t="shared" si="5"/>
        <v>272280.21100000001</v>
      </c>
    </row>
    <row r="25" spans="1:18" x14ac:dyDescent="0.3">
      <c r="A25" s="680"/>
      <c r="B25" s="352">
        <v>426213</v>
      </c>
      <c r="C25" s="351" t="s">
        <v>1441</v>
      </c>
      <c r="D25" s="412">
        <f>'[2]01.2022'!G1711</f>
        <v>20649</v>
      </c>
      <c r="E25" s="412">
        <f>'[2]02.2022'!G1718</f>
        <v>20649</v>
      </c>
      <c r="F25" s="412">
        <f>'[2]03.2022'!G1720</f>
        <v>31031.3</v>
      </c>
      <c r="G25" s="412">
        <f>'[2]04.2022'!G1724</f>
        <v>39560.300000000003</v>
      </c>
      <c r="H25" s="412">
        <f>'[2]05.2022'!G1729</f>
        <v>39560.300000000003</v>
      </c>
      <c r="I25" s="482">
        <f>'[2]06.2022'!G358</f>
        <v>39560.300000000003</v>
      </c>
      <c r="J25" s="350">
        <f>[3]IRPJ_CSLL_2022!$J$25</f>
        <v>39560.300000000003</v>
      </c>
      <c r="K25" s="325">
        <f>[3]IRPJ_CSLL_2022!$K$25</f>
        <v>40550.300000000003</v>
      </c>
      <c r="L25" s="350">
        <f>[3]IRPJ_CSLL_2022!$L$25</f>
        <v>40550.300000000003</v>
      </c>
      <c r="M25" s="325"/>
      <c r="N25" s="325"/>
      <c r="O25" s="350"/>
      <c r="P25" s="450">
        <f t="shared" si="5"/>
        <v>13787.102000000003</v>
      </c>
    </row>
    <row r="26" spans="1:18" ht="18" thickBot="1" x14ac:dyDescent="0.35">
      <c r="A26" s="680"/>
      <c r="B26" s="352">
        <v>427121</v>
      </c>
      <c r="C26" s="336" t="s">
        <v>1251</v>
      </c>
      <c r="D26" s="412">
        <f>'[2]01.2022'!G1729</f>
        <v>0</v>
      </c>
      <c r="E26" s="412">
        <f>'[2]02.2022'!G1736</f>
        <v>0</v>
      </c>
      <c r="F26" s="412">
        <f>'[2]03.2022'!G1739</f>
        <v>0</v>
      </c>
      <c r="G26" s="350">
        <f>'[2]04.2022'!G1743</f>
        <v>0</v>
      </c>
      <c r="H26" s="350">
        <f>'[2]05.2022'!G1748</f>
        <v>0</v>
      </c>
      <c r="I26" s="350">
        <v>0</v>
      </c>
      <c r="J26" s="350">
        <f>[3]IRPJ_CSLL_2022!$J$26</f>
        <v>0</v>
      </c>
      <c r="K26" s="350">
        <f>[3]IRPJ_CSLL_2022!$K$26</f>
        <v>0</v>
      </c>
      <c r="L26" s="350">
        <f>[3]IRPJ_CSLL_2022!$L$26</f>
        <v>0</v>
      </c>
      <c r="M26" s="350"/>
      <c r="N26" s="350"/>
      <c r="O26" s="350"/>
      <c r="P26" s="450">
        <f t="shared" si="5"/>
        <v>0</v>
      </c>
    </row>
    <row r="27" spans="1:18" s="348" customFormat="1" ht="18" thickBot="1" x14ac:dyDescent="0.3">
      <c r="A27" s="677" t="s">
        <v>1440</v>
      </c>
      <c r="B27" s="678"/>
      <c r="C27" s="679"/>
      <c r="D27" s="449">
        <f t="shared" ref="D27:N27" si="6">SUM(D13:D26)</f>
        <v>158268.4</v>
      </c>
      <c r="E27" s="449">
        <f t="shared" si="6"/>
        <v>307992.38</v>
      </c>
      <c r="F27" s="449">
        <f t="shared" si="6"/>
        <v>334606.17</v>
      </c>
      <c r="G27" s="449">
        <f t="shared" si="6"/>
        <v>642772.17000000004</v>
      </c>
      <c r="H27" s="449">
        <f t="shared" si="6"/>
        <v>746258.26</v>
      </c>
      <c r="I27" s="449">
        <f t="shared" si="6"/>
        <v>920293.63000000012</v>
      </c>
      <c r="J27" s="449">
        <f t="shared" si="6"/>
        <v>1004031.37</v>
      </c>
      <c r="K27" s="449">
        <f t="shared" si="6"/>
        <v>1079062.95</v>
      </c>
      <c r="L27" s="449">
        <f t="shared" si="6"/>
        <v>1244374.75</v>
      </c>
      <c r="M27" s="449">
        <f t="shared" si="6"/>
        <v>0</v>
      </c>
      <c r="N27" s="449">
        <f t="shared" si="6"/>
        <v>0</v>
      </c>
      <c r="O27" s="449">
        <f>SUM(O13:O26)</f>
        <v>0</v>
      </c>
      <c r="P27" s="613">
        <f>-L27*34%</f>
        <v>-423087.41500000004</v>
      </c>
      <c r="Q27" s="384"/>
    </row>
    <row r="28" spans="1:18" s="348" customFormat="1" ht="18" thickBot="1" x14ac:dyDescent="0.3">
      <c r="A28" s="681" t="s">
        <v>1439</v>
      </c>
      <c r="B28" s="682"/>
      <c r="C28" s="683"/>
      <c r="D28" s="382"/>
      <c r="E28" s="382"/>
      <c r="F28" s="382"/>
      <c r="G28" s="447"/>
      <c r="H28" s="447"/>
      <c r="I28" s="382"/>
      <c r="J28" s="382"/>
      <c r="K28" s="382"/>
      <c r="L28" s="382"/>
      <c r="M28" s="382"/>
      <c r="N28" s="382"/>
      <c r="O28" s="382"/>
      <c r="P28" s="349"/>
    </row>
    <row r="29" spans="1:18" s="440" customFormat="1" ht="15.75" customHeight="1" x14ac:dyDescent="0.3">
      <c r="A29" s="695" t="s">
        <v>1438</v>
      </c>
      <c r="B29" s="352">
        <v>33611</v>
      </c>
      <c r="C29" s="336" t="s">
        <v>1246</v>
      </c>
      <c r="D29" s="485">
        <f>'[2]01.2022'!G1398</f>
        <v>0</v>
      </c>
      <c r="E29" s="485">
        <f>'[2]02.2022'!G1405</f>
        <v>0</v>
      </c>
      <c r="F29" s="486">
        <f>'[2]03.2022'!G1407</f>
        <v>0</v>
      </c>
      <c r="G29" s="442">
        <f>'[2]04.2022'!G1411</f>
        <v>0</v>
      </c>
      <c r="H29" s="442">
        <f>'[2]05.2022'!G1416</f>
        <v>0</v>
      </c>
      <c r="I29" s="442">
        <v>0</v>
      </c>
      <c r="J29" s="442">
        <f>[3]IRPJ_CSLL_2022!$J$29</f>
        <v>0</v>
      </c>
      <c r="K29" s="442">
        <f>[3]IRPJ_CSLL_2022!$K$29</f>
        <v>0</v>
      </c>
      <c r="L29" s="442">
        <f>[3]IRPJ_CSLL_2022!$L$29</f>
        <v>0</v>
      </c>
      <c r="M29" s="442"/>
      <c r="N29" s="442"/>
      <c r="O29" s="442"/>
      <c r="P29" s="441"/>
    </row>
    <row r="30" spans="1:18" s="440" customFormat="1" ht="18" customHeight="1" x14ac:dyDescent="0.3">
      <c r="A30" s="696"/>
      <c r="B30" s="376">
        <v>33612</v>
      </c>
      <c r="C30" s="360" t="s">
        <v>194</v>
      </c>
      <c r="D30" s="341">
        <f>'[2]01.2022'!G1399</f>
        <v>0</v>
      </c>
      <c r="E30" s="341">
        <f>'[2]02.2022'!G1406</f>
        <v>0</v>
      </c>
      <c r="F30" s="487">
        <f>-'[2]03.2022'!G1408</f>
        <v>22945.54</v>
      </c>
      <c r="G30" s="342">
        <f>-'[2]04.2022'!G1412</f>
        <v>22945.54</v>
      </c>
      <c r="H30" s="342">
        <f>'[2]05.2022'!G1417</f>
        <v>22945.54</v>
      </c>
      <c r="I30" s="508">
        <f>'[2]06.2022'!G219</f>
        <v>22945.54</v>
      </c>
      <c r="J30" s="341">
        <f>[3]IRPJ_CSLL_2022!$J$30</f>
        <v>22945.54</v>
      </c>
      <c r="K30" s="341">
        <f>[3]IRPJ_CSLL_2022!$K$30</f>
        <v>22945.54</v>
      </c>
      <c r="L30" s="341">
        <f>[3]IRPJ_CSLL_2022!$L$30</f>
        <v>22976.05</v>
      </c>
      <c r="M30" s="446"/>
      <c r="N30" s="445"/>
      <c r="O30" s="444"/>
      <c r="P30" s="512">
        <f>L30*34%</f>
        <v>7811.857</v>
      </c>
    </row>
    <row r="31" spans="1:18" s="440" customFormat="1" ht="18" customHeight="1" thickBot="1" x14ac:dyDescent="0.35">
      <c r="A31" s="443"/>
      <c r="B31" s="376">
        <v>33613</v>
      </c>
      <c r="C31" s="360" t="s">
        <v>471</v>
      </c>
      <c r="D31" s="341">
        <f>'[2]01.2022'!G1400</f>
        <v>0</v>
      </c>
      <c r="E31" s="341">
        <f>'[2]02.2022'!G1407</f>
        <v>0</v>
      </c>
      <c r="F31" s="487">
        <f>-'[2]03.2022'!G1409</f>
        <v>0</v>
      </c>
      <c r="G31" s="342">
        <f>'[2]04.2022'!G1413</f>
        <v>0</v>
      </c>
      <c r="H31" s="342">
        <f>'[2]05.2022'!G1418</f>
        <v>0</v>
      </c>
      <c r="I31" s="342">
        <v>0</v>
      </c>
      <c r="J31" s="342">
        <f>[3]IRPJ_CSLL_2022!$J$31</f>
        <v>0</v>
      </c>
      <c r="K31" s="342">
        <f>[3]IRPJ_CSLL_2022!$K$31</f>
        <v>0</v>
      </c>
      <c r="L31" s="342">
        <f>[3]IRPJ_CSLL_2022!$L$31</f>
        <v>0</v>
      </c>
      <c r="M31" s="342"/>
      <c r="N31" s="342"/>
      <c r="O31" s="342"/>
      <c r="P31" s="441"/>
    </row>
    <row r="32" spans="1:18" s="348" customFormat="1" ht="18" thickBot="1" x14ac:dyDescent="0.35">
      <c r="A32" s="684" t="s">
        <v>1437</v>
      </c>
      <c r="B32" s="685"/>
      <c r="C32" s="686"/>
      <c r="D32" s="488">
        <f>D29</f>
        <v>0</v>
      </c>
      <c r="E32" s="488">
        <f>E29</f>
        <v>0</v>
      </c>
      <c r="F32" s="489">
        <f>SUM(F29:F31)</f>
        <v>22945.54</v>
      </c>
      <c r="G32" s="438">
        <f>SUM(G29:G31)</f>
        <v>22945.54</v>
      </c>
      <c r="H32" s="490">
        <f t="shared" ref="H32" si="7">SUM(H29:H30)</f>
        <v>22945.54</v>
      </c>
      <c r="I32" s="372">
        <f>SUM(I29:I30)</f>
        <v>22945.54</v>
      </c>
      <c r="J32" s="372">
        <f>SUM(J29:J30)</f>
        <v>22945.54</v>
      </c>
      <c r="K32" s="373">
        <f>SUM(K29:K30)</f>
        <v>22945.54</v>
      </c>
      <c r="L32" s="372">
        <f t="shared" ref="L32:M32" si="8">SUM(L29:L30)</f>
        <v>22976.05</v>
      </c>
      <c r="M32" s="372">
        <f t="shared" si="8"/>
        <v>0</v>
      </c>
      <c r="N32" s="373">
        <f>SUM(N29:N31)</f>
        <v>0</v>
      </c>
      <c r="O32" s="373">
        <f>SUM(O29:O31)</f>
        <v>0</v>
      </c>
      <c r="P32" s="613">
        <f>L32*34%</f>
        <v>7811.857</v>
      </c>
    </row>
    <row r="33" spans="1:18" x14ac:dyDescent="0.3">
      <c r="A33" s="437" t="s">
        <v>1462</v>
      </c>
      <c r="B33" s="345"/>
      <c r="C33" s="345"/>
      <c r="D33" s="432">
        <f t="shared" ref="D33:M33" si="9">D11+D27-D32</f>
        <v>1247261.5800000005</v>
      </c>
      <c r="E33" s="432">
        <f t="shared" si="9"/>
        <v>2624864.7200000007</v>
      </c>
      <c r="F33" s="491">
        <f t="shared" si="9"/>
        <v>15057.63000000138</v>
      </c>
      <c r="G33" s="492">
        <f t="shared" si="9"/>
        <v>4233790.4400000004</v>
      </c>
      <c r="H33" s="434">
        <f t="shared" si="9"/>
        <v>2954472.5000000019</v>
      </c>
      <c r="I33" s="433">
        <f t="shared" si="9"/>
        <v>1034396.8799999983</v>
      </c>
      <c r="J33" s="432">
        <f t="shared" si="9"/>
        <v>1693364.8899999941</v>
      </c>
      <c r="K33" s="432">
        <f t="shared" si="9"/>
        <v>1616451.489999997</v>
      </c>
      <c r="L33" s="432">
        <f>L11+L27-L32</f>
        <v>1462467.5400000059</v>
      </c>
      <c r="M33" s="432">
        <f t="shared" si="9"/>
        <v>0</v>
      </c>
      <c r="N33" s="432">
        <f>N11+N27-N32</f>
        <v>0</v>
      </c>
      <c r="O33" s="431">
        <f>O11+O27-O32</f>
        <v>0</v>
      </c>
      <c r="P33" s="301">
        <f>L33*34%</f>
        <v>497238.96360000205</v>
      </c>
    </row>
    <row r="34" spans="1:18" ht="18" thickBot="1" x14ac:dyDescent="0.35">
      <c r="A34" s="336" t="s">
        <v>1461</v>
      </c>
      <c r="B34" s="336"/>
      <c r="C34" s="336"/>
      <c r="D34" s="325">
        <f t="shared" ref="D34:M34" si="10">-D33*30%</f>
        <v>-374178.47400000016</v>
      </c>
      <c r="E34" s="325">
        <f t="shared" si="10"/>
        <v>-787459.4160000002</v>
      </c>
      <c r="F34" s="493">
        <f t="shared" si="10"/>
        <v>-4517.2890000004136</v>
      </c>
      <c r="G34" s="325">
        <f t="shared" si="10"/>
        <v>-1270137.132</v>
      </c>
      <c r="H34" s="430">
        <f t="shared" si="10"/>
        <v>-886341.75000000058</v>
      </c>
      <c r="I34" s="510">
        <f t="shared" si="10"/>
        <v>-310319.06399999949</v>
      </c>
      <c r="J34" s="325">
        <f t="shared" si="10"/>
        <v>-508009.4669999982</v>
      </c>
      <c r="K34" s="325">
        <f t="shared" si="10"/>
        <v>-484935.44699999905</v>
      </c>
      <c r="L34" s="325">
        <f>-L33*30%</f>
        <v>-438740.26200000173</v>
      </c>
      <c r="M34" s="325">
        <f t="shared" si="10"/>
        <v>0</v>
      </c>
      <c r="N34" s="325">
        <v>0</v>
      </c>
      <c r="O34" s="325">
        <v>0</v>
      </c>
      <c r="P34" s="301">
        <f t="shared" ref="P34:P35" si="11">L34*34%</f>
        <v>-149171.68908000059</v>
      </c>
    </row>
    <row r="35" spans="1:18" ht="18" thickBot="1" x14ac:dyDescent="0.35">
      <c r="A35" s="662" t="s">
        <v>1434</v>
      </c>
      <c r="B35" s="663"/>
      <c r="C35" s="664"/>
      <c r="D35" s="429">
        <f t="shared" ref="D35:M35" si="12">D33+D34</f>
        <v>873083.10600000038</v>
      </c>
      <c r="E35" s="429">
        <f t="shared" si="12"/>
        <v>1837405.3040000005</v>
      </c>
      <c r="F35" s="494">
        <f t="shared" si="12"/>
        <v>10540.341000000966</v>
      </c>
      <c r="G35" s="429">
        <f t="shared" si="12"/>
        <v>2963653.3080000002</v>
      </c>
      <c r="H35" s="344">
        <f t="shared" si="12"/>
        <v>2068130.7500000014</v>
      </c>
      <c r="I35" s="344">
        <f t="shared" si="12"/>
        <v>724077.81599999871</v>
      </c>
      <c r="J35" s="429">
        <f t="shared" si="12"/>
        <v>1185355.4229999958</v>
      </c>
      <c r="K35" s="429">
        <f t="shared" si="12"/>
        <v>1131516.042999998</v>
      </c>
      <c r="L35" s="429">
        <f>L33+L34</f>
        <v>1023727.2780000041</v>
      </c>
      <c r="M35" s="429">
        <f t="shared" si="12"/>
        <v>0</v>
      </c>
      <c r="N35" s="429">
        <f>N33+N34</f>
        <v>0</v>
      </c>
      <c r="O35" s="429">
        <f>O33+O34</f>
        <v>0</v>
      </c>
      <c r="P35" s="612">
        <f t="shared" si="11"/>
        <v>348067.27452000143</v>
      </c>
    </row>
    <row r="36" spans="1:18" ht="18" thickBot="1" x14ac:dyDescent="0.35">
      <c r="A36" s="666" t="s">
        <v>1460</v>
      </c>
      <c r="B36" s="667"/>
      <c r="C36" s="668">
        <f t="shared" ref="C36" si="13">IF(C34&gt;0,C34*9%,0)</f>
        <v>0</v>
      </c>
      <c r="D36" s="398">
        <f>IF(D35&gt;0,D35*0.09,0)</f>
        <v>78577.479540000029</v>
      </c>
      <c r="E36" s="398">
        <f>IF(E35&gt;0,E35*0.09,0)</f>
        <v>165366.47736000005</v>
      </c>
      <c r="F36" s="428">
        <f>IF(F35&gt;0,F35*0.09,0)</f>
        <v>948.63069000008693</v>
      </c>
      <c r="G36" s="427">
        <f>IF(G35&gt;0,G35*0.09,0)</f>
        <v>266728.79772000003</v>
      </c>
      <c r="H36" s="495">
        <f>IF(H35&gt;0,H33*0.09,0)</f>
        <v>265902.52500000014</v>
      </c>
      <c r="I36" s="427">
        <f>IF(I35&gt;0,I35*0.09,0)</f>
        <v>65167.003439999884</v>
      </c>
      <c r="J36" s="398">
        <f t="shared" ref="J36:M36" si="14">IF(J33&gt;0,J33*0.09,0)</f>
        <v>152402.84009999945</v>
      </c>
      <c r="K36" s="398">
        <f>IF(K33&gt;0,K33*0.09,0)</f>
        <v>145480.63409999973</v>
      </c>
      <c r="L36" s="398">
        <f>IF(L33&gt;0,L33*0.09,0)</f>
        <v>131622.07860000053</v>
      </c>
      <c r="M36" s="398">
        <f t="shared" si="14"/>
        <v>0</v>
      </c>
      <c r="N36" s="398">
        <f>IF(N33&gt;0,N33*0.09,0)</f>
        <v>0</v>
      </c>
      <c r="O36" s="398">
        <f>IF(O33&gt;0,O33*0.09,0)</f>
        <v>0</v>
      </c>
      <c r="P36" s="426"/>
      <c r="R36" s="303"/>
    </row>
    <row r="37" spans="1:18" x14ac:dyDescent="0.3">
      <c r="A37" s="336"/>
      <c r="B37" s="335"/>
      <c r="C37" s="335"/>
      <c r="D37" s="333"/>
      <c r="E37" s="333"/>
      <c r="F37" s="496"/>
      <c r="G37" s="333"/>
      <c r="H37" s="424"/>
      <c r="I37" s="333"/>
      <c r="J37" s="333"/>
      <c r="K37" s="333"/>
      <c r="L37" s="333"/>
      <c r="M37" s="333"/>
      <c r="N37" s="333"/>
      <c r="O37" s="333"/>
    </row>
    <row r="38" spans="1:18" x14ac:dyDescent="0.3">
      <c r="A38" s="688" t="s">
        <v>1459</v>
      </c>
      <c r="B38" s="689"/>
      <c r="C38" s="690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</row>
    <row r="39" spans="1:18" x14ac:dyDescent="0.3">
      <c r="A39" s="336" t="s">
        <v>1458</v>
      </c>
      <c r="B39" s="335"/>
      <c r="C39" s="335">
        <v>0</v>
      </c>
      <c r="D39" s="341">
        <f>C44</f>
        <v>0</v>
      </c>
      <c r="E39" s="341">
        <f>D44</f>
        <v>78577.479540000029</v>
      </c>
      <c r="F39" s="341">
        <f>E42+E44</f>
        <v>165366.47736000005</v>
      </c>
      <c r="G39" s="341">
        <f>F42</f>
        <v>165366.47736000005</v>
      </c>
      <c r="H39" s="341">
        <f>G42+G44</f>
        <v>266728.79772000003</v>
      </c>
      <c r="I39" s="341">
        <f>H42+H44</f>
        <v>265902.52500000014</v>
      </c>
      <c r="J39" s="341">
        <f>[3]IRPJ_CSLL_2022!$J$39</f>
        <v>267519.27420000022</v>
      </c>
      <c r="K39" s="341">
        <f>J42</f>
        <v>267519.27420000022</v>
      </c>
      <c r="L39" s="341">
        <f>K42</f>
        <v>267519.27420000022</v>
      </c>
      <c r="M39" s="341">
        <f>L42</f>
        <v>267519.27420000022</v>
      </c>
      <c r="N39" s="341">
        <f>M42</f>
        <v>267519.27420000022</v>
      </c>
      <c r="O39" s="341">
        <f t="shared" ref="O39" si="15">N42</f>
        <v>267519.27420000022</v>
      </c>
    </row>
    <row r="40" spans="1:18" x14ac:dyDescent="0.3">
      <c r="A40" s="336" t="s">
        <v>1457</v>
      </c>
      <c r="B40" s="335"/>
      <c r="C40" s="335">
        <v>0</v>
      </c>
      <c r="D40" s="333">
        <v>0</v>
      </c>
      <c r="E40" s="333">
        <v>0</v>
      </c>
      <c r="F40" s="333">
        <v>0</v>
      </c>
      <c r="G40" s="333">
        <v>0</v>
      </c>
      <c r="H40" s="333">
        <v>0</v>
      </c>
      <c r="I40" s="333">
        <v>0</v>
      </c>
      <c r="J40" s="333">
        <v>0</v>
      </c>
      <c r="K40" s="333">
        <v>0</v>
      </c>
      <c r="L40" s="333">
        <v>0</v>
      </c>
      <c r="M40" s="333">
        <v>0</v>
      </c>
      <c r="N40" s="333">
        <v>0</v>
      </c>
      <c r="O40" s="333">
        <v>0</v>
      </c>
    </row>
    <row r="41" spans="1:18" ht="18" thickBot="1" x14ac:dyDescent="0.35">
      <c r="A41" s="336"/>
      <c r="B41" s="335"/>
      <c r="C41" s="335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</row>
    <row r="42" spans="1:18" ht="18" thickBot="1" x14ac:dyDescent="0.35">
      <c r="A42" s="666" t="s">
        <v>1456</v>
      </c>
      <c r="B42" s="667">
        <v>0</v>
      </c>
      <c r="C42" s="668">
        <f t="shared" ref="C42:E42" si="16">SUM(C39:C41)</f>
        <v>0</v>
      </c>
      <c r="D42" s="398">
        <f t="shared" si="16"/>
        <v>0</v>
      </c>
      <c r="E42" s="398">
        <f t="shared" si="16"/>
        <v>78577.479540000029</v>
      </c>
      <c r="F42" s="398">
        <f>SUM(F39:F41)</f>
        <v>165366.47736000005</v>
      </c>
      <c r="G42" s="398">
        <f>SUM(G39:G41)</f>
        <v>165366.47736000005</v>
      </c>
      <c r="H42" s="398">
        <f>SUM(H39:H41)</f>
        <v>266728.79772000003</v>
      </c>
      <c r="I42" s="398">
        <f>SUM(I39:I41)</f>
        <v>265902.52500000014</v>
      </c>
      <c r="J42" s="398">
        <f t="shared" ref="J42:M42" si="17">SUM(J39:J41)</f>
        <v>267519.27420000022</v>
      </c>
      <c r="K42" s="398">
        <f>SUM(K39:K41)</f>
        <v>267519.27420000022</v>
      </c>
      <c r="L42" s="398">
        <f t="shared" si="17"/>
        <v>267519.27420000022</v>
      </c>
      <c r="M42" s="398">
        <f t="shared" si="17"/>
        <v>267519.27420000022</v>
      </c>
      <c r="N42" s="398">
        <f>SUM(N39:N41)</f>
        <v>267519.27420000022</v>
      </c>
      <c r="O42" s="398">
        <f>SUM(O39:O41)</f>
        <v>267519.27420000022</v>
      </c>
      <c r="P42" s="362"/>
    </row>
    <row r="43" spans="1:18" ht="18" thickBot="1" x14ac:dyDescent="0.35">
      <c r="A43" s="360"/>
      <c r="B43" s="359"/>
      <c r="C43" s="359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</row>
    <row r="44" spans="1:18" ht="21" thickBot="1" x14ac:dyDescent="0.35">
      <c r="A44" s="669" t="s">
        <v>1455</v>
      </c>
      <c r="B44" s="670"/>
      <c r="C44" s="671"/>
      <c r="D44" s="398">
        <f t="shared" ref="D44" si="18">D36-D42</f>
        <v>78577.479540000029</v>
      </c>
      <c r="E44" s="398">
        <f>E36-E42</f>
        <v>86788.997820000019</v>
      </c>
      <c r="F44" s="398">
        <f>F36-F42</f>
        <v>-164417.84666999997</v>
      </c>
      <c r="G44" s="398">
        <f>G36-G42</f>
        <v>101362.32035999998</v>
      </c>
      <c r="H44" s="398">
        <f>H36-H42</f>
        <v>-826.27271999989171</v>
      </c>
      <c r="I44" s="398">
        <f>I36-I42</f>
        <v>-200735.52156000026</v>
      </c>
      <c r="J44" s="398">
        <f t="shared" ref="J44" si="19">J36-J42</f>
        <v>-115116.43410000077</v>
      </c>
      <c r="K44" s="398">
        <f>K36-K42</f>
        <v>-122038.64010000048</v>
      </c>
      <c r="L44" s="398">
        <f>L36-L42</f>
        <v>-135897.19559999969</v>
      </c>
      <c r="M44" s="398">
        <f>M36-M42</f>
        <v>-267519.27420000022</v>
      </c>
      <c r="N44" s="398">
        <f>N36-N42</f>
        <v>-267519.27420000022</v>
      </c>
      <c r="O44" s="398">
        <f>O36-O42</f>
        <v>-267519.27420000022</v>
      </c>
      <c r="P44" s="362"/>
      <c r="Q44" s="302"/>
    </row>
    <row r="45" spans="1:18" x14ac:dyDescent="0.3">
      <c r="D45" s="300"/>
      <c r="E45" s="300"/>
      <c r="P45" s="362"/>
    </row>
    <row r="46" spans="1:18" x14ac:dyDescent="0.3">
      <c r="A46" s="422"/>
      <c r="B46" s="421"/>
      <c r="C46" s="421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362"/>
    </row>
    <row r="47" spans="1:18" x14ac:dyDescent="0.3">
      <c r="A47" s="419"/>
      <c r="B47" s="418"/>
      <c r="C47" s="418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362"/>
    </row>
    <row r="48" spans="1:18" x14ac:dyDescent="0.3">
      <c r="D48" s="300"/>
      <c r="E48" s="300"/>
      <c r="P48" s="362"/>
    </row>
    <row r="49" spans="1:16" x14ac:dyDescent="0.3">
      <c r="A49" s="672" t="s">
        <v>1454</v>
      </c>
      <c r="B49" s="416" t="s">
        <v>1453</v>
      </c>
      <c r="C49" s="415" t="s">
        <v>266</v>
      </c>
      <c r="D49" s="414" t="s">
        <v>1415</v>
      </c>
      <c r="E49" s="414" t="s">
        <v>1414</v>
      </c>
      <c r="F49" s="414" t="s">
        <v>1413</v>
      </c>
      <c r="G49" s="414" t="s">
        <v>1412</v>
      </c>
      <c r="H49" s="414" t="s">
        <v>1411</v>
      </c>
      <c r="I49" s="414" t="s">
        <v>1410</v>
      </c>
      <c r="J49" s="414" t="s">
        <v>1409</v>
      </c>
      <c r="K49" s="414" t="s">
        <v>1408</v>
      </c>
      <c r="L49" s="414" t="s">
        <v>1407</v>
      </c>
      <c r="M49" s="414" t="s">
        <v>1406</v>
      </c>
      <c r="N49" s="414" t="s">
        <v>1405</v>
      </c>
      <c r="O49" s="414" t="s">
        <v>1404</v>
      </c>
    </row>
    <row r="50" spans="1:16" x14ac:dyDescent="0.3">
      <c r="A50" s="673"/>
      <c r="B50" s="413">
        <v>3</v>
      </c>
      <c r="C50" s="336" t="s">
        <v>56</v>
      </c>
      <c r="D50" s="325">
        <f t="shared" ref="D50:N51" si="20">D7</f>
        <v>9473052.0600000005</v>
      </c>
      <c r="E50" s="412">
        <f t="shared" si="20"/>
        <v>19581925.629999999</v>
      </c>
      <c r="F50" s="325">
        <f t="shared" si="20"/>
        <v>26107789.34</v>
      </c>
      <c r="G50" s="325">
        <f t="shared" si="20"/>
        <v>39850436.390000001</v>
      </c>
      <c r="H50" s="350">
        <f t="shared" si="20"/>
        <v>47289761.380000003</v>
      </c>
      <c r="I50" s="325">
        <f t="shared" si="20"/>
        <v>58270033.719999999</v>
      </c>
      <c r="J50" s="325">
        <f t="shared" si="20"/>
        <v>68508548.799999997</v>
      </c>
      <c r="K50" s="325">
        <f t="shared" si="20"/>
        <v>77878509.329999998</v>
      </c>
      <c r="L50" s="325">
        <f t="shared" si="20"/>
        <v>86966560.060000002</v>
      </c>
      <c r="M50" s="325">
        <f>M7</f>
        <v>0</v>
      </c>
      <c r="N50" s="325">
        <f>N7</f>
        <v>0</v>
      </c>
      <c r="O50" s="350">
        <f>O7</f>
        <v>0</v>
      </c>
    </row>
    <row r="51" spans="1:16" x14ac:dyDescent="0.3">
      <c r="A51" s="411"/>
      <c r="B51" s="410">
        <v>4</v>
      </c>
      <c r="C51" s="360" t="s">
        <v>196</v>
      </c>
      <c r="D51" s="409">
        <f t="shared" si="20"/>
        <v>8384058.8799999999</v>
      </c>
      <c r="E51" s="408">
        <f t="shared" si="20"/>
        <v>17552573.829999998</v>
      </c>
      <c r="F51" s="325">
        <f t="shared" si="20"/>
        <v>26984381.649999999</v>
      </c>
      <c r="G51" s="325">
        <f t="shared" si="20"/>
        <v>36816461.890000001</v>
      </c>
      <c r="H51" s="350">
        <f t="shared" si="20"/>
        <v>45993774.890000001</v>
      </c>
      <c r="I51" s="325">
        <f t="shared" si="20"/>
        <v>58268983.640000001</v>
      </c>
      <c r="J51" s="325">
        <f t="shared" si="20"/>
        <v>67932268.450000003</v>
      </c>
      <c r="K51" s="325">
        <f t="shared" si="20"/>
        <v>77641537.030000001</v>
      </c>
      <c r="L51" s="325">
        <f t="shared" si="20"/>
        <v>86955557.159999996</v>
      </c>
      <c r="M51" s="325">
        <f>M8</f>
        <v>0</v>
      </c>
      <c r="N51" s="325">
        <f t="shared" si="20"/>
        <v>0</v>
      </c>
      <c r="O51" s="350">
        <f>O8</f>
        <v>0</v>
      </c>
    </row>
    <row r="52" spans="1:16" ht="23.25" customHeight="1" x14ac:dyDescent="0.3">
      <c r="A52" s="674" t="s">
        <v>1452</v>
      </c>
      <c r="B52" s="675"/>
      <c r="C52" s="676"/>
      <c r="D52" s="406">
        <f t="shared" ref="D52:E52" si="21">D50-D51</f>
        <v>1088993.1800000006</v>
      </c>
      <c r="E52" s="406">
        <f t="shared" si="21"/>
        <v>2029351.8000000007</v>
      </c>
      <c r="F52" s="406">
        <f>F50-F51</f>
        <v>-876592.30999999866</v>
      </c>
      <c r="G52" s="406">
        <f>G50-G51</f>
        <v>3033974.5</v>
      </c>
      <c r="H52" s="405">
        <f>H50-H51</f>
        <v>1295986.4900000021</v>
      </c>
      <c r="I52" s="406">
        <f t="shared" ref="I52:O52" si="22">I50-I51</f>
        <v>1050.0799999982119</v>
      </c>
      <c r="J52" s="406">
        <f t="shared" si="22"/>
        <v>576280.34999999404</v>
      </c>
      <c r="K52" s="406">
        <f t="shared" si="22"/>
        <v>236972.29999999702</v>
      </c>
      <c r="L52" s="406">
        <f t="shared" si="22"/>
        <v>11002.90000000596</v>
      </c>
      <c r="M52" s="407">
        <f t="shared" si="22"/>
        <v>0</v>
      </c>
      <c r="N52" s="406">
        <f t="shared" si="22"/>
        <v>0</v>
      </c>
      <c r="O52" s="405">
        <f t="shared" si="22"/>
        <v>0</v>
      </c>
    </row>
    <row r="53" spans="1:16" ht="18" thickBot="1" x14ac:dyDescent="0.35">
      <c r="A53" s="404" t="s">
        <v>1451</v>
      </c>
      <c r="B53" s="403" t="s">
        <v>1450</v>
      </c>
      <c r="C53" s="369" t="s">
        <v>1449</v>
      </c>
      <c r="D53" s="497">
        <f>D10</f>
        <v>0</v>
      </c>
      <c r="E53" s="401">
        <f>'[2]02.2022'!G1671</f>
        <v>208943.06</v>
      </c>
      <c r="F53" s="401">
        <f t="shared" ref="F53:L53" si="23">F10</f>
        <v>579989.31000000006</v>
      </c>
      <c r="G53" s="402">
        <f t="shared" si="23"/>
        <v>579989.31000000006</v>
      </c>
      <c r="H53" s="402">
        <f t="shared" si="23"/>
        <v>935173.29</v>
      </c>
      <c r="I53" s="402">
        <f t="shared" si="23"/>
        <v>135998.71</v>
      </c>
      <c r="J53" s="401">
        <f t="shared" si="23"/>
        <v>135998.71</v>
      </c>
      <c r="K53" s="402">
        <f t="shared" si="23"/>
        <v>323361.78000000003</v>
      </c>
      <c r="L53" s="401">
        <f t="shared" si="23"/>
        <v>230065.94</v>
      </c>
      <c r="M53" s="401">
        <f>M10</f>
        <v>0</v>
      </c>
      <c r="N53" s="401">
        <f>N10</f>
        <v>0</v>
      </c>
      <c r="O53" s="401">
        <f>O10</f>
        <v>0</v>
      </c>
      <c r="P53" s="358"/>
    </row>
    <row r="54" spans="1:16" ht="18" thickBot="1" x14ac:dyDescent="0.35">
      <c r="A54" s="666" t="s">
        <v>1448</v>
      </c>
      <c r="B54" s="667"/>
      <c r="C54" s="668"/>
      <c r="D54" s="398">
        <f>D52+D53</f>
        <v>1088993.1800000006</v>
      </c>
      <c r="E54" s="398">
        <f>E52+E53</f>
        <v>2238294.8600000008</v>
      </c>
      <c r="F54" s="398">
        <f>F52+F53</f>
        <v>-296602.9999999986</v>
      </c>
      <c r="G54" s="398">
        <f>G52+G53</f>
        <v>3613963.81</v>
      </c>
      <c r="H54" s="398">
        <f t="shared" ref="H54:I54" si="24">H52+H53</f>
        <v>2231159.7800000021</v>
      </c>
      <c r="I54" s="398">
        <f t="shared" si="24"/>
        <v>137048.7899999982</v>
      </c>
      <c r="J54" s="398">
        <f>J52+J53</f>
        <v>712279.059999994</v>
      </c>
      <c r="K54" s="398">
        <f t="shared" ref="K54" si="25">K52+K53</f>
        <v>560334.07999999705</v>
      </c>
      <c r="L54" s="398">
        <f>L52+L53</f>
        <v>241068.84000000596</v>
      </c>
      <c r="M54" s="399">
        <f>M52+M53</f>
        <v>0</v>
      </c>
      <c r="N54" s="398">
        <f t="shared" ref="N54" si="26">N52+N53</f>
        <v>0</v>
      </c>
      <c r="O54" s="398">
        <f>O52+O53</f>
        <v>0</v>
      </c>
      <c r="P54" s="498"/>
    </row>
    <row r="55" spans="1:16" s="348" customFormat="1" ht="18" thickBot="1" x14ac:dyDescent="0.3">
      <c r="A55" s="677" t="s">
        <v>1447</v>
      </c>
      <c r="B55" s="678"/>
      <c r="C55" s="679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49"/>
    </row>
    <row r="56" spans="1:16" x14ac:dyDescent="0.3">
      <c r="A56" s="680" t="s">
        <v>1446</v>
      </c>
      <c r="B56" s="396">
        <v>411111</v>
      </c>
      <c r="C56" s="395" t="s">
        <v>1428</v>
      </c>
      <c r="D56" s="329">
        <f t="shared" ref="D56:O65" si="27">D13</f>
        <v>0</v>
      </c>
      <c r="E56" s="329">
        <f t="shared" si="27"/>
        <v>0</v>
      </c>
      <c r="F56" s="329">
        <f t="shared" si="27"/>
        <v>0</v>
      </c>
      <c r="G56" s="329">
        <f t="shared" si="27"/>
        <v>22161.22</v>
      </c>
      <c r="H56" s="329">
        <f t="shared" si="27"/>
        <v>46696.86</v>
      </c>
      <c r="I56" s="329">
        <f t="shared" si="27"/>
        <v>47574.65</v>
      </c>
      <c r="J56" s="329">
        <f t="shared" si="27"/>
        <v>47574.65</v>
      </c>
      <c r="K56" s="329">
        <f t="shared" si="27"/>
        <v>47574.65</v>
      </c>
      <c r="L56" s="329">
        <f t="shared" si="27"/>
        <v>47574.65</v>
      </c>
      <c r="M56" s="329">
        <f>M13</f>
        <v>0</v>
      </c>
      <c r="N56" s="329">
        <f t="shared" si="27"/>
        <v>0</v>
      </c>
      <c r="O56" s="329">
        <f>O13</f>
        <v>0</v>
      </c>
      <c r="P56" s="358"/>
    </row>
    <row r="57" spans="1:16" x14ac:dyDescent="0.3">
      <c r="A57" s="680"/>
      <c r="B57" s="352">
        <v>411113</v>
      </c>
      <c r="C57" s="351" t="s">
        <v>476</v>
      </c>
      <c r="D57" s="325">
        <f t="shared" si="27"/>
        <v>2089.2199999999998</v>
      </c>
      <c r="E57" s="329">
        <f t="shared" si="27"/>
        <v>16283.03</v>
      </c>
      <c r="F57" s="329">
        <f t="shared" si="27"/>
        <v>16283.03</v>
      </c>
      <c r="G57" s="329">
        <f t="shared" si="27"/>
        <v>24525.7</v>
      </c>
      <c r="H57" s="329">
        <f t="shared" si="27"/>
        <v>24525.7</v>
      </c>
      <c r="I57" s="329">
        <f t="shared" si="27"/>
        <v>25354.66</v>
      </c>
      <c r="J57" s="329">
        <f t="shared" si="27"/>
        <v>25354.66</v>
      </c>
      <c r="K57" s="329">
        <f t="shared" si="27"/>
        <v>25354.66</v>
      </c>
      <c r="L57" s="329">
        <f t="shared" si="27"/>
        <v>25354.66</v>
      </c>
      <c r="M57" s="329">
        <f t="shared" si="27"/>
        <v>0</v>
      </c>
      <c r="N57" s="329">
        <f t="shared" si="27"/>
        <v>0</v>
      </c>
      <c r="O57" s="329">
        <f>O14</f>
        <v>0</v>
      </c>
      <c r="P57" s="358"/>
    </row>
    <row r="58" spans="1:16" x14ac:dyDescent="0.3">
      <c r="A58" s="680"/>
      <c r="B58" s="352">
        <v>411310</v>
      </c>
      <c r="C58" s="351" t="s">
        <v>207</v>
      </c>
      <c r="D58" s="325">
        <f t="shared" si="27"/>
        <v>438</v>
      </c>
      <c r="E58" s="329">
        <f t="shared" si="27"/>
        <v>876</v>
      </c>
      <c r="F58" s="329">
        <f t="shared" si="27"/>
        <v>1314</v>
      </c>
      <c r="G58" s="329">
        <f t="shared" si="27"/>
        <v>1752</v>
      </c>
      <c r="H58" s="329">
        <f t="shared" si="27"/>
        <v>2190</v>
      </c>
      <c r="I58" s="329">
        <f t="shared" si="27"/>
        <v>2580</v>
      </c>
      <c r="J58" s="329">
        <f t="shared" si="27"/>
        <v>2996</v>
      </c>
      <c r="K58" s="329">
        <f t="shared" si="27"/>
        <v>3412</v>
      </c>
      <c r="L58" s="329">
        <f t="shared" si="27"/>
        <v>3828</v>
      </c>
      <c r="M58" s="329">
        <f t="shared" si="27"/>
        <v>0</v>
      </c>
      <c r="N58" s="329">
        <f t="shared" si="27"/>
        <v>0</v>
      </c>
      <c r="O58" s="329">
        <f>O15</f>
        <v>0</v>
      </c>
    </row>
    <row r="59" spans="1:16" x14ac:dyDescent="0.3">
      <c r="A59" s="680"/>
      <c r="B59" s="352">
        <v>416211</v>
      </c>
      <c r="C59" s="351" t="s">
        <v>1441</v>
      </c>
      <c r="D59" s="325">
        <f t="shared" si="27"/>
        <v>0</v>
      </c>
      <c r="E59" s="329">
        <f t="shared" si="27"/>
        <v>0</v>
      </c>
      <c r="F59" s="329">
        <f t="shared" si="27"/>
        <v>0</v>
      </c>
      <c r="G59" s="329">
        <f t="shared" si="27"/>
        <v>0</v>
      </c>
      <c r="H59" s="350">
        <f t="shared" si="27"/>
        <v>0</v>
      </c>
      <c r="I59" s="350">
        <f t="shared" si="27"/>
        <v>0</v>
      </c>
      <c r="J59" s="350">
        <f t="shared" si="27"/>
        <v>0</v>
      </c>
      <c r="K59" s="350">
        <f t="shared" si="27"/>
        <v>0</v>
      </c>
      <c r="L59" s="350">
        <f t="shared" si="27"/>
        <v>0</v>
      </c>
      <c r="M59" s="350">
        <f t="shared" si="27"/>
        <v>0</v>
      </c>
      <c r="N59" s="350">
        <f t="shared" si="27"/>
        <v>0</v>
      </c>
      <c r="O59" s="350">
        <f t="shared" si="27"/>
        <v>0</v>
      </c>
    </row>
    <row r="60" spans="1:16" x14ac:dyDescent="0.3">
      <c r="A60" s="680"/>
      <c r="B60" s="352">
        <v>421110</v>
      </c>
      <c r="C60" s="351" t="s">
        <v>1428</v>
      </c>
      <c r="D60" s="325">
        <f t="shared" si="27"/>
        <v>0</v>
      </c>
      <c r="E60" s="329">
        <f t="shared" si="27"/>
        <v>0</v>
      </c>
      <c r="F60" s="329">
        <f t="shared" si="27"/>
        <v>0</v>
      </c>
      <c r="G60" s="329">
        <f t="shared" si="27"/>
        <v>0</v>
      </c>
      <c r="H60" s="329">
        <f t="shared" si="27"/>
        <v>-11770.000000000004</v>
      </c>
      <c r="I60" s="329">
        <f t="shared" si="27"/>
        <v>20913.98</v>
      </c>
      <c r="J60" s="329">
        <f t="shared" si="27"/>
        <v>57368.88</v>
      </c>
      <c r="K60" s="329">
        <f t="shared" si="27"/>
        <v>84127.62</v>
      </c>
      <c r="L60" s="329">
        <f t="shared" si="27"/>
        <v>84127.62</v>
      </c>
      <c r="M60" s="329">
        <f t="shared" si="27"/>
        <v>0</v>
      </c>
      <c r="N60" s="329">
        <f t="shared" si="27"/>
        <v>0</v>
      </c>
      <c r="O60" s="329">
        <f>O17</f>
        <v>0</v>
      </c>
    </row>
    <row r="61" spans="1:16" x14ac:dyDescent="0.3">
      <c r="A61" s="680"/>
      <c r="B61" s="352">
        <v>421112</v>
      </c>
      <c r="C61" s="351" t="s">
        <v>476</v>
      </c>
      <c r="D61" s="325">
        <f t="shared" si="27"/>
        <v>0</v>
      </c>
      <c r="E61" s="329">
        <f t="shared" si="27"/>
        <v>0</v>
      </c>
      <c r="F61" s="329">
        <f t="shared" si="27"/>
        <v>0</v>
      </c>
      <c r="G61" s="329">
        <f t="shared" si="27"/>
        <v>0</v>
      </c>
      <c r="H61" s="350">
        <f t="shared" si="27"/>
        <v>0</v>
      </c>
      <c r="I61" s="350">
        <f t="shared" si="27"/>
        <v>0</v>
      </c>
      <c r="J61" s="350">
        <f t="shared" si="27"/>
        <v>0</v>
      </c>
      <c r="K61" s="350">
        <f t="shared" si="27"/>
        <v>0</v>
      </c>
      <c r="L61" s="350">
        <f t="shared" si="27"/>
        <v>0</v>
      </c>
      <c r="M61" s="350">
        <f t="shared" si="27"/>
        <v>0</v>
      </c>
      <c r="N61" s="350">
        <f t="shared" si="27"/>
        <v>0</v>
      </c>
      <c r="O61" s="394">
        <f t="shared" si="27"/>
        <v>0</v>
      </c>
    </row>
    <row r="62" spans="1:16" x14ac:dyDescent="0.3">
      <c r="A62" s="680"/>
      <c r="B62" s="352">
        <v>421310</v>
      </c>
      <c r="C62" s="351" t="s">
        <v>207</v>
      </c>
      <c r="D62" s="325">
        <f t="shared" si="27"/>
        <v>663</v>
      </c>
      <c r="E62" s="329">
        <f t="shared" si="27"/>
        <v>1326</v>
      </c>
      <c r="F62" s="329">
        <f t="shared" si="27"/>
        <v>1989</v>
      </c>
      <c r="G62" s="329">
        <f t="shared" si="27"/>
        <v>2652</v>
      </c>
      <c r="H62" s="329">
        <f t="shared" si="27"/>
        <v>3315</v>
      </c>
      <c r="I62" s="329">
        <f t="shared" si="27"/>
        <v>3964</v>
      </c>
      <c r="J62" s="329">
        <f t="shared" si="27"/>
        <v>4582</v>
      </c>
      <c r="K62" s="329">
        <f t="shared" si="27"/>
        <v>5200</v>
      </c>
      <c r="L62" s="329">
        <f t="shared" si="27"/>
        <v>5818</v>
      </c>
      <c r="M62" s="329">
        <f t="shared" si="27"/>
        <v>0</v>
      </c>
      <c r="N62" s="329">
        <f t="shared" si="27"/>
        <v>0</v>
      </c>
      <c r="O62" s="329">
        <f>O19</f>
        <v>0</v>
      </c>
    </row>
    <row r="63" spans="1:16" x14ac:dyDescent="0.3">
      <c r="A63" s="680"/>
      <c r="B63" s="352">
        <v>42541</v>
      </c>
      <c r="C63" s="336" t="s">
        <v>1445</v>
      </c>
      <c r="D63" s="325">
        <f t="shared" si="27"/>
        <v>0</v>
      </c>
      <c r="E63" s="329">
        <f t="shared" si="27"/>
        <v>0</v>
      </c>
      <c r="F63" s="329">
        <f t="shared" si="27"/>
        <v>0</v>
      </c>
      <c r="G63" s="329">
        <f t="shared" si="27"/>
        <v>178512.66</v>
      </c>
      <c r="H63" s="329">
        <f t="shared" si="27"/>
        <v>178512.66</v>
      </c>
      <c r="I63" s="329">
        <f t="shared" si="27"/>
        <v>178512.66</v>
      </c>
      <c r="J63" s="329">
        <f t="shared" si="27"/>
        <v>178512.66</v>
      </c>
      <c r="K63" s="329">
        <f t="shared" si="27"/>
        <v>178512.66</v>
      </c>
      <c r="L63" s="329">
        <f t="shared" si="27"/>
        <v>228883.71</v>
      </c>
      <c r="M63" s="329">
        <f t="shared" si="27"/>
        <v>0</v>
      </c>
      <c r="N63" s="329">
        <f t="shared" si="27"/>
        <v>0</v>
      </c>
      <c r="O63" s="329">
        <f>O20</f>
        <v>0</v>
      </c>
    </row>
    <row r="64" spans="1:16" x14ac:dyDescent="0.3">
      <c r="A64" s="680"/>
      <c r="B64" s="352">
        <v>42542</v>
      </c>
      <c r="C64" s="351" t="s">
        <v>1444</v>
      </c>
      <c r="D64" s="325">
        <f t="shared" si="27"/>
        <v>0</v>
      </c>
      <c r="E64" s="329">
        <f t="shared" si="27"/>
        <v>0</v>
      </c>
      <c r="F64" s="329">
        <f t="shared" si="27"/>
        <v>0</v>
      </c>
      <c r="G64" s="350">
        <f t="shared" si="27"/>
        <v>0</v>
      </c>
      <c r="H64" s="350">
        <f t="shared" si="27"/>
        <v>0</v>
      </c>
      <c r="I64" s="350">
        <f t="shared" si="27"/>
        <v>0</v>
      </c>
      <c r="J64" s="350">
        <f t="shared" si="27"/>
        <v>0</v>
      </c>
      <c r="K64" s="350">
        <f t="shared" si="27"/>
        <v>0</v>
      </c>
      <c r="L64" s="350">
        <f t="shared" si="27"/>
        <v>0</v>
      </c>
      <c r="M64" s="350">
        <f t="shared" si="27"/>
        <v>0</v>
      </c>
      <c r="N64" s="350">
        <f t="shared" si="27"/>
        <v>0</v>
      </c>
      <c r="O64" s="350">
        <f t="shared" si="27"/>
        <v>0</v>
      </c>
    </row>
    <row r="65" spans="1:18" x14ac:dyDescent="0.3">
      <c r="A65" s="680"/>
      <c r="B65" s="352">
        <v>42543</v>
      </c>
      <c r="C65" s="336" t="s">
        <v>490</v>
      </c>
      <c r="D65" s="325">
        <f t="shared" si="27"/>
        <v>0</v>
      </c>
      <c r="E65" s="329">
        <f t="shared" si="27"/>
        <v>0</v>
      </c>
      <c r="F65" s="329">
        <f t="shared" si="27"/>
        <v>0</v>
      </c>
      <c r="G65" s="350">
        <f t="shared" si="27"/>
        <v>0</v>
      </c>
      <c r="H65" s="350">
        <f t="shared" si="27"/>
        <v>0</v>
      </c>
      <c r="I65" s="350">
        <f t="shared" si="27"/>
        <v>0</v>
      </c>
      <c r="J65" s="350">
        <f t="shared" si="27"/>
        <v>0</v>
      </c>
      <c r="K65" s="350">
        <f t="shared" si="27"/>
        <v>0</v>
      </c>
      <c r="L65" s="329">
        <f t="shared" si="27"/>
        <v>5067.3599999999997</v>
      </c>
      <c r="M65" s="329">
        <f t="shared" si="27"/>
        <v>0</v>
      </c>
      <c r="N65" s="329">
        <f t="shared" si="27"/>
        <v>0</v>
      </c>
      <c r="O65" s="329">
        <f t="shared" si="27"/>
        <v>0</v>
      </c>
    </row>
    <row r="66" spans="1:18" x14ac:dyDescent="0.3">
      <c r="A66" s="680"/>
      <c r="B66" s="352">
        <v>42544</v>
      </c>
      <c r="C66" s="336" t="s">
        <v>1443</v>
      </c>
      <c r="D66" s="325"/>
      <c r="E66" s="329"/>
      <c r="F66" s="329"/>
      <c r="G66" s="393"/>
      <c r="H66" s="393"/>
      <c r="I66" s="393"/>
      <c r="J66" s="393">
        <v>0</v>
      </c>
      <c r="K66" s="393">
        <v>0</v>
      </c>
      <c r="L66" s="329">
        <f>L23</f>
        <v>2346.3000000000002</v>
      </c>
      <c r="M66" s="329">
        <f>M23</f>
        <v>0</v>
      </c>
      <c r="N66" s="329">
        <f>N23</f>
        <v>0</v>
      </c>
      <c r="O66" s="329">
        <f>O23</f>
        <v>0</v>
      </c>
    </row>
    <row r="67" spans="1:18" x14ac:dyDescent="0.3">
      <c r="A67" s="680"/>
      <c r="B67" s="352">
        <v>42720</v>
      </c>
      <c r="C67" s="336" t="s">
        <v>1442</v>
      </c>
      <c r="D67" s="325">
        <f t="shared" ref="D67:M69" si="28">D24</f>
        <v>134429.18</v>
      </c>
      <c r="E67" s="329">
        <f t="shared" si="28"/>
        <v>268858.34999999998</v>
      </c>
      <c r="F67" s="329">
        <f t="shared" si="28"/>
        <v>283988.84000000003</v>
      </c>
      <c r="G67" s="329">
        <f t="shared" si="28"/>
        <v>373608.29</v>
      </c>
      <c r="H67" s="329">
        <f t="shared" si="28"/>
        <v>463227.74</v>
      </c>
      <c r="I67" s="329">
        <f t="shared" si="28"/>
        <v>601833.38</v>
      </c>
      <c r="J67" s="329">
        <f t="shared" si="28"/>
        <v>648082.22</v>
      </c>
      <c r="K67" s="329">
        <f t="shared" si="28"/>
        <v>694331.06</v>
      </c>
      <c r="L67" s="329">
        <f>L24</f>
        <v>800824.15</v>
      </c>
      <c r="M67" s="329">
        <f t="shared" ref="M67:O69" si="29">M24</f>
        <v>0</v>
      </c>
      <c r="N67" s="329">
        <f t="shared" si="29"/>
        <v>0</v>
      </c>
      <c r="O67" s="329">
        <f t="shared" si="29"/>
        <v>0</v>
      </c>
      <c r="P67" s="358"/>
    </row>
    <row r="68" spans="1:18" x14ac:dyDescent="0.3">
      <c r="A68" s="680"/>
      <c r="B68" s="352">
        <v>426213</v>
      </c>
      <c r="C68" s="351" t="s">
        <v>1441</v>
      </c>
      <c r="D68" s="325">
        <f t="shared" si="28"/>
        <v>20649</v>
      </c>
      <c r="E68" s="329">
        <f t="shared" si="28"/>
        <v>20649</v>
      </c>
      <c r="F68" s="329">
        <f t="shared" si="28"/>
        <v>31031.3</v>
      </c>
      <c r="G68" s="329">
        <f t="shared" si="28"/>
        <v>39560.300000000003</v>
      </c>
      <c r="H68" s="329">
        <f t="shared" si="28"/>
        <v>39560.300000000003</v>
      </c>
      <c r="I68" s="329">
        <f t="shared" si="28"/>
        <v>39560.300000000003</v>
      </c>
      <c r="J68" s="329">
        <f t="shared" si="28"/>
        <v>39560.300000000003</v>
      </c>
      <c r="K68" s="329">
        <f t="shared" si="28"/>
        <v>40550.300000000003</v>
      </c>
      <c r="L68" s="329">
        <f>L25</f>
        <v>40550.300000000003</v>
      </c>
      <c r="M68" s="329">
        <f t="shared" si="29"/>
        <v>0</v>
      </c>
      <c r="N68" s="329">
        <f t="shared" si="29"/>
        <v>0</v>
      </c>
      <c r="O68" s="329">
        <f t="shared" si="29"/>
        <v>0</v>
      </c>
    </row>
    <row r="69" spans="1:18" x14ac:dyDescent="0.3">
      <c r="A69" s="680"/>
      <c r="B69" s="376">
        <v>427121</v>
      </c>
      <c r="C69" s="360" t="s">
        <v>1251</v>
      </c>
      <c r="D69" s="325">
        <f t="shared" si="28"/>
        <v>0</v>
      </c>
      <c r="E69" s="329">
        <f t="shared" si="28"/>
        <v>0</v>
      </c>
      <c r="F69" s="329">
        <f t="shared" si="28"/>
        <v>0</v>
      </c>
      <c r="G69" s="350">
        <f t="shared" si="28"/>
        <v>0</v>
      </c>
      <c r="H69" s="350">
        <f t="shared" si="28"/>
        <v>0</v>
      </c>
      <c r="I69" s="350">
        <f t="shared" si="28"/>
        <v>0</v>
      </c>
      <c r="J69" s="350">
        <f t="shared" si="28"/>
        <v>0</v>
      </c>
      <c r="K69" s="350">
        <f t="shared" si="28"/>
        <v>0</v>
      </c>
      <c r="L69" s="350">
        <f t="shared" si="28"/>
        <v>0</v>
      </c>
      <c r="M69" s="350">
        <f t="shared" si="28"/>
        <v>0</v>
      </c>
      <c r="N69" s="350">
        <f t="shared" si="29"/>
        <v>0</v>
      </c>
      <c r="O69" s="350">
        <f t="shared" si="29"/>
        <v>0</v>
      </c>
    </row>
    <row r="70" spans="1:18" ht="18" thickBot="1" x14ac:dyDescent="0.35">
      <c r="A70" s="392"/>
      <c r="B70" s="391">
        <v>42521</v>
      </c>
      <c r="C70" s="390" t="s">
        <v>244</v>
      </c>
      <c r="D70" s="329">
        <v>0</v>
      </c>
      <c r="E70" s="329">
        <v>0</v>
      </c>
      <c r="F70" s="499">
        <v>0</v>
      </c>
      <c r="G70" s="329">
        <v>0</v>
      </c>
      <c r="H70" s="500">
        <v>0</v>
      </c>
      <c r="I70" s="389">
        <v>0</v>
      </c>
      <c r="J70" s="389">
        <v>0</v>
      </c>
      <c r="K70" s="350">
        <v>0</v>
      </c>
      <c r="L70" s="350">
        <v>0</v>
      </c>
      <c r="M70" s="350">
        <v>0</v>
      </c>
      <c r="N70" s="350">
        <f t="shared" ref="N70:O70" si="30">N36</f>
        <v>0</v>
      </c>
      <c r="O70" s="350">
        <f t="shared" si="30"/>
        <v>0</v>
      </c>
    </row>
    <row r="71" spans="1:18" s="348" customFormat="1" ht="18" thickBot="1" x14ac:dyDescent="0.35">
      <c r="A71" s="677" t="s">
        <v>1440</v>
      </c>
      <c r="B71" s="678"/>
      <c r="C71" s="679"/>
      <c r="D71" s="387">
        <f t="shared" ref="D71:O71" si="31">SUM(D56:D70)</f>
        <v>158268.4</v>
      </c>
      <c r="E71" s="387">
        <f t="shared" si="31"/>
        <v>307992.38</v>
      </c>
      <c r="F71" s="387">
        <f>SUM(F56:F70)</f>
        <v>334606.17</v>
      </c>
      <c r="G71" s="387">
        <f t="shared" si="31"/>
        <v>642772.17000000004</v>
      </c>
      <c r="H71" s="387">
        <f>SUM(H56:H70)</f>
        <v>746258.26</v>
      </c>
      <c r="I71" s="387">
        <f t="shared" si="31"/>
        <v>920293.63000000012</v>
      </c>
      <c r="J71" s="386">
        <f t="shared" si="31"/>
        <v>1004031.37</v>
      </c>
      <c r="K71" s="386">
        <f t="shared" si="31"/>
        <v>1079062.95</v>
      </c>
      <c r="L71" s="386">
        <f t="shared" si="31"/>
        <v>1244374.75</v>
      </c>
      <c r="M71" s="386">
        <f>SUM(M56:M70)</f>
        <v>0</v>
      </c>
      <c r="N71" s="386">
        <f>SUM(N56:N70)</f>
        <v>0</v>
      </c>
      <c r="O71" s="386">
        <f t="shared" si="31"/>
        <v>0</v>
      </c>
      <c r="P71" s="501"/>
      <c r="R71" s="385"/>
    </row>
    <row r="72" spans="1:18" s="348" customFormat="1" ht="18" thickBot="1" x14ac:dyDescent="0.3">
      <c r="A72" s="681" t="s">
        <v>1439</v>
      </c>
      <c r="B72" s="682"/>
      <c r="C72" s="683"/>
      <c r="D72" s="382"/>
      <c r="E72" s="382"/>
      <c r="F72" s="382"/>
      <c r="G72" s="383"/>
      <c r="H72" s="383"/>
      <c r="I72" s="382"/>
      <c r="J72" s="382"/>
      <c r="K72" s="382"/>
      <c r="L72" s="382"/>
      <c r="M72" s="382"/>
      <c r="N72" s="382"/>
      <c r="O72" s="382"/>
      <c r="P72" s="349"/>
      <c r="R72" s="349"/>
    </row>
    <row r="73" spans="1:18" x14ac:dyDescent="0.3">
      <c r="A73" s="687" t="s">
        <v>1438</v>
      </c>
      <c r="B73" s="381">
        <v>33611</v>
      </c>
      <c r="C73" s="380" t="s">
        <v>1246</v>
      </c>
      <c r="D73" s="325">
        <v>0</v>
      </c>
      <c r="E73" s="325">
        <v>0</v>
      </c>
      <c r="F73" s="325">
        <v>0</v>
      </c>
      <c r="G73" s="350">
        <f>G29</f>
        <v>0</v>
      </c>
      <c r="H73" s="350">
        <v>0</v>
      </c>
      <c r="I73" s="350">
        <v>0</v>
      </c>
      <c r="J73" s="350">
        <v>0</v>
      </c>
      <c r="K73" s="350">
        <v>0</v>
      </c>
      <c r="L73" s="350">
        <v>0</v>
      </c>
      <c r="M73" s="350">
        <v>0</v>
      </c>
      <c r="N73" s="350">
        <v>0</v>
      </c>
      <c r="O73" s="325">
        <f>O29</f>
        <v>0</v>
      </c>
    </row>
    <row r="74" spans="1:18" x14ac:dyDescent="0.3">
      <c r="A74" s="687"/>
      <c r="B74" s="379">
        <v>33612</v>
      </c>
      <c r="C74" s="361" t="s">
        <v>194</v>
      </c>
      <c r="D74" s="325">
        <v>0</v>
      </c>
      <c r="E74" s="325">
        <v>0</v>
      </c>
      <c r="F74" s="412">
        <f>F30</f>
        <v>22945.54</v>
      </c>
      <c r="G74" s="412">
        <f>G30</f>
        <v>22945.54</v>
      </c>
      <c r="H74" s="412">
        <f>H30</f>
        <v>22945.54</v>
      </c>
      <c r="I74" s="378">
        <f>I30</f>
        <v>22945.54</v>
      </c>
      <c r="J74" s="325">
        <f>J30</f>
        <v>22945.54</v>
      </c>
      <c r="K74" s="350">
        <f>'[2]08.2022'!G205</f>
        <v>22945.54</v>
      </c>
      <c r="L74" s="325">
        <f>L30</f>
        <v>22976.05</v>
      </c>
      <c r="M74" s="325">
        <f>M30</f>
        <v>0</v>
      </c>
      <c r="N74" s="325">
        <f>N30</f>
        <v>0</v>
      </c>
      <c r="O74" s="325">
        <f>O30</f>
        <v>0</v>
      </c>
    </row>
    <row r="75" spans="1:18" ht="18" thickBot="1" x14ac:dyDescent="0.35">
      <c r="A75" s="377"/>
      <c r="B75" s="376">
        <v>33613</v>
      </c>
      <c r="C75" s="360" t="s">
        <v>471</v>
      </c>
      <c r="D75" s="445">
        <f>'[2]01.2022'!G1443</f>
        <v>0</v>
      </c>
      <c r="E75" s="445">
        <f>'[2]02.2022'!G1450</f>
        <v>0</v>
      </c>
      <c r="F75" s="502">
        <f>F31</f>
        <v>0</v>
      </c>
      <c r="G75" s="350">
        <f>G31</f>
        <v>0</v>
      </c>
      <c r="H75" s="350">
        <v>0</v>
      </c>
      <c r="I75" s="350">
        <v>0</v>
      </c>
      <c r="J75" s="350">
        <v>0</v>
      </c>
      <c r="K75" s="350">
        <v>0</v>
      </c>
      <c r="L75" s="350">
        <v>0</v>
      </c>
      <c r="M75" s="350">
        <v>0</v>
      </c>
      <c r="N75" s="350">
        <v>0</v>
      </c>
      <c r="O75" s="350">
        <f>O31</f>
        <v>0</v>
      </c>
    </row>
    <row r="76" spans="1:18" s="348" customFormat="1" ht="18" thickBot="1" x14ac:dyDescent="0.35">
      <c r="A76" s="684" t="s">
        <v>1437</v>
      </c>
      <c r="B76" s="685"/>
      <c r="C76" s="686"/>
      <c r="D76" s="503">
        <f t="shared" ref="D76:H76" si="32">D73+D74</f>
        <v>0</v>
      </c>
      <c r="E76" s="503">
        <f t="shared" si="32"/>
        <v>0</v>
      </c>
      <c r="F76" s="503">
        <f>F73+F74+F75</f>
        <v>22945.54</v>
      </c>
      <c r="G76" s="488">
        <f t="shared" si="32"/>
        <v>22945.54</v>
      </c>
      <c r="H76" s="488">
        <f t="shared" si="32"/>
        <v>22945.54</v>
      </c>
      <c r="I76" s="372">
        <f>I73+I74</f>
        <v>22945.54</v>
      </c>
      <c r="J76" s="372">
        <f t="shared" ref="J76" si="33">J73+J74</f>
        <v>22945.54</v>
      </c>
      <c r="K76" s="373">
        <f>K73+K74</f>
        <v>22945.54</v>
      </c>
      <c r="L76" s="372">
        <f t="shared" ref="L76:M76" si="34">L73+L74</f>
        <v>22976.05</v>
      </c>
      <c r="M76" s="370">
        <f t="shared" si="34"/>
        <v>0</v>
      </c>
      <c r="N76" s="371">
        <f>N73+N74</f>
        <v>0</v>
      </c>
      <c r="O76" s="370">
        <f>SUM(O73:O75)</f>
        <v>0</v>
      </c>
      <c r="P76" s="501"/>
    </row>
    <row r="77" spans="1:18" ht="18" thickBot="1" x14ac:dyDescent="0.35">
      <c r="A77" s="369"/>
      <c r="B77" s="368"/>
      <c r="C77" s="368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</row>
    <row r="78" spans="1:18" s="361" customFormat="1" ht="18" thickBot="1" x14ac:dyDescent="0.35">
      <c r="A78" s="662" t="s">
        <v>1436</v>
      </c>
      <c r="B78" s="663"/>
      <c r="C78" s="664"/>
      <c r="D78" s="363">
        <f t="shared" ref="D78:H78" si="35">D54+D71-D76</f>
        <v>1247261.5800000005</v>
      </c>
      <c r="E78" s="363">
        <f t="shared" si="35"/>
        <v>2546287.2400000007</v>
      </c>
      <c r="F78" s="363">
        <f t="shared" si="35"/>
        <v>15057.63000000138</v>
      </c>
      <c r="G78" s="363">
        <f t="shared" si="35"/>
        <v>4233790.4400000004</v>
      </c>
      <c r="H78" s="363">
        <f t="shared" si="35"/>
        <v>2954472.5000000019</v>
      </c>
      <c r="I78" s="363">
        <f>I54+I71-I76</f>
        <v>1034396.8799999983</v>
      </c>
      <c r="J78" s="363">
        <f>J54+J71-J76</f>
        <v>1693364.8899999941</v>
      </c>
      <c r="K78" s="363">
        <f t="shared" ref="K78" si="36">K54+K71-K76</f>
        <v>1616451.489999997</v>
      </c>
      <c r="L78" s="363">
        <f>L54+L71-L76</f>
        <v>1462467.5400000059</v>
      </c>
      <c r="M78" s="363">
        <f t="shared" ref="M78" si="37">M54+M71-M76</f>
        <v>0</v>
      </c>
      <c r="N78" s="363">
        <f>N54+N71-N76</f>
        <v>0</v>
      </c>
      <c r="O78" s="363">
        <f>O54+O71-O76</f>
        <v>0</v>
      </c>
      <c r="P78" s="513">
        <f>L78*34%</f>
        <v>497238.96360000205</v>
      </c>
    </row>
    <row r="79" spans="1:18" ht="18" thickBot="1" x14ac:dyDescent="0.35">
      <c r="A79" s="357" t="s">
        <v>1435</v>
      </c>
      <c r="B79" s="356"/>
      <c r="C79" s="366"/>
      <c r="D79" s="365">
        <f t="shared" ref="D79:K79" si="38">D78*30%</f>
        <v>374178.47400000016</v>
      </c>
      <c r="E79" s="365">
        <f t="shared" si="38"/>
        <v>763886.17200000014</v>
      </c>
      <c r="F79" s="365">
        <f t="shared" si="38"/>
        <v>4517.2890000004136</v>
      </c>
      <c r="G79" s="365">
        <f t="shared" si="38"/>
        <v>1270137.132</v>
      </c>
      <c r="H79" s="365">
        <f t="shared" si="38"/>
        <v>886341.75000000058</v>
      </c>
      <c r="I79" s="509">
        <f>I78*30%</f>
        <v>310319.06399999949</v>
      </c>
      <c r="J79" s="365">
        <f t="shared" si="38"/>
        <v>508009.4669999982</v>
      </c>
      <c r="K79" s="365">
        <f t="shared" si="38"/>
        <v>484935.44699999905</v>
      </c>
      <c r="L79" s="365">
        <f>L78*30%</f>
        <v>438740.26200000173</v>
      </c>
      <c r="M79" s="365">
        <f>M78*30%</f>
        <v>0</v>
      </c>
      <c r="N79" s="365">
        <v>0</v>
      </c>
      <c r="O79" s="365">
        <v>0</v>
      </c>
      <c r="P79" s="301">
        <f>L79*34%</f>
        <v>149171.68908000059</v>
      </c>
    </row>
    <row r="80" spans="1:18" s="361" customFormat="1" ht="18" thickBot="1" x14ac:dyDescent="0.35">
      <c r="A80" s="662" t="s">
        <v>1434</v>
      </c>
      <c r="B80" s="663"/>
      <c r="C80" s="664"/>
      <c r="D80" s="363">
        <f t="shared" ref="D80" si="39">D78-D79</f>
        <v>873083.10600000038</v>
      </c>
      <c r="E80" s="363">
        <f>E78-E79</f>
        <v>1782401.0680000004</v>
      </c>
      <c r="F80" s="363">
        <f>F78-F79</f>
        <v>10540.341000000966</v>
      </c>
      <c r="G80" s="363">
        <f t="shared" ref="G80:K80" si="40">G78-G79</f>
        <v>2963653.3080000002</v>
      </c>
      <c r="H80" s="363">
        <f t="shared" si="40"/>
        <v>2068130.7500000014</v>
      </c>
      <c r="I80" s="363">
        <f t="shared" si="40"/>
        <v>724077.81599999871</v>
      </c>
      <c r="J80" s="363">
        <f t="shared" si="40"/>
        <v>1185355.4229999958</v>
      </c>
      <c r="K80" s="363">
        <f t="shared" si="40"/>
        <v>1131516.042999998</v>
      </c>
      <c r="L80" s="363">
        <f>L78-L79</f>
        <v>1023727.2780000041</v>
      </c>
      <c r="M80" s="363">
        <f>M78-M79</f>
        <v>0</v>
      </c>
      <c r="N80" s="363">
        <f>N78-N79</f>
        <v>0</v>
      </c>
      <c r="O80" s="363">
        <f t="shared" ref="O80" si="41">O78-O79</f>
        <v>0</v>
      </c>
      <c r="P80" s="504">
        <f>L80*34%</f>
        <v>348067.27452000143</v>
      </c>
    </row>
    <row r="81" spans="1:18" x14ac:dyDescent="0.3">
      <c r="A81" s="336" t="s">
        <v>1433</v>
      </c>
      <c r="B81" s="335"/>
      <c r="C81" s="335"/>
      <c r="D81" s="329">
        <f t="shared" ref="D81:K81" si="42">IF(D80&gt;0,D80*15%,0)</f>
        <v>130962.46590000005</v>
      </c>
      <c r="E81" s="325">
        <f t="shared" si="42"/>
        <v>267360.16020000004</v>
      </c>
      <c r="F81" s="325">
        <f>IF(F80&gt;0,F80*15%,0)</f>
        <v>1581.0511500001448</v>
      </c>
      <c r="G81" s="325">
        <f t="shared" si="42"/>
        <v>444547.99619999999</v>
      </c>
      <c r="H81" s="325">
        <f t="shared" si="42"/>
        <v>310219.61250000022</v>
      </c>
      <c r="I81" s="325">
        <f>IF(I80&gt;0,I80*15%,0)</f>
        <v>108611.67239999981</v>
      </c>
      <c r="J81" s="325">
        <f t="shared" si="42"/>
        <v>177803.31344999935</v>
      </c>
      <c r="K81" s="325">
        <f t="shared" si="42"/>
        <v>169727.40644999969</v>
      </c>
      <c r="L81" s="325">
        <f>IF(L80&gt;0,L80*15%,0)</f>
        <v>153559.0917000006</v>
      </c>
      <c r="M81" s="325">
        <f>IF(M80&gt;0,M80*15%,0)</f>
        <v>0</v>
      </c>
      <c r="N81" s="325">
        <f>IF(N80&gt;0,N80*15%,0)</f>
        <v>0</v>
      </c>
      <c r="O81" s="325">
        <f>IF(O80&gt;0,O80*15%,0)</f>
        <v>0</v>
      </c>
    </row>
    <row r="82" spans="1:18" ht="18" thickBot="1" x14ac:dyDescent="0.35">
      <c r="A82" s="360" t="s">
        <v>1432</v>
      </c>
      <c r="B82" s="359"/>
      <c r="C82" s="359"/>
      <c r="D82" s="325">
        <f>IF(D80&gt;D83,((D80-(D83*1))*0.1),0)</f>
        <v>85308.310600000041</v>
      </c>
      <c r="E82" s="325">
        <f>IF(E80&gt;E83,((E80-(E83*1))*0.1),0)</f>
        <v>174240.10680000007</v>
      </c>
      <c r="F82" s="325">
        <f t="shared" ref="F82:J82" si="43">IF(F80&gt;F83,((F80-(F83*1))*0.1),0)</f>
        <v>0</v>
      </c>
      <c r="G82" s="325">
        <f t="shared" si="43"/>
        <v>288365.33080000005</v>
      </c>
      <c r="H82" s="325">
        <f t="shared" si="43"/>
        <v>196813.07500000016</v>
      </c>
      <c r="I82" s="325">
        <f>IF(I80&gt;I83,((I80-(I83*1))*0.1),0)</f>
        <v>60407.781599999871</v>
      </c>
      <c r="J82" s="325">
        <f t="shared" si="43"/>
        <v>104535.54229999958</v>
      </c>
      <c r="K82" s="325">
        <f>IF(K80&gt;K83,((K80-(K83*1))*0.1),0)</f>
        <v>97151.604299999803</v>
      </c>
      <c r="L82" s="325">
        <f>IF(L80&gt;L83,((L80-(L83*1))*0.1),0)</f>
        <v>84372.727800000415</v>
      </c>
      <c r="M82" s="325">
        <f>IF(M80&gt;M83,((M80-(M83*1))*0.1),0)</f>
        <v>0</v>
      </c>
      <c r="N82" s="325">
        <f>IF(N80&gt;N83,((N80-(N83*1))*0.1),0)</f>
        <v>0</v>
      </c>
      <c r="O82" s="325">
        <f>IF(O80&gt;O83,((O80-(O83*1))*0.1),0)</f>
        <v>0</v>
      </c>
    </row>
    <row r="83" spans="1:18" ht="18" hidden="1" thickBot="1" x14ac:dyDescent="0.35">
      <c r="B83" s="332"/>
      <c r="C83" s="332"/>
      <c r="D83" s="302">
        <f t="shared" ref="D83:O83" si="44">20000*D5</f>
        <v>20000</v>
      </c>
      <c r="E83" s="302">
        <f t="shared" si="44"/>
        <v>40000</v>
      </c>
      <c r="F83" s="302">
        <f t="shared" si="44"/>
        <v>60000</v>
      </c>
      <c r="G83" s="302">
        <f t="shared" si="44"/>
        <v>80000</v>
      </c>
      <c r="H83" s="302">
        <f t="shared" si="44"/>
        <v>100000</v>
      </c>
      <c r="I83" s="302">
        <f>20000*I5</f>
        <v>120000</v>
      </c>
      <c r="J83" s="302">
        <f t="shared" si="44"/>
        <v>140000</v>
      </c>
      <c r="K83" s="325">
        <f t="shared" si="44"/>
        <v>160000</v>
      </c>
      <c r="L83" s="325">
        <f t="shared" si="44"/>
        <v>180000</v>
      </c>
      <c r="M83" s="302">
        <f t="shared" si="44"/>
        <v>200000</v>
      </c>
      <c r="N83" s="302">
        <f t="shared" si="44"/>
        <v>220000</v>
      </c>
      <c r="O83" s="302">
        <f t="shared" si="44"/>
        <v>240000</v>
      </c>
    </row>
    <row r="84" spans="1:18" ht="18" thickBot="1" x14ac:dyDescent="0.35">
      <c r="A84" s="656" t="s">
        <v>1431</v>
      </c>
      <c r="B84" s="657"/>
      <c r="C84" s="665"/>
      <c r="D84" s="331">
        <f>D81+D82</f>
        <v>216270.77650000009</v>
      </c>
      <c r="E84" s="331">
        <f t="shared" ref="E84" si="45">E81+E82</f>
        <v>441600.26700000011</v>
      </c>
      <c r="F84" s="331">
        <f>F81+F82</f>
        <v>1581.0511500001448</v>
      </c>
      <c r="G84" s="331">
        <f>G81+G82</f>
        <v>732913.32700000005</v>
      </c>
      <c r="H84" s="331">
        <f>H81+H82</f>
        <v>507032.68750000035</v>
      </c>
      <c r="I84" s="331">
        <f>I81+I82</f>
        <v>169019.45399999968</v>
      </c>
      <c r="J84" s="331">
        <f>J81+J82</f>
        <v>282338.85574999894</v>
      </c>
      <c r="K84" s="331">
        <f t="shared" ref="K84" si="46">K81+K82</f>
        <v>266879.01074999949</v>
      </c>
      <c r="L84" s="331">
        <f>L81+L82</f>
        <v>237931.81950000103</v>
      </c>
      <c r="M84" s="331">
        <f t="shared" ref="M84" si="47">M81+M82</f>
        <v>0</v>
      </c>
      <c r="N84" s="331">
        <f>N81+N82</f>
        <v>0</v>
      </c>
      <c r="O84" s="331">
        <f>O81+O82</f>
        <v>0</v>
      </c>
      <c r="P84" s="358"/>
      <c r="R84" s="302"/>
    </row>
    <row r="85" spans="1:18" x14ac:dyDescent="0.3">
      <c r="A85" s="357"/>
      <c r="B85" s="356"/>
      <c r="C85" s="356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55"/>
      <c r="R85" s="302"/>
    </row>
    <row r="86" spans="1:18" x14ac:dyDescent="0.3">
      <c r="A86" s="345" t="s">
        <v>1430</v>
      </c>
      <c r="B86" s="344"/>
      <c r="C86" s="335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53"/>
      <c r="R86" s="302"/>
    </row>
    <row r="87" spans="1:18" x14ac:dyDescent="0.3">
      <c r="A87" s="354" t="s">
        <v>1429</v>
      </c>
      <c r="B87" s="335"/>
      <c r="C87" s="335">
        <f>C81*4%</f>
        <v>0</v>
      </c>
      <c r="D87" s="333">
        <f>D81*0.04</f>
        <v>5238.4986360000021</v>
      </c>
      <c r="E87" s="333">
        <f>E81*0.04</f>
        <v>10694.406408000003</v>
      </c>
      <c r="F87" s="333">
        <f>F81*0.04</f>
        <v>63.242046000005793</v>
      </c>
      <c r="G87" s="338">
        <f t="shared" ref="G87:J87" si="48">IF(G113&gt;G111,G111*-1,G113*-1)*-1</f>
        <v>17781.919848000001</v>
      </c>
      <c r="H87" s="338">
        <f t="shared" si="48"/>
        <v>12408.784500000009</v>
      </c>
      <c r="I87" s="338">
        <f>IF(I113&gt;I111,I111*-1,I113*-1)*-1</f>
        <v>4344.4668959999926</v>
      </c>
      <c r="J87" s="338">
        <f t="shared" si="48"/>
        <v>7112.1325379999744</v>
      </c>
      <c r="K87" s="338">
        <f>IF(K113&gt;K111,K111*-1,K113*-1)*-1</f>
        <v>6789.0962579999878</v>
      </c>
      <c r="L87" s="338">
        <f>IF(L113&gt;L111,L111*-1,L113*-1)*-1</f>
        <v>6142.3636680000245</v>
      </c>
      <c r="M87" s="338">
        <f>IF(M113&gt;M111,M111*-1,M113*-1)*-1</f>
        <v>0</v>
      </c>
      <c r="N87" s="338">
        <f>IF(N113&gt;N111,N111*-1,N113*-1)*-1</f>
        <v>0</v>
      </c>
      <c r="O87" s="338">
        <f>IF(O113&gt;O111,O111*-1,O113*-1)*-1</f>
        <v>0</v>
      </c>
      <c r="P87" s="353"/>
    </row>
    <row r="88" spans="1:18" s="348" customFormat="1" x14ac:dyDescent="0.3">
      <c r="A88" s="351" t="s">
        <v>1428</v>
      </c>
      <c r="B88" s="352">
        <v>411111</v>
      </c>
      <c r="C88" s="351" t="str">
        <f>A88</f>
        <v>Salario Maternidade  - Prorrogação</v>
      </c>
      <c r="D88" s="333">
        <f t="shared" ref="D88:F89" si="49">D56</f>
        <v>0</v>
      </c>
      <c r="E88" s="505">
        <f t="shared" si="49"/>
        <v>0</v>
      </c>
      <c r="F88" s="325">
        <f t="shared" si="49"/>
        <v>0</v>
      </c>
      <c r="G88" s="412">
        <f>G13</f>
        <v>22161.22</v>
      </c>
      <c r="H88" s="325">
        <f>VLOOKUP(B88,'[2]05.2022'!B:G,6,0)</f>
        <v>46696.86</v>
      </c>
      <c r="I88" s="325">
        <f>VLOOKUP(B88,'[2]06.2022'!B:G,6,0)</f>
        <v>47574.65</v>
      </c>
      <c r="J88" s="325">
        <f>[3]IRPJ_CSLL_2022!$J$88</f>
        <v>47574.65</v>
      </c>
      <c r="K88" s="325">
        <f>[3]IRPJ_CSLL_2022!$K$88</f>
        <v>47574.65</v>
      </c>
      <c r="L88" s="350">
        <f>[3]IRPJ_CSLL_2022!$L$88</f>
        <v>47574.65</v>
      </c>
      <c r="M88" s="325"/>
      <c r="N88" s="325"/>
      <c r="O88" s="350"/>
      <c r="P88" s="349"/>
    </row>
    <row r="89" spans="1:18" s="348" customFormat="1" x14ac:dyDescent="0.3">
      <c r="A89" s="351" t="s">
        <v>476</v>
      </c>
      <c r="B89" s="352">
        <v>411113</v>
      </c>
      <c r="C89" s="351" t="str">
        <f t="shared" ref="C89:C91" si="50">A89</f>
        <v>Licença Paternidade Prorrogação</v>
      </c>
      <c r="D89" s="333">
        <f t="shared" si="49"/>
        <v>2089.2199999999998</v>
      </c>
      <c r="E89" s="505">
        <f t="shared" si="49"/>
        <v>16283.03</v>
      </c>
      <c r="F89" s="325">
        <f t="shared" si="49"/>
        <v>16283.03</v>
      </c>
      <c r="G89" s="325">
        <f>G57</f>
        <v>24525.7</v>
      </c>
      <c r="H89" s="325">
        <f>VLOOKUP(B89,'[2]05.2022'!B:G,6,0)</f>
        <v>24525.7</v>
      </c>
      <c r="I89" s="325">
        <f>VLOOKUP(B89,'[2]06.2022'!B:G,6,0)</f>
        <v>25354.66</v>
      </c>
      <c r="J89" s="325">
        <f>[3]IRPJ_CSLL_2022!$J$89</f>
        <v>25354.66</v>
      </c>
      <c r="K89" s="325">
        <f>[3]IRPJ_CSLL_2022!$K$89</f>
        <v>25354.66</v>
      </c>
      <c r="L89" s="350">
        <f>[3]IRPJ_CSLL_2022!$L$89</f>
        <v>25354.66</v>
      </c>
      <c r="M89" s="325"/>
      <c r="N89" s="325"/>
      <c r="O89" s="350"/>
      <c r="P89" s="349"/>
      <c r="Q89" s="385"/>
    </row>
    <row r="90" spans="1:18" s="348" customFormat="1" x14ac:dyDescent="0.3">
      <c r="A90" s="351" t="s">
        <v>1428</v>
      </c>
      <c r="B90" s="352">
        <v>421110</v>
      </c>
      <c r="C90" s="351" t="str">
        <f t="shared" si="50"/>
        <v>Salario Maternidade  - Prorrogação</v>
      </c>
      <c r="D90" s="333">
        <v>0</v>
      </c>
      <c r="E90" s="505">
        <v>0</v>
      </c>
      <c r="F90" s="325">
        <v>0</v>
      </c>
      <c r="G90" s="325">
        <f>G60</f>
        <v>0</v>
      </c>
      <c r="H90" s="325">
        <f>H60</f>
        <v>-11770.000000000004</v>
      </c>
      <c r="I90" s="325">
        <f>I60</f>
        <v>20913.98</v>
      </c>
      <c r="J90" s="325">
        <f>[3]IRPJ_CSLL_2022!$J$90</f>
        <v>57368.88</v>
      </c>
      <c r="K90" s="325">
        <f>[3]IRPJ_CSLL_2022!$K$90</f>
        <v>84127.62</v>
      </c>
      <c r="L90" s="350">
        <f>[3]IRPJ_CSLL_2022!$L$90</f>
        <v>84127.62</v>
      </c>
      <c r="M90" s="325"/>
      <c r="N90" s="325"/>
      <c r="O90" s="350"/>
      <c r="P90" s="349"/>
    </row>
    <row r="91" spans="1:18" s="348" customFormat="1" ht="18" thickBot="1" x14ac:dyDescent="0.35">
      <c r="A91" s="351" t="s">
        <v>476</v>
      </c>
      <c r="B91" s="352">
        <v>421112</v>
      </c>
      <c r="C91" s="351" t="str">
        <f t="shared" si="50"/>
        <v>Licença Paternidade Prorrogação</v>
      </c>
      <c r="D91" s="333">
        <v>0</v>
      </c>
      <c r="E91" s="505">
        <f>E61</f>
        <v>0</v>
      </c>
      <c r="F91" s="333">
        <v>0</v>
      </c>
      <c r="G91" s="333">
        <f>G61</f>
        <v>0</v>
      </c>
      <c r="H91" s="350">
        <v>0</v>
      </c>
      <c r="I91" s="350">
        <f>I61</f>
        <v>0</v>
      </c>
      <c r="J91" s="350">
        <f>[3]IRPJ_CSLL_2022!$J$91</f>
        <v>0</v>
      </c>
      <c r="K91" s="350">
        <v>0</v>
      </c>
      <c r="L91" s="350">
        <f>[3]IRPJ_CSLL_2022!$L$91</f>
        <v>0</v>
      </c>
      <c r="M91" s="350">
        <v>0</v>
      </c>
      <c r="N91" s="350">
        <v>0</v>
      </c>
      <c r="O91" s="350">
        <v>0</v>
      </c>
      <c r="P91" s="349"/>
    </row>
    <row r="92" spans="1:18" ht="18" thickBot="1" x14ac:dyDescent="0.35">
      <c r="A92" s="656" t="s">
        <v>1427</v>
      </c>
      <c r="B92" s="657"/>
      <c r="C92" s="665">
        <f>SUM(C87:C90)</f>
        <v>0</v>
      </c>
      <c r="D92" s="331">
        <f>SUM(D87:D91)</f>
        <v>7327.7186360000014</v>
      </c>
      <c r="E92" s="331">
        <f t="shared" ref="E92:N92" si="51">SUM(E87:E90)</f>
        <v>26977.436408000001</v>
      </c>
      <c r="F92" s="331">
        <f t="shared" si="51"/>
        <v>16346.272046000007</v>
      </c>
      <c r="G92" s="347">
        <f>SUM(G87:G91)</f>
        <v>64468.839848000003</v>
      </c>
      <c r="H92" s="347">
        <f>SUM(H87:H90)</f>
        <v>71861.344500000007</v>
      </c>
      <c r="I92" s="347">
        <f>SUM(I87:I90)</f>
        <v>98187.756895999992</v>
      </c>
      <c r="J92" s="347">
        <f>SUM(J87:J91)</f>
        <v>137410.32253799998</v>
      </c>
      <c r="K92" s="347">
        <f>SUM(K87:K90)</f>
        <v>163846.026258</v>
      </c>
      <c r="L92" s="331">
        <f t="shared" si="51"/>
        <v>163199.29366800003</v>
      </c>
      <c r="M92" s="331">
        <f t="shared" si="51"/>
        <v>0</v>
      </c>
      <c r="N92" s="331">
        <f t="shared" si="51"/>
        <v>0</v>
      </c>
      <c r="O92" s="347">
        <f>SUM(O87:O90)</f>
        <v>0</v>
      </c>
    </row>
    <row r="93" spans="1:18" ht="18" thickBot="1" x14ac:dyDescent="0.35">
      <c r="A93" s="336"/>
      <c r="B93" s="335"/>
      <c r="C93" s="335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</row>
    <row r="94" spans="1:18" ht="18" thickBot="1" x14ac:dyDescent="0.35">
      <c r="A94" s="656" t="s">
        <v>1426</v>
      </c>
      <c r="B94" s="657"/>
      <c r="C94" s="665">
        <f>C84-C92</f>
        <v>0</v>
      </c>
      <c r="D94" s="331">
        <f>D84-D92</f>
        <v>208943.05786400009</v>
      </c>
      <c r="E94" s="331">
        <f>E84-E92</f>
        <v>414622.8305920001</v>
      </c>
      <c r="F94" s="331">
        <v>0</v>
      </c>
      <c r="G94" s="331">
        <f>IF(G84-G92&gt;0,G84-G92,0)</f>
        <v>668444.48715200007</v>
      </c>
      <c r="H94" s="331">
        <f>IF(H84-H92&gt;0,H84-H92,0)</f>
        <v>435171.34300000034</v>
      </c>
      <c r="I94" s="331">
        <f>IF(I84-I92&gt;0,I84-I92,0)</f>
        <v>70831.697103999686</v>
      </c>
      <c r="J94" s="331">
        <f>IF(J84-J92&gt;0,J84-J92,0)</f>
        <v>144928.53321199896</v>
      </c>
      <c r="K94" s="331">
        <f t="shared" ref="K94:O94" si="52">IF(K84-K92&gt;0,K84-K92,0)</f>
        <v>103032.98449199949</v>
      </c>
      <c r="L94" s="331">
        <f>IF(L84-L92&gt;0,L84-L92,0)</f>
        <v>74732.525832001003</v>
      </c>
      <c r="M94" s="331">
        <f t="shared" si="52"/>
        <v>0</v>
      </c>
      <c r="N94" s="331">
        <f>IF(N84-N92&gt;0,N84-N92,0)</f>
        <v>0</v>
      </c>
      <c r="O94" s="331">
        <f t="shared" si="52"/>
        <v>0</v>
      </c>
      <c r="P94" s="346"/>
    </row>
    <row r="95" spans="1:18" x14ac:dyDescent="0.3">
      <c r="A95" s="345" t="s">
        <v>1425</v>
      </c>
      <c r="B95" s="344"/>
      <c r="C95" s="335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</row>
    <row r="96" spans="1:18" x14ac:dyDescent="0.3">
      <c r="A96" s="336" t="s">
        <v>1424</v>
      </c>
      <c r="B96" s="343"/>
      <c r="C96" s="342">
        <v>0</v>
      </c>
      <c r="D96" s="341">
        <f>C100</f>
        <v>0</v>
      </c>
      <c r="E96" s="342">
        <f>E53</f>
        <v>208943.06</v>
      </c>
      <c r="F96" s="342">
        <f>E98+E100</f>
        <v>414622.8305920001</v>
      </c>
      <c r="G96" s="342">
        <f>F98</f>
        <v>414622.8305920001</v>
      </c>
      <c r="H96" s="342">
        <f>G98+G100</f>
        <v>668444.48715200007</v>
      </c>
      <c r="I96" s="342">
        <f>H98</f>
        <v>668444.48715200007</v>
      </c>
      <c r="J96" s="341">
        <f t="shared" ref="J96" si="53">I98</f>
        <v>668444.48715200007</v>
      </c>
      <c r="K96" s="341">
        <f>J98</f>
        <v>668444.48715200007</v>
      </c>
      <c r="L96" s="341">
        <f>K98</f>
        <v>668444.48715200007</v>
      </c>
      <c r="M96" s="341">
        <f>L98</f>
        <v>668444.48715200007</v>
      </c>
      <c r="N96" s="341">
        <f>M98</f>
        <v>668444.48715200007</v>
      </c>
      <c r="O96" s="341">
        <f>N98</f>
        <v>668444.48715200007</v>
      </c>
    </row>
    <row r="97" spans="1:17" ht="18" thickBot="1" x14ac:dyDescent="0.35">
      <c r="A97" s="336" t="s">
        <v>1423</v>
      </c>
      <c r="B97" s="335"/>
      <c r="C97" s="339"/>
      <c r="D97" s="506">
        <v>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33">
        <v>0</v>
      </c>
      <c r="L97" s="333">
        <v>0</v>
      </c>
      <c r="M97" s="333">
        <v>0</v>
      </c>
      <c r="N97" s="333">
        <v>0</v>
      </c>
      <c r="O97" s="333">
        <v>0</v>
      </c>
      <c r="Q97" s="302"/>
    </row>
    <row r="98" spans="1:17" ht="18" thickBot="1" x14ac:dyDescent="0.35">
      <c r="A98" s="656" t="s">
        <v>1422</v>
      </c>
      <c r="B98" s="657">
        <v>0</v>
      </c>
      <c r="C98" s="665">
        <f t="shared" ref="C98:M98" si="54">SUM(C96:C97)</f>
        <v>0</v>
      </c>
      <c r="D98" s="331">
        <f t="shared" si="54"/>
        <v>0</v>
      </c>
      <c r="E98" s="337">
        <f>SUM(E96:E97)</f>
        <v>208943.06</v>
      </c>
      <c r="F98" s="337">
        <f>SUM(F96:F97)</f>
        <v>414622.8305920001</v>
      </c>
      <c r="G98" s="337">
        <f>SUM(G96:G97)</f>
        <v>414622.8305920001</v>
      </c>
      <c r="H98" s="337">
        <f>SUM(H96:H97)</f>
        <v>668444.48715200007</v>
      </c>
      <c r="I98" s="331">
        <f t="shared" si="54"/>
        <v>668444.48715200007</v>
      </c>
      <c r="J98" s="331">
        <f t="shared" si="54"/>
        <v>668444.48715200007</v>
      </c>
      <c r="K98" s="331">
        <f t="shared" si="54"/>
        <v>668444.48715200007</v>
      </c>
      <c r="L98" s="331">
        <f t="shared" si="54"/>
        <v>668444.48715200007</v>
      </c>
      <c r="M98" s="331">
        <f t="shared" si="54"/>
        <v>668444.48715200007</v>
      </c>
      <c r="N98" s="331">
        <f>SUM(N96:N97)</f>
        <v>668444.48715200007</v>
      </c>
      <c r="O98" s="331">
        <f>SUM(O96:O97)</f>
        <v>668444.48715200007</v>
      </c>
      <c r="Q98" s="302"/>
    </row>
    <row r="99" spans="1:17" ht="18" thickBot="1" x14ac:dyDescent="0.35">
      <c r="A99" s="336"/>
      <c r="B99" s="335"/>
      <c r="C99" s="335"/>
      <c r="D99" s="334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2"/>
    </row>
    <row r="100" spans="1:17" ht="18" thickBot="1" x14ac:dyDescent="0.35">
      <c r="A100" s="656" t="s">
        <v>1421</v>
      </c>
      <c r="B100" s="657"/>
      <c r="C100" s="665">
        <f t="shared" ref="C100:L100" si="55">C94-C98</f>
        <v>0</v>
      </c>
      <c r="D100" s="331">
        <f t="shared" si="55"/>
        <v>208943.05786400009</v>
      </c>
      <c r="E100" s="331">
        <f t="shared" si="55"/>
        <v>205679.7705920001</v>
      </c>
      <c r="F100" s="331">
        <f t="shared" si="55"/>
        <v>-414622.8305920001</v>
      </c>
      <c r="G100" s="331">
        <f t="shared" si="55"/>
        <v>253821.65655999997</v>
      </c>
      <c r="H100" s="331">
        <f t="shared" si="55"/>
        <v>-233273.14415199973</v>
      </c>
      <c r="I100" s="331">
        <f t="shared" si="55"/>
        <v>-597612.7900480004</v>
      </c>
      <c r="J100" s="331">
        <f t="shared" si="55"/>
        <v>-523515.95394000108</v>
      </c>
      <c r="K100" s="331">
        <f>K94-K98</f>
        <v>-565411.50266000058</v>
      </c>
      <c r="L100" s="331">
        <f t="shared" si="55"/>
        <v>-593711.96131999907</v>
      </c>
      <c r="M100" s="331">
        <f>M94-M98</f>
        <v>-668444.48715200007</v>
      </c>
      <c r="N100" s="331">
        <f>N94-N98</f>
        <v>-668444.48715200007</v>
      </c>
      <c r="O100" s="331">
        <f>O94-O98</f>
        <v>-668444.48715200007</v>
      </c>
    </row>
    <row r="101" spans="1:17" ht="18" thickBot="1" x14ac:dyDescent="0.35"/>
    <row r="102" spans="1:17" ht="18" thickBot="1" x14ac:dyDescent="0.35">
      <c r="A102" s="656" t="s">
        <v>1476</v>
      </c>
      <c r="B102" s="657"/>
      <c r="C102" s="657"/>
      <c r="D102" s="330" t="s">
        <v>1415</v>
      </c>
      <c r="E102" s="330" t="s">
        <v>1414</v>
      </c>
      <c r="F102" s="330" t="s">
        <v>1413</v>
      </c>
      <c r="G102" s="330" t="s">
        <v>1412</v>
      </c>
      <c r="H102" s="330" t="s">
        <v>1411</v>
      </c>
      <c r="I102" s="330" t="s">
        <v>1410</v>
      </c>
      <c r="J102" s="330" t="s">
        <v>1409</v>
      </c>
      <c r="K102" s="330" t="s">
        <v>1408</v>
      </c>
      <c r="L102" s="330" t="s">
        <v>1407</v>
      </c>
      <c r="M102" s="330" t="s">
        <v>1406</v>
      </c>
      <c r="N102" s="330" t="s">
        <v>1405</v>
      </c>
      <c r="O102" s="330" t="s">
        <v>1404</v>
      </c>
    </row>
    <row r="103" spans="1:17" x14ac:dyDescent="0.3">
      <c r="A103" s="327" t="s">
        <v>1477</v>
      </c>
      <c r="B103" s="326"/>
      <c r="C103" s="326"/>
      <c r="D103" s="393">
        <f>-[2]Planilha1!C19</f>
        <v>3294139.71</v>
      </c>
      <c r="E103" s="393">
        <f t="shared" ref="E103:I103" si="56">D103</f>
        <v>3294139.71</v>
      </c>
      <c r="F103" s="325">
        <f t="shared" si="56"/>
        <v>3294139.71</v>
      </c>
      <c r="G103" s="325">
        <f t="shared" si="56"/>
        <v>3294139.71</v>
      </c>
      <c r="H103" s="325">
        <f t="shared" si="56"/>
        <v>3294139.71</v>
      </c>
      <c r="I103" s="325">
        <f t="shared" si="56"/>
        <v>3294139.71</v>
      </c>
      <c r="J103" s="325">
        <f>I103</f>
        <v>3294139.71</v>
      </c>
      <c r="K103" s="325">
        <f>J103</f>
        <v>3294139.71</v>
      </c>
      <c r="L103" s="325">
        <f>K103</f>
        <v>3294139.71</v>
      </c>
      <c r="M103" s="325">
        <f>L103</f>
        <v>3294139.71</v>
      </c>
      <c r="N103" s="325">
        <f t="shared" ref="N103:O104" si="57">M103</f>
        <v>3294139.71</v>
      </c>
      <c r="O103" s="325">
        <f t="shared" si="57"/>
        <v>3294139.71</v>
      </c>
    </row>
    <row r="104" spans="1:17" x14ac:dyDescent="0.3">
      <c r="A104" s="327" t="s">
        <v>1418</v>
      </c>
      <c r="B104" s="326"/>
      <c r="C104" s="326"/>
      <c r="D104" s="328">
        <f>D79</f>
        <v>374178.47400000016</v>
      </c>
      <c r="E104" s="328">
        <f>E79</f>
        <v>763886.17200000014</v>
      </c>
      <c r="F104" s="328">
        <f t="shared" ref="F104:L104" si="58">F79</f>
        <v>4517.2890000004136</v>
      </c>
      <c r="G104" s="328">
        <f t="shared" si="58"/>
        <v>1270137.132</v>
      </c>
      <c r="H104" s="328">
        <f t="shared" si="58"/>
        <v>886341.75000000058</v>
      </c>
      <c r="I104" s="328">
        <f t="shared" si="58"/>
        <v>310319.06399999949</v>
      </c>
      <c r="J104" s="328">
        <f t="shared" si="58"/>
        <v>508009.4669999982</v>
      </c>
      <c r="K104" s="328">
        <f t="shared" si="58"/>
        <v>484935.44699999905</v>
      </c>
      <c r="L104" s="328">
        <f t="shared" si="58"/>
        <v>438740.26200000173</v>
      </c>
      <c r="M104" s="325">
        <f>L104</f>
        <v>438740.26200000173</v>
      </c>
      <c r="N104" s="325">
        <f t="shared" si="57"/>
        <v>438740.26200000173</v>
      </c>
      <c r="O104" s="325">
        <f t="shared" si="57"/>
        <v>438740.26200000173</v>
      </c>
    </row>
    <row r="105" spans="1:17" x14ac:dyDescent="0.3">
      <c r="A105" s="327" t="s">
        <v>1417</v>
      </c>
      <c r="B105" s="326"/>
      <c r="C105" s="326"/>
      <c r="D105" s="350">
        <f>D103-D104</f>
        <v>2919961.2359999996</v>
      </c>
      <c r="E105" s="350">
        <f t="shared" ref="E105" si="59">E103-E104</f>
        <v>2530253.5379999997</v>
      </c>
      <c r="F105" s="325">
        <f>F103-F104</f>
        <v>3289622.4209999996</v>
      </c>
      <c r="G105" s="325">
        <f>G103-G104</f>
        <v>2024002.578</v>
      </c>
      <c r="H105" s="325">
        <f t="shared" ref="H105:L105" si="60">H103-H104</f>
        <v>2407797.9599999995</v>
      </c>
      <c r="I105" s="325">
        <f t="shared" si="60"/>
        <v>2983820.6460000006</v>
      </c>
      <c r="J105" s="325">
        <f t="shared" si="60"/>
        <v>2786130.2430000016</v>
      </c>
      <c r="K105" s="325">
        <f t="shared" si="60"/>
        <v>2809204.2630000007</v>
      </c>
      <c r="L105" s="325">
        <f t="shared" si="60"/>
        <v>2855399.447999998</v>
      </c>
      <c r="M105" s="325">
        <f t="shared" ref="M105:O105" si="61">L105</f>
        <v>2855399.447999998</v>
      </c>
      <c r="N105" s="325">
        <f t="shared" si="61"/>
        <v>2855399.447999998</v>
      </c>
      <c r="O105" s="325">
        <f t="shared" si="61"/>
        <v>2855399.447999998</v>
      </c>
    </row>
    <row r="107" spans="1:17" ht="18" thickBot="1" x14ac:dyDescent="0.35">
      <c r="C107" s="324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</row>
    <row r="108" spans="1:17" ht="18" thickBot="1" x14ac:dyDescent="0.35">
      <c r="B108" s="322" t="s">
        <v>1416</v>
      </c>
      <c r="C108" s="321"/>
      <c r="D108" s="320" t="s">
        <v>1415</v>
      </c>
      <c r="E108" s="320" t="s">
        <v>1414</v>
      </c>
      <c r="F108" s="320" t="s">
        <v>1413</v>
      </c>
      <c r="G108" s="320" t="s">
        <v>1412</v>
      </c>
      <c r="H108" s="320" t="s">
        <v>1411</v>
      </c>
      <c r="I108" s="320" t="s">
        <v>1410</v>
      </c>
      <c r="J108" s="320" t="s">
        <v>1409</v>
      </c>
      <c r="K108" s="320" t="s">
        <v>1408</v>
      </c>
      <c r="L108" s="320" t="s">
        <v>1407</v>
      </c>
      <c r="M108" s="320" t="s">
        <v>1406</v>
      </c>
      <c r="N108" s="320" t="s">
        <v>1405</v>
      </c>
      <c r="O108" s="320" t="s">
        <v>1404</v>
      </c>
    </row>
    <row r="109" spans="1:17" x14ac:dyDescent="0.3">
      <c r="B109" s="313" t="s">
        <v>1403</v>
      </c>
      <c r="C109" s="319">
        <v>41132</v>
      </c>
      <c r="D109" s="316">
        <f>'[2]01.2022'!G1455</f>
        <v>149383.69</v>
      </c>
      <c r="E109" s="316">
        <f>'[2]02.2022'!G1462</f>
        <v>297940.8</v>
      </c>
      <c r="F109" s="316">
        <f>'[2]03.2022'!G1462</f>
        <v>1449325.63</v>
      </c>
      <c r="G109" s="315">
        <f>'[2]04.2022'!G1468</f>
        <v>590849.68999999994</v>
      </c>
      <c r="H109" s="315">
        <f>'[2]05.2022'!G1473</f>
        <v>736100.53</v>
      </c>
      <c r="I109" s="315">
        <f>'[2]06.2022'!G217</f>
        <v>22945.54</v>
      </c>
      <c r="J109" s="315">
        <f>'[2]07.2022'!G226</f>
        <v>1028255.44</v>
      </c>
      <c r="K109" s="315">
        <f>'[2]08.2022'!G230</f>
        <v>1172894.6299999999</v>
      </c>
      <c r="L109" s="315">
        <f>'[2]09.2022'!G229</f>
        <v>1317533.83</v>
      </c>
      <c r="M109" s="315">
        <f>'[2]10.2022'!G235</f>
        <v>1461175.56</v>
      </c>
      <c r="N109" s="315">
        <f>VLOOKUP(C109,'[2]11.2022'!B:G,6,0)</f>
        <v>1603684.86</v>
      </c>
      <c r="O109" s="315">
        <f>'[2]12.2022'!H263</f>
        <v>1886772.51</v>
      </c>
    </row>
    <row r="110" spans="1:17" ht="18" thickBot="1" x14ac:dyDescent="0.35">
      <c r="B110" s="318" t="s">
        <v>1403</v>
      </c>
      <c r="C110" s="317">
        <v>42132</v>
      </c>
      <c r="D110" s="316">
        <f>'[2]01.2022'!G1595</f>
        <v>67552.81</v>
      </c>
      <c r="E110" s="316">
        <f>'[2]02.2022'!G1602</f>
        <v>135105.62</v>
      </c>
      <c r="F110" s="316">
        <f>'[2]03.2022'!G1601</f>
        <v>0</v>
      </c>
      <c r="G110" s="315">
        <f>'[2]04.2022'!G1608</f>
        <v>270211.86</v>
      </c>
      <c r="H110" s="315">
        <f>'[2]05.2022'!G1613</f>
        <v>337764.68</v>
      </c>
      <c r="I110" s="315">
        <f>'[2]06.2022'!G271</f>
        <v>140377.21</v>
      </c>
      <c r="J110" s="315">
        <f>'[2]07.2022'!G280</f>
        <v>470749.97</v>
      </c>
      <c r="K110" s="315">
        <f>'[2]08.2022'!G283</f>
        <v>537261.34</v>
      </c>
      <c r="L110" s="315">
        <f>'[2]09.2022'!G282</f>
        <v>603772.72</v>
      </c>
      <c r="M110" s="315">
        <f>'[2]10.2022'!G288</f>
        <v>670023.73</v>
      </c>
      <c r="N110" s="315">
        <f>VLOOKUP(C110,'[2]11.2022'!B:G,6,0)</f>
        <v>735754</v>
      </c>
      <c r="O110" s="315">
        <f>'[2]12.2022'!H318</f>
        <v>866557.95</v>
      </c>
    </row>
    <row r="111" spans="1:17" ht="18" thickBot="1" x14ac:dyDescent="0.35">
      <c r="B111" s="658" t="s">
        <v>1387</v>
      </c>
      <c r="C111" s="659"/>
      <c r="D111" s="314">
        <f t="shared" ref="D111:I111" si="62">SUM(D109:D110)</f>
        <v>216936.5</v>
      </c>
      <c r="E111" s="314">
        <f t="shared" si="62"/>
        <v>433046.42</v>
      </c>
      <c r="F111" s="314">
        <f t="shared" si="62"/>
        <v>1449325.63</v>
      </c>
      <c r="G111" s="314">
        <f>SUM(G109:G110)</f>
        <v>861061.54999999993</v>
      </c>
      <c r="H111" s="314">
        <f t="shared" si="62"/>
        <v>1073865.21</v>
      </c>
      <c r="I111" s="314">
        <f t="shared" si="62"/>
        <v>163322.75</v>
      </c>
      <c r="J111" s="314">
        <f t="shared" ref="J111:O111" si="63">SUM(J109:J110)</f>
        <v>1499005.41</v>
      </c>
      <c r="K111" s="314">
        <f t="shared" si="63"/>
        <v>1710155.9699999997</v>
      </c>
      <c r="L111" s="314">
        <f>SUM(L109:L110)</f>
        <v>1921306.55</v>
      </c>
      <c r="M111" s="314">
        <f t="shared" si="63"/>
        <v>2131199.29</v>
      </c>
      <c r="N111" s="314">
        <f>SUM(N109:N110)</f>
        <v>2339438.8600000003</v>
      </c>
      <c r="O111" s="314">
        <f t="shared" si="63"/>
        <v>2753330.46</v>
      </c>
    </row>
    <row r="112" spans="1:17" x14ac:dyDescent="0.3">
      <c r="B112" s="660" t="s">
        <v>1402</v>
      </c>
      <c r="C112" s="661"/>
      <c r="D112" s="312">
        <f t="shared" ref="D112:L112" si="64">D111*0.15</f>
        <v>32540.474999999999</v>
      </c>
      <c r="E112" s="312">
        <f t="shared" si="64"/>
        <v>64956.962999999996</v>
      </c>
      <c r="F112" s="312">
        <f>F111*0.15</f>
        <v>217398.84449999998</v>
      </c>
      <c r="G112" s="312">
        <f>G111*0.15</f>
        <v>129159.23249999998</v>
      </c>
      <c r="H112" s="312">
        <f t="shared" si="64"/>
        <v>161079.78149999998</v>
      </c>
      <c r="I112" s="312">
        <f t="shared" si="64"/>
        <v>24498.412499999999</v>
      </c>
      <c r="J112" s="312">
        <f t="shared" si="64"/>
        <v>224850.81149999998</v>
      </c>
      <c r="K112" s="312">
        <f t="shared" si="64"/>
        <v>256523.39549999996</v>
      </c>
      <c r="L112" s="312">
        <f t="shared" si="64"/>
        <v>288195.98249999998</v>
      </c>
      <c r="M112" s="312">
        <f>M111*0.15</f>
        <v>319679.89350000001</v>
      </c>
      <c r="N112" s="312">
        <f>N111*0.15</f>
        <v>350915.82900000003</v>
      </c>
      <c r="O112" s="312">
        <f t="shared" ref="O112" si="65">O111*0.15</f>
        <v>412999.56899999996</v>
      </c>
    </row>
    <row r="113" spans="2:15" x14ac:dyDescent="0.3">
      <c r="B113" s="313" t="s">
        <v>1401</v>
      </c>
      <c r="C113" s="310"/>
      <c r="D113" s="312">
        <f t="shared" ref="D113:O113" si="66">D81*0.04</f>
        <v>5238.4986360000021</v>
      </c>
      <c r="E113" s="312">
        <f t="shared" si="66"/>
        <v>10694.406408000003</v>
      </c>
      <c r="F113" s="312">
        <f>F81*0.04</f>
        <v>63.242046000005793</v>
      </c>
      <c r="G113" s="312">
        <f>G81*0.04</f>
        <v>17781.919848000001</v>
      </c>
      <c r="H113" s="312">
        <f t="shared" si="66"/>
        <v>12408.784500000009</v>
      </c>
      <c r="I113" s="312">
        <f t="shared" si="66"/>
        <v>4344.4668959999926</v>
      </c>
      <c r="J113" s="312">
        <f t="shared" si="66"/>
        <v>7112.1325379999744</v>
      </c>
      <c r="K113" s="312">
        <f t="shared" si="66"/>
        <v>6789.0962579999878</v>
      </c>
      <c r="L113" s="312">
        <f t="shared" si="66"/>
        <v>6142.3636680000245</v>
      </c>
      <c r="M113" s="312">
        <f t="shared" si="66"/>
        <v>0</v>
      </c>
      <c r="N113" s="312">
        <f t="shared" si="66"/>
        <v>0</v>
      </c>
      <c r="O113" s="312">
        <f t="shared" si="66"/>
        <v>0</v>
      </c>
    </row>
    <row r="114" spans="2:15" x14ac:dyDescent="0.3">
      <c r="B114" s="311" t="s">
        <v>1400</v>
      </c>
      <c r="C114" s="310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</row>
    <row r="115" spans="2:15" ht="18" thickBot="1" x14ac:dyDescent="0.35">
      <c r="B115" s="308" t="s">
        <v>1399</v>
      </c>
      <c r="C115" s="307"/>
      <c r="D115" s="306">
        <f t="shared" ref="D115:O115" si="67">IF(D113&gt;0,(D112-D113),0)</f>
        <v>27301.976363999995</v>
      </c>
      <c r="E115" s="306">
        <f>IF(E113&gt;0,(E112-E113),0)</f>
        <v>54262.556591999994</v>
      </c>
      <c r="F115" s="306">
        <f>IF(F113&gt;0,(F112-F113),0)</f>
        <v>217335.60245399998</v>
      </c>
      <c r="G115" s="306">
        <f>IF(G113&gt;0,(G112-G113),0)</f>
        <v>111377.31265199998</v>
      </c>
      <c r="H115" s="306">
        <f t="shared" si="67"/>
        <v>148670.99699999997</v>
      </c>
      <c r="I115" s="306">
        <f t="shared" si="67"/>
        <v>20153.945604000008</v>
      </c>
      <c r="J115" s="306">
        <f t="shared" si="67"/>
        <v>217738.67896200001</v>
      </c>
      <c r="K115" s="306">
        <f t="shared" si="67"/>
        <v>249734.29924199998</v>
      </c>
      <c r="L115" s="306">
        <f t="shared" si="67"/>
        <v>282053.61883199995</v>
      </c>
      <c r="M115" s="306">
        <f t="shared" si="67"/>
        <v>0</v>
      </c>
      <c r="N115" s="306">
        <f>IF(N113&gt;0,(N112-N113),0)</f>
        <v>0</v>
      </c>
      <c r="O115" s="306">
        <f t="shared" si="67"/>
        <v>0</v>
      </c>
    </row>
    <row r="116" spans="2:15" x14ac:dyDescent="0.3">
      <c r="B116" s="304"/>
      <c r="C116" s="305"/>
      <c r="D116" s="304"/>
      <c r="E116" s="304"/>
    </row>
    <row r="117" spans="2:15" x14ac:dyDescent="0.3">
      <c r="K117" s="303"/>
    </row>
    <row r="119" spans="2:15" x14ac:dyDescent="0.3">
      <c r="K119" s="302"/>
    </row>
    <row r="125" spans="2:15" x14ac:dyDescent="0.3">
      <c r="B125" s="300" t="s">
        <v>1398</v>
      </c>
    </row>
    <row r="126" spans="2:15" x14ac:dyDescent="0.3">
      <c r="B126" s="300" t="s">
        <v>1397</v>
      </c>
    </row>
    <row r="127" spans="2:15" x14ac:dyDescent="0.3">
      <c r="B127" s="300" t="s">
        <v>1396</v>
      </c>
      <c r="F127" s="302">
        <f>+F36+F94</f>
        <v>948.63069000008693</v>
      </c>
    </row>
    <row r="128" spans="2:15" x14ac:dyDescent="0.3">
      <c r="F128" s="303">
        <f>-P16</f>
        <v>0</v>
      </c>
    </row>
    <row r="129" spans="2:6" x14ac:dyDescent="0.3">
      <c r="B129" s="300" t="s">
        <v>1145</v>
      </c>
      <c r="F129" s="302">
        <f>+F128-F127</f>
        <v>-948.63069000008693</v>
      </c>
    </row>
    <row r="130" spans="2:6" x14ac:dyDescent="0.3">
      <c r="B130" s="300" t="s">
        <v>1395</v>
      </c>
    </row>
    <row r="131" spans="2:6" x14ac:dyDescent="0.3">
      <c r="B131" s="300" t="s">
        <v>1394</v>
      </c>
    </row>
  </sheetData>
  <autoFilter ref="A6:I7"/>
  <mergeCells count="33">
    <mergeCell ref="A102:C102"/>
    <mergeCell ref="B111:C111"/>
    <mergeCell ref="B112:C112"/>
    <mergeCell ref="A80:C80"/>
    <mergeCell ref="A84:C84"/>
    <mergeCell ref="A92:C92"/>
    <mergeCell ref="A94:C94"/>
    <mergeCell ref="A98:C98"/>
    <mergeCell ref="A100:C100"/>
    <mergeCell ref="A78:C78"/>
    <mergeCell ref="A42:C42"/>
    <mergeCell ref="A44:C44"/>
    <mergeCell ref="A49:A50"/>
    <mergeCell ref="A52:C52"/>
    <mergeCell ref="A54:C54"/>
    <mergeCell ref="A55:C55"/>
    <mergeCell ref="A56:A69"/>
    <mergeCell ref="A71:C71"/>
    <mergeCell ref="A72:C72"/>
    <mergeCell ref="A73:A74"/>
    <mergeCell ref="A76:C76"/>
    <mergeCell ref="A38:C38"/>
    <mergeCell ref="A6:A7"/>
    <mergeCell ref="A9:C9"/>
    <mergeCell ref="A11:C11"/>
    <mergeCell ref="A12:C12"/>
    <mergeCell ref="A13:A26"/>
    <mergeCell ref="A27:C27"/>
    <mergeCell ref="A28:C28"/>
    <mergeCell ref="A29:A30"/>
    <mergeCell ref="A32:C32"/>
    <mergeCell ref="A35:C35"/>
    <mergeCell ref="A36:C36"/>
  </mergeCells>
  <conditionalFormatting sqref="B96">
    <cfRule type="cellIs" dxfId="1" priority="13" operator="lessThan">
      <formula>0</formula>
    </cfRule>
  </conditionalFormatting>
  <conditionalFormatting sqref="D33:O33">
    <cfRule type="cellIs" dxfId="0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landscape" r:id="rId1"/>
  <rowBreaks count="1" manualBreakCount="1">
    <brk id="47" max="14" man="1"/>
  </rowBreaks>
  <colBreaks count="1" manualBreakCount="1">
    <brk id="11" max="10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V94"/>
  <sheetViews>
    <sheetView showGridLines="0" topLeftCell="A10" workbookViewId="0">
      <selection activeCell="N19" sqref="N19"/>
    </sheetView>
  </sheetViews>
  <sheetFormatPr defaultColWidth="9.140625" defaultRowHeight="15" x14ac:dyDescent="0.25"/>
  <cols>
    <col min="4" max="4" width="52.85546875" style="467" customWidth="1"/>
    <col min="5" max="5" width="1.7109375" hidden="1" customWidth="1"/>
    <col min="6" max="6" width="11.5703125" style="128" hidden="1" customWidth="1"/>
    <col min="7" max="7" width="5.140625" hidden="1" customWidth="1"/>
    <col min="8" max="8" width="12.28515625" hidden="1" customWidth="1"/>
    <col min="9" max="9" width="1.7109375" hidden="1" customWidth="1"/>
    <col min="10" max="10" width="14" style="469" bestFit="1" customWidth="1"/>
    <col min="11" max="11" width="1.28515625" customWidth="1"/>
    <col min="12" max="12" width="14" style="611" bestFit="1" customWidth="1"/>
    <col min="13" max="13" width="2.85546875" customWidth="1"/>
    <col min="14" max="14" width="12.7109375" bestFit="1" customWidth="1"/>
    <col min="15" max="15" width="16.85546875" customWidth="1"/>
    <col min="16" max="16" width="49.7109375" customWidth="1"/>
    <col min="17" max="17" width="12.42578125" customWidth="1"/>
    <col min="18" max="18" width="12.28515625" customWidth="1"/>
    <col min="19" max="19" width="11.85546875" customWidth="1"/>
    <col min="20" max="20" width="12.7109375" customWidth="1"/>
  </cols>
  <sheetData>
    <row r="3" spans="4:17" ht="30" customHeight="1" x14ac:dyDescent="0.3">
      <c r="D3" s="702" t="s">
        <v>1309</v>
      </c>
      <c r="E3" s="702"/>
      <c r="F3" s="702"/>
      <c r="G3" s="702"/>
      <c r="H3" s="702"/>
      <c r="I3" s="702"/>
      <c r="J3" s="702"/>
      <c r="K3" s="702"/>
      <c r="L3" s="702"/>
      <c r="M3" s="573"/>
    </row>
    <row r="5" spans="4:17" x14ac:dyDescent="0.25">
      <c r="F5" s="697" t="s">
        <v>1471</v>
      </c>
      <c r="G5" s="697"/>
      <c r="H5" s="697"/>
      <c r="J5" s="697" t="s">
        <v>1603</v>
      </c>
      <c r="K5" s="697"/>
      <c r="L5" s="697"/>
      <c r="M5" s="572"/>
    </row>
    <row r="6" spans="4:17" x14ac:dyDescent="0.25">
      <c r="F6" s="468">
        <v>45107</v>
      </c>
      <c r="H6" s="468">
        <v>44742</v>
      </c>
      <c r="J6" s="468">
        <v>45199</v>
      </c>
      <c r="L6" s="468">
        <v>44834</v>
      </c>
      <c r="M6" s="605"/>
    </row>
    <row r="7" spans="4:17" x14ac:dyDescent="0.25">
      <c r="F7" s="469"/>
      <c r="H7" s="469"/>
      <c r="L7" s="469"/>
      <c r="M7" s="469"/>
      <c r="Q7" s="471"/>
    </row>
    <row r="8" spans="4:17" s="144" customFormat="1" x14ac:dyDescent="0.25">
      <c r="D8" s="470" t="s">
        <v>1310</v>
      </c>
      <c r="F8" s="471">
        <f>IRPJ_CSLL_2023!I11-IRPJ_CSLL_2023!F11</f>
        <v>-87418.600000005215</v>
      </c>
      <c r="H8" s="471">
        <f>IRPJ_CSLL_2022!I11-IRPJ_CSLL_2022!F11</f>
        <v>433651.78999999678</v>
      </c>
      <c r="J8" s="471">
        <f>IRPJ_CSLL_2023!L11</f>
        <v>2189218.3200000096</v>
      </c>
      <c r="L8" s="471">
        <f>IRPJ_CSLL_2022!L54</f>
        <v>241068.84000000596</v>
      </c>
      <c r="M8" s="471"/>
      <c r="Q8" s="471"/>
    </row>
    <row r="9" spans="4:17" x14ac:dyDescent="0.25">
      <c r="D9" s="467" t="s">
        <v>1311</v>
      </c>
      <c r="F9" s="472">
        <v>0.34</v>
      </c>
      <c r="H9" s="472">
        <v>0.34</v>
      </c>
      <c r="J9" s="472">
        <v>0.34</v>
      </c>
      <c r="L9" s="472">
        <v>0.34</v>
      </c>
      <c r="M9" s="472"/>
      <c r="Q9" s="471"/>
    </row>
    <row r="10" spans="4:17" s="144" customFormat="1" ht="30" x14ac:dyDescent="0.25">
      <c r="D10" s="470" t="s">
        <v>1312</v>
      </c>
      <c r="F10" s="471">
        <f>-F8*F9</f>
        <v>29722.324000001776</v>
      </c>
      <c r="H10" s="471">
        <f>-H8*H9</f>
        <v>-147441.6085999989</v>
      </c>
      <c r="J10" s="471">
        <f>-J8*J9</f>
        <v>-744334.2288000033</v>
      </c>
      <c r="L10" s="609">
        <f>-L8*L9</f>
        <v>-81963.405600002035</v>
      </c>
      <c r="M10" s="471"/>
    </row>
    <row r="11" spans="4:17" s="144" customFormat="1" x14ac:dyDescent="0.25">
      <c r="D11" s="470"/>
      <c r="F11" s="471"/>
      <c r="H11" s="471"/>
      <c r="J11" s="471"/>
      <c r="L11" s="609"/>
      <c r="M11" s="471"/>
    </row>
    <row r="12" spans="4:17" s="144" customFormat="1" x14ac:dyDescent="0.25">
      <c r="D12" s="470" t="s">
        <v>1313</v>
      </c>
      <c r="F12" s="471"/>
      <c r="H12" s="471"/>
      <c r="J12" s="471"/>
      <c r="L12" s="609"/>
      <c r="M12" s="471"/>
    </row>
    <row r="13" spans="4:17" s="144" customFormat="1" x14ac:dyDescent="0.25">
      <c r="D13" s="470" t="s">
        <v>1314</v>
      </c>
      <c r="F13" s="471"/>
      <c r="H13" s="471"/>
      <c r="J13" s="471"/>
      <c r="L13" s="609"/>
      <c r="M13" s="471"/>
    </row>
    <row r="14" spans="4:17" x14ac:dyDescent="0.25">
      <c r="D14" s="473" t="s">
        <v>1315</v>
      </c>
      <c r="F14" s="469">
        <f>-(IRPJ_CSLL_2023!I13+IRPJ_CSLL_2023!I14+IRPJ_CSLL_2023!I17+IRPJ_CSLL_2023!I18-IRPJ_CSLL_2023!F18-IRPJ_CSLL_2023!F17-IRPJ_CSLL_2023!F14-IRPJ_CSLL_2023!F13)*F9</f>
        <v>-15839.430400000001</v>
      </c>
      <c r="H14" s="469">
        <f>-(IRPJ_CSLL_2022!I13+IRPJ_CSLL_2022!I14+IRPJ_CSLL_2022!I17+IRPJ_CSLL_2022!I18-IRPJ_CSLL_2022!F13-IRPJ_CSLL_2022!F14-IRPJ_CSLL_2022!F17-IRPJ_CSLL_2022!F18)*H9</f>
        <v>-26370.488399999998</v>
      </c>
      <c r="J14" s="469">
        <f>-IRPJ_CSLL_2023!Q13-IRPJ_CSLL_2023!Q14-IRPJ_CSLL_2023!Q17-IRPJ_CSLL_2023!Q18</f>
        <v>-57929.063999999998</v>
      </c>
      <c r="L14" s="610">
        <f>-IRPJ_CSLL_2022!P13-IRPJ_CSLL_2022!P14-IRPJ_CSLL_2022!P17-IRPJ_CSLL_2022!P18</f>
        <v>-53399.356200000002</v>
      </c>
      <c r="M14" s="469"/>
    </row>
    <row r="15" spans="4:17" x14ac:dyDescent="0.25">
      <c r="D15" s="473" t="s">
        <v>1473</v>
      </c>
      <c r="F15" s="469">
        <f>-(IRPJ_CSLL_2023!I20-IRPJ_CSLL_2023!F20)*F9</f>
        <v>-5559.3026</v>
      </c>
      <c r="H15" s="469">
        <f>-(IRPJ_CSLL_2022!I20-IRPJ_CSLL_2022!F20)*H9</f>
        <v>-60694.304400000008</v>
      </c>
      <c r="J15" s="469">
        <f>-IRPJ_CSLL_2023!Q20</f>
        <v>-5559.3026</v>
      </c>
      <c r="L15" s="610">
        <f>-IRPJ_CSLL_2022!P20</f>
        <v>-77820.4614</v>
      </c>
      <c r="M15" s="469"/>
    </row>
    <row r="16" spans="4:17" x14ac:dyDescent="0.25">
      <c r="D16" s="473" t="s">
        <v>1604</v>
      </c>
      <c r="F16" s="469"/>
      <c r="H16" s="469"/>
      <c r="J16" s="469">
        <v>0</v>
      </c>
      <c r="L16" s="610">
        <f>-IRPJ_CSLL_2022!P22-IRPJ_CSLL_2022!P23-IRPJ_CSLL_2022!P24</f>
        <v>-274800.8554</v>
      </c>
      <c r="M16" s="469"/>
    </row>
    <row r="17" spans="4:16" x14ac:dyDescent="0.25">
      <c r="D17" s="473" t="s">
        <v>1605</v>
      </c>
      <c r="F17" s="469"/>
      <c r="H17" s="469"/>
      <c r="J17" s="469">
        <v>0</v>
      </c>
      <c r="L17" s="610">
        <v>0</v>
      </c>
      <c r="M17" s="469"/>
    </row>
    <row r="18" spans="4:16" x14ac:dyDescent="0.25">
      <c r="D18" s="473" t="s">
        <v>1316</v>
      </c>
      <c r="F18" s="469">
        <f>-(IRPJ_CSLL_2023!I24-IRPJ_CSLL_2023!F24)*F9</f>
        <v>-27409.168000000067</v>
      </c>
      <c r="H18" s="469">
        <f>-(IRPJ_CSLL_2022!I24-IRPJ_CSLL_2022!F24)*H9</f>
        <v>-108067.1436</v>
      </c>
      <c r="J18" s="469">
        <f>-IRPJ_CSLL_2023!Q24</f>
        <v>-565473.55000000005</v>
      </c>
      <c r="L18" s="610">
        <v>0</v>
      </c>
      <c r="M18" s="469"/>
    </row>
    <row r="19" spans="4:16" x14ac:dyDescent="0.25">
      <c r="D19" s="473" t="s">
        <v>1317</v>
      </c>
      <c r="F19" s="469">
        <f>-(IRPJ_CSLL_2023!I15+IRPJ_CSLL_2023!I19-IRPJ_CSLL_2023!G19-IRPJ_CSLL_2023!G15)*34%</f>
        <v>-652.46</v>
      </c>
      <c r="H19" s="469">
        <f>-(IRPJ_CSLL_2022!I15+IRPJ_CSLL_2022!I19+IRPJ_CSLL_2022!I25-IRPJ_CSLL_2022!F25-IRPJ_CSLL_2022!F19-IRPJ_CSLL_2022!F15)*H9</f>
        <v>-4001.8000000000015</v>
      </c>
      <c r="J19" s="469">
        <f>-IRPJ_CSLL_2023!Q15-IRPJ_CSLL_2023!Q19</f>
        <v>-2938.2800000000007</v>
      </c>
      <c r="L19" s="610">
        <f>-IRPJ_CSLL_2022!P15-IRPJ_CSLL_2022!P19-IRPJ_CSLL_2022!P25</f>
        <v>-17066.742000000002</v>
      </c>
      <c r="M19" s="469"/>
    </row>
    <row r="20" spans="4:16" s="144" customFormat="1" x14ac:dyDescent="0.25">
      <c r="D20" s="470" t="s">
        <v>1318</v>
      </c>
      <c r="F20" s="471"/>
      <c r="H20" s="471"/>
      <c r="J20" s="471"/>
      <c r="L20" s="609"/>
      <c r="M20" s="471"/>
    </row>
    <row r="21" spans="4:16" x14ac:dyDescent="0.25">
      <c r="D21" s="473" t="s">
        <v>1474</v>
      </c>
      <c r="F21" s="469">
        <v>0</v>
      </c>
      <c r="H21" s="469">
        <f>IRPJ_CSLL_2022!I76-IRPJ_CSLL_2022!F76</f>
        <v>0</v>
      </c>
      <c r="J21" s="469">
        <f>IRPJ_CSLL_2023!Q32</f>
        <v>4216</v>
      </c>
      <c r="L21" s="610">
        <f>IRPJ_CSLL_2022!L30*L9</f>
        <v>7811.857</v>
      </c>
      <c r="M21" s="469"/>
    </row>
    <row r="22" spans="4:16" x14ac:dyDescent="0.25">
      <c r="D22" s="473" t="s">
        <v>1319</v>
      </c>
      <c r="F22" s="474">
        <f t="shared" ref="F22:I22" si="0">-SUM(F10:F21)*30%</f>
        <v>5921.4110999994873</v>
      </c>
      <c r="G22" s="474">
        <f t="shared" si="0"/>
        <v>0</v>
      </c>
      <c r="H22" s="474">
        <f t="shared" si="0"/>
        <v>103972.60349999968</v>
      </c>
      <c r="I22" s="474">
        <f t="shared" si="0"/>
        <v>0</v>
      </c>
      <c r="J22" s="474">
        <f>-SUM(J10:J21)*30%</f>
        <v>411605.52762000106</v>
      </c>
      <c r="K22" s="474">
        <f t="shared" ref="K22" si="1">-SUM(K10:K21)*30%</f>
        <v>0</v>
      </c>
      <c r="L22" s="624">
        <f>-SUM(L10:L21)*30%-39486.62</f>
        <v>109685.06908000063</v>
      </c>
      <c r="M22" s="474"/>
    </row>
    <row r="23" spans="4:16" x14ac:dyDescent="0.25">
      <c r="D23" s="473" t="s">
        <v>1320</v>
      </c>
      <c r="F23" s="474">
        <f>2000*3</f>
        <v>6000</v>
      </c>
      <c r="H23" s="474">
        <v>0</v>
      </c>
      <c r="J23" s="474">
        <f>3000*6</f>
        <v>18000</v>
      </c>
      <c r="L23" s="474">
        <f>3000*6</f>
        <v>18000</v>
      </c>
      <c r="M23" s="474"/>
    </row>
    <row r="24" spans="4:16" x14ac:dyDescent="0.25">
      <c r="D24" s="473" t="s">
        <v>1321</v>
      </c>
      <c r="F24" s="474">
        <f>+[2]IRPJ_CSLL_2022!I92-[2]IRPJ_CSLL_2022!F92</f>
        <v>81841.484849999979</v>
      </c>
      <c r="H24" s="474">
        <v>81841.484849999979</v>
      </c>
      <c r="J24" s="474">
        <f>IRPJ_CSLL_2023!L92</f>
        <v>187328.06290200001</v>
      </c>
      <c r="L24" s="621">
        <f>IRPJ_CSLL_2022!L92</f>
        <v>163199.29366800003</v>
      </c>
      <c r="M24" s="474"/>
      <c r="O24" s="211"/>
    </row>
    <row r="25" spans="4:16" x14ac:dyDescent="0.25">
      <c r="D25" s="473" t="s">
        <v>1322</v>
      </c>
      <c r="F25" s="474">
        <v>0</v>
      </c>
      <c r="H25" s="474">
        <v>593805.9</v>
      </c>
      <c r="J25" s="474">
        <v>0</v>
      </c>
      <c r="L25" s="474">
        <v>0</v>
      </c>
      <c r="M25" s="474"/>
      <c r="O25" s="211"/>
    </row>
    <row r="26" spans="4:16" s="144" customFormat="1" ht="15.75" thickBot="1" x14ac:dyDescent="0.3">
      <c r="D26" s="475" t="s">
        <v>1323</v>
      </c>
      <c r="F26" s="476">
        <f>SUM(F10:F25)</f>
        <v>74024.858950001173</v>
      </c>
      <c r="G26" s="477"/>
      <c r="H26" s="476">
        <f>SUM(H10:H25)</f>
        <v>433044.64335000073</v>
      </c>
      <c r="J26" s="476">
        <f>SUM(J10:J24)</f>
        <v>-755084.83487800253</v>
      </c>
      <c r="K26" s="477"/>
      <c r="L26" s="476">
        <f>SUM(L10:L25)</f>
        <v>-206354.6008520014</v>
      </c>
      <c r="M26" s="606"/>
      <c r="N26" s="511">
        <f>IRPJ_CSLL_2023!L36+IRPJ_CSLL_2023!L94+J26</f>
        <v>0</v>
      </c>
      <c r="O26" s="511">
        <f>IRPJ_CSLL_2022!L94+IRPJ_CSLL_2022!L36+L26</f>
        <v>3.5800001351162791E-3</v>
      </c>
      <c r="P26" s="511">
        <f>L26-O26</f>
        <v>-206354.60443200154</v>
      </c>
    </row>
    <row r="27" spans="4:16" ht="11.25" customHeight="1" thickTop="1" x14ac:dyDescent="0.25">
      <c r="F27" s="469"/>
      <c r="G27" s="478"/>
      <c r="H27" s="469"/>
      <c r="K27" s="478"/>
      <c r="L27" s="469"/>
      <c r="M27" s="469"/>
    </row>
    <row r="28" spans="4:16" x14ac:dyDescent="0.25">
      <c r="D28" s="467" t="s">
        <v>1324</v>
      </c>
      <c r="F28" s="469">
        <v>0</v>
      </c>
      <c r="H28" s="469">
        <v>443990.61</v>
      </c>
      <c r="J28" s="469">
        <f>J26</f>
        <v>-755084.83487800253</v>
      </c>
      <c r="L28" s="469">
        <f>L26</f>
        <v>-206354.6008520014</v>
      </c>
      <c r="M28" s="469"/>
    </row>
    <row r="29" spans="4:16" x14ac:dyDescent="0.25">
      <c r="D29" s="467" t="s">
        <v>1325</v>
      </c>
      <c r="F29" s="469">
        <v>0</v>
      </c>
      <c r="H29" s="469">
        <v>0</v>
      </c>
      <c r="J29" s="469">
        <v>0</v>
      </c>
      <c r="L29" s="474">
        <v>0</v>
      </c>
      <c r="M29" s="474"/>
    </row>
    <row r="30" spans="4:16" ht="6" customHeight="1" x14ac:dyDescent="0.25">
      <c r="F30" s="469"/>
      <c r="H30" s="469"/>
      <c r="L30" s="469"/>
      <c r="M30" s="469"/>
    </row>
    <row r="32" spans="4:16" s="144" customFormat="1" ht="15.75" thickBot="1" x14ac:dyDescent="0.3">
      <c r="D32" s="475" t="s">
        <v>1326</v>
      </c>
      <c r="F32" s="479">
        <f>+F26/F8</f>
        <v>-0.84678614105003691</v>
      </c>
      <c r="H32" s="479">
        <f>H26/H8</f>
        <v>0.99859992126402597</v>
      </c>
      <c r="J32" s="479">
        <f>-J26/J8</f>
        <v>0.34491070533248563</v>
      </c>
      <c r="L32" s="479">
        <f>-L26/L8</f>
        <v>0.85599864690930727</v>
      </c>
      <c r="M32" s="607"/>
    </row>
    <row r="33" spans="4:17" ht="15.75" thickTop="1" x14ac:dyDescent="0.25"/>
    <row r="34" spans="4:17" hidden="1" x14ac:dyDescent="0.25"/>
    <row r="35" spans="4:17" hidden="1" x14ac:dyDescent="0.25">
      <c r="F35" s="697" t="s">
        <v>1471</v>
      </c>
      <c r="G35" s="697"/>
      <c r="H35" s="697"/>
      <c r="J35" s="697" t="s">
        <v>1472</v>
      </c>
      <c r="K35" s="697"/>
      <c r="L35" s="697"/>
      <c r="M35" s="572"/>
    </row>
    <row r="36" spans="4:17" hidden="1" x14ac:dyDescent="0.25">
      <c r="F36" s="468">
        <v>45107</v>
      </c>
      <c r="H36" s="468">
        <v>44742</v>
      </c>
      <c r="J36" s="468">
        <v>45107</v>
      </c>
      <c r="L36" s="468">
        <v>44742</v>
      </c>
      <c r="M36" s="605"/>
    </row>
    <row r="37" spans="4:17" x14ac:dyDescent="0.25">
      <c r="F37" s="469"/>
      <c r="H37" s="469"/>
      <c r="L37" s="469"/>
      <c r="M37" s="469"/>
      <c r="Q37" s="471"/>
    </row>
    <row r="38" spans="4:17" s="144" customFormat="1" x14ac:dyDescent="0.25">
      <c r="D38" s="470" t="s">
        <v>1310</v>
      </c>
      <c r="F38" s="471">
        <f>F8/1000</f>
        <v>-87.418600000005213</v>
      </c>
      <c r="H38" s="471">
        <f>H8/1000</f>
        <v>433.65178999999677</v>
      </c>
      <c r="J38" s="471">
        <f>J8/1000</f>
        <v>2189.2183200000095</v>
      </c>
      <c r="L38" s="471">
        <f>L8/1000</f>
        <v>241.06884000000596</v>
      </c>
      <c r="M38" s="471"/>
      <c r="Q38" s="471"/>
    </row>
    <row r="39" spans="4:17" x14ac:dyDescent="0.25">
      <c r="D39" s="467" t="s">
        <v>1311</v>
      </c>
      <c r="F39" s="472">
        <v>0.34</v>
      </c>
      <c r="H39" s="472">
        <v>0.34</v>
      </c>
      <c r="J39" s="472">
        <v>0.34</v>
      </c>
      <c r="L39" s="472">
        <v>0.34</v>
      </c>
      <c r="M39" s="472"/>
      <c r="Q39" s="471"/>
    </row>
    <row r="40" spans="4:17" s="144" customFormat="1" ht="30" x14ac:dyDescent="0.25">
      <c r="D40" s="470" t="s">
        <v>1312</v>
      </c>
      <c r="F40" s="471">
        <f>-F38*F39</f>
        <v>29.722324000001773</v>
      </c>
      <c r="H40" s="471">
        <f>-H38*H39</f>
        <v>-147.44160859999891</v>
      </c>
      <c r="J40" s="471">
        <f>-J38*J39</f>
        <v>-744.3342288000033</v>
      </c>
      <c r="L40" s="471">
        <f>-L38*L39</f>
        <v>-81.963405600002034</v>
      </c>
      <c r="M40" s="471"/>
    </row>
    <row r="41" spans="4:17" s="144" customFormat="1" x14ac:dyDescent="0.25">
      <c r="D41" s="470"/>
      <c r="F41" s="471"/>
      <c r="H41" s="471"/>
      <c r="J41" s="471"/>
      <c r="L41" s="471"/>
      <c r="M41" s="471"/>
    </row>
    <row r="42" spans="4:17" s="144" customFormat="1" x14ac:dyDescent="0.25">
      <c r="D42" s="470" t="s">
        <v>1313</v>
      </c>
      <c r="F42" s="471"/>
      <c r="H42" s="471"/>
      <c r="J42" s="471"/>
      <c r="L42" s="471"/>
      <c r="M42" s="471"/>
    </row>
    <row r="43" spans="4:17" s="144" customFormat="1" x14ac:dyDescent="0.25">
      <c r="D43" s="470" t="s">
        <v>1314</v>
      </c>
      <c r="F43" s="471"/>
      <c r="H43" s="471"/>
      <c r="J43" s="471"/>
      <c r="L43" s="471"/>
      <c r="M43" s="471"/>
    </row>
    <row r="44" spans="4:17" x14ac:dyDescent="0.25">
      <c r="D44" s="473" t="s">
        <v>1315</v>
      </c>
      <c r="F44" s="469">
        <f>F14/1000</f>
        <v>-15.839430400000001</v>
      </c>
      <c r="H44" s="469">
        <f>H14/1000</f>
        <v>-26.370488399999999</v>
      </c>
      <c r="J44" s="469">
        <f>J14/1000</f>
        <v>-57.929063999999997</v>
      </c>
      <c r="L44" s="469">
        <f>L14/1000</f>
        <v>-53.3993562</v>
      </c>
      <c r="M44" s="469"/>
    </row>
    <row r="45" spans="4:17" x14ac:dyDescent="0.25">
      <c r="D45" s="473" t="s">
        <v>1473</v>
      </c>
      <c r="F45" s="469">
        <f>F15/1000</f>
        <v>-5.5593025999999997</v>
      </c>
      <c r="H45" s="469">
        <f>H15/1000</f>
        <v>-60.694304400000007</v>
      </c>
      <c r="J45" s="469">
        <f>J15/1000</f>
        <v>-5.5593025999999997</v>
      </c>
      <c r="L45" s="469">
        <f>L15/1000</f>
        <v>-77.820461399999999</v>
      </c>
      <c r="M45" s="469"/>
    </row>
    <row r="46" spans="4:17" x14ac:dyDescent="0.25">
      <c r="D46" s="473" t="s">
        <v>1604</v>
      </c>
      <c r="F46" s="469"/>
      <c r="H46" s="469"/>
      <c r="J46" s="469">
        <f t="shared" ref="J46:J47" si="2">J16/1000</f>
        <v>0</v>
      </c>
      <c r="L46" s="469">
        <f t="shared" ref="L46:L47" si="3">L16/1000</f>
        <v>-274.80085539999999</v>
      </c>
      <c r="M46" s="469"/>
    </row>
    <row r="47" spans="4:17" x14ac:dyDescent="0.25">
      <c r="D47" s="473" t="s">
        <v>1605</v>
      </c>
      <c r="F47" s="469"/>
      <c r="H47" s="469"/>
      <c r="J47" s="469">
        <f t="shared" si="2"/>
        <v>0</v>
      </c>
      <c r="L47" s="469">
        <f t="shared" si="3"/>
        <v>0</v>
      </c>
      <c r="M47" s="469"/>
    </row>
    <row r="48" spans="4:17" x14ac:dyDescent="0.25">
      <c r="D48" s="473" t="s">
        <v>1316</v>
      </c>
      <c r="F48" s="469">
        <f t="shared" ref="F48:F55" si="4">F18/1000</f>
        <v>-27.409168000000069</v>
      </c>
      <c r="H48" s="469">
        <f t="shared" ref="H48:H55" si="5">H18/1000</f>
        <v>-108.06714359999999</v>
      </c>
      <c r="J48" s="469">
        <f>J18/1000</f>
        <v>-565.47355000000005</v>
      </c>
      <c r="L48" s="469">
        <f t="shared" ref="L48:L55" si="6">L18/1000</f>
        <v>0</v>
      </c>
      <c r="M48" s="469"/>
    </row>
    <row r="49" spans="4:15" x14ac:dyDescent="0.25">
      <c r="D49" s="473" t="s">
        <v>1317</v>
      </c>
      <c r="F49" s="469">
        <f t="shared" si="4"/>
        <v>-0.65246000000000004</v>
      </c>
      <c r="H49" s="469">
        <f t="shared" si="5"/>
        <v>-4.0018000000000011</v>
      </c>
      <c r="J49" s="469">
        <f>J19/1000</f>
        <v>-2.9382800000000007</v>
      </c>
      <c r="L49" s="469">
        <f t="shared" si="6"/>
        <v>-17.066742000000001</v>
      </c>
      <c r="M49" s="469"/>
    </row>
    <row r="50" spans="4:15" s="144" customFormat="1" x14ac:dyDescent="0.25">
      <c r="D50" s="470" t="s">
        <v>1318</v>
      </c>
      <c r="F50" s="469">
        <f t="shared" si="4"/>
        <v>0</v>
      </c>
      <c r="H50" s="469">
        <f t="shared" si="5"/>
        <v>0</v>
      </c>
      <c r="J50" s="469">
        <f>J20/1000</f>
        <v>0</v>
      </c>
      <c r="L50" s="469">
        <f t="shared" si="6"/>
        <v>0</v>
      </c>
      <c r="M50" s="469"/>
    </row>
    <row r="51" spans="4:15" x14ac:dyDescent="0.25">
      <c r="D51" s="473" t="s">
        <v>1474</v>
      </c>
      <c r="F51" s="469">
        <f t="shared" si="4"/>
        <v>0</v>
      </c>
      <c r="H51" s="469">
        <f t="shared" si="5"/>
        <v>0</v>
      </c>
      <c r="J51" s="469">
        <f>J21/1000</f>
        <v>4.2160000000000002</v>
      </c>
      <c r="L51" s="469">
        <f t="shared" si="6"/>
        <v>7.8118569999999998</v>
      </c>
      <c r="M51" s="469"/>
    </row>
    <row r="52" spans="4:15" x14ac:dyDescent="0.25">
      <c r="D52" s="473" t="s">
        <v>1319</v>
      </c>
      <c r="F52" s="469">
        <f t="shared" si="4"/>
        <v>5.9214110999994869</v>
      </c>
      <c r="H52" s="469">
        <f t="shared" si="5"/>
        <v>103.97260349999968</v>
      </c>
      <c r="J52" s="469">
        <f>J22/1000+1</f>
        <v>412.60552762000106</v>
      </c>
      <c r="L52" s="469">
        <f t="shared" si="6"/>
        <v>109.68506908000063</v>
      </c>
      <c r="M52" s="469"/>
    </row>
    <row r="53" spans="4:15" x14ac:dyDescent="0.25">
      <c r="D53" s="473" t="s">
        <v>1320</v>
      </c>
      <c r="F53" s="469">
        <f t="shared" si="4"/>
        <v>6</v>
      </c>
      <c r="H53" s="469">
        <f t="shared" si="5"/>
        <v>0</v>
      </c>
      <c r="J53" s="469">
        <f>J23/1000</f>
        <v>18</v>
      </c>
      <c r="L53" s="469">
        <f t="shared" si="6"/>
        <v>18</v>
      </c>
      <c r="M53" s="469"/>
    </row>
    <row r="54" spans="4:15" x14ac:dyDescent="0.25">
      <c r="D54" s="473" t="s">
        <v>1321</v>
      </c>
      <c r="F54" s="469">
        <f t="shared" si="4"/>
        <v>81.841484849999972</v>
      </c>
      <c r="H54" s="469">
        <f t="shared" si="5"/>
        <v>81.841484849999972</v>
      </c>
      <c r="J54" s="469">
        <f>J24/1000</f>
        <v>187.328062902</v>
      </c>
      <c r="L54" s="469">
        <f t="shared" si="6"/>
        <v>163.19929366800002</v>
      </c>
      <c r="M54" s="469"/>
    </row>
    <row r="55" spans="4:15" x14ac:dyDescent="0.25">
      <c r="D55" s="473" t="s">
        <v>1322</v>
      </c>
      <c r="F55" s="469">
        <f t="shared" si="4"/>
        <v>0</v>
      </c>
      <c r="H55" s="469">
        <f t="shared" si="5"/>
        <v>593.80590000000007</v>
      </c>
      <c r="J55" s="469">
        <f>J25/1000</f>
        <v>0</v>
      </c>
      <c r="L55" s="469">
        <f t="shared" si="6"/>
        <v>0</v>
      </c>
      <c r="M55" s="469"/>
    </row>
    <row r="56" spans="4:15" s="144" customFormat="1" ht="15.75" thickBot="1" x14ac:dyDescent="0.3">
      <c r="D56" s="475" t="s">
        <v>1323</v>
      </c>
      <c r="F56" s="476">
        <f>SUM(F40:F55)</f>
        <v>74.02485895000116</v>
      </c>
      <c r="G56" s="477"/>
      <c r="H56" s="476">
        <f>SUM(H40:H55)</f>
        <v>433.0446433500008</v>
      </c>
      <c r="J56" s="476">
        <f>SUM(J40:J54)</f>
        <v>-754.08483487800231</v>
      </c>
      <c r="K56" s="477"/>
      <c r="L56" s="476">
        <f>SUM(L40:L55)</f>
        <v>-206.35460085200137</v>
      </c>
      <c r="M56" s="606"/>
      <c r="N56" s="511">
        <f>N26/1000</f>
        <v>0</v>
      </c>
      <c r="O56" s="511">
        <f>O26/1000</f>
        <v>3.5800001351162792E-6</v>
      </c>
    </row>
    <row r="57" spans="4:15" ht="15.75" thickTop="1" x14ac:dyDescent="0.25">
      <c r="F57" s="469"/>
      <c r="G57" s="478"/>
      <c r="H57" s="469"/>
      <c r="K57" s="478"/>
      <c r="L57" s="469"/>
      <c r="M57" s="469"/>
    </row>
    <row r="58" spans="4:15" x14ac:dyDescent="0.25">
      <c r="D58" s="467" t="s">
        <v>1324</v>
      </c>
      <c r="F58" s="469">
        <f>F28/1000</f>
        <v>0</v>
      </c>
      <c r="H58" s="469">
        <f>H28/1000</f>
        <v>443.99061</v>
      </c>
      <c r="J58" s="469">
        <f>J28/1000</f>
        <v>-755.08483487800254</v>
      </c>
      <c r="L58" s="469">
        <f>L28/1000</f>
        <v>-206.3546008520014</v>
      </c>
      <c r="M58" s="469"/>
    </row>
    <row r="59" spans="4:15" x14ac:dyDescent="0.25">
      <c r="D59" s="467" t="s">
        <v>1325</v>
      </c>
      <c r="F59" s="469">
        <v>0</v>
      </c>
      <c r="H59" s="469">
        <v>0</v>
      </c>
      <c r="J59" s="469">
        <v>0</v>
      </c>
      <c r="L59" s="474">
        <v>0</v>
      </c>
      <c r="M59" s="474"/>
    </row>
    <row r="60" spans="4:15" x14ac:dyDescent="0.25">
      <c r="F60" s="469"/>
      <c r="H60" s="469"/>
      <c r="L60" s="469"/>
      <c r="M60" s="469"/>
    </row>
    <row r="62" spans="4:15" s="144" customFormat="1" ht="15.75" thickBot="1" x14ac:dyDescent="0.3">
      <c r="D62" s="475" t="s">
        <v>1326</v>
      </c>
      <c r="F62" s="479">
        <f>+F56/F38</f>
        <v>-0.8467861410500368</v>
      </c>
      <c r="H62" s="479">
        <f>-H56/H38</f>
        <v>-0.99859992126402619</v>
      </c>
      <c r="J62" s="479">
        <f>-J56/J38</f>
        <v>0.34445392128730179</v>
      </c>
      <c r="L62" s="479">
        <f>-L56/L38</f>
        <v>0.85599864690930716</v>
      </c>
      <c r="M62" s="607"/>
    </row>
    <row r="63" spans="4:15" ht="15.75" thickTop="1" x14ac:dyDescent="0.25"/>
    <row r="65" spans="4:22" x14ac:dyDescent="0.25">
      <c r="F65" s="697" t="s">
        <v>1471</v>
      </c>
      <c r="G65" s="697"/>
      <c r="H65" s="697"/>
      <c r="J65" s="698"/>
      <c r="K65" s="698"/>
      <c r="L65" s="698"/>
      <c r="M65" s="572"/>
    </row>
    <row r="66" spans="4:22" x14ac:dyDescent="0.25">
      <c r="F66" s="468">
        <v>45107</v>
      </c>
      <c r="H66" s="468">
        <v>44742</v>
      </c>
      <c r="J66" s="522"/>
    </row>
    <row r="67" spans="4:22" x14ac:dyDescent="0.25">
      <c r="F67" s="469"/>
      <c r="H67" s="469"/>
      <c r="J67" s="468">
        <v>45107</v>
      </c>
      <c r="L67" s="468">
        <v>44742</v>
      </c>
      <c r="M67" s="605"/>
      <c r="P67" s="14"/>
      <c r="Q67" s="14"/>
      <c r="R67" s="14"/>
      <c r="S67" s="523"/>
      <c r="T67" s="14"/>
    </row>
    <row r="68" spans="4:22" s="144" customFormat="1" ht="15.75" thickBot="1" x14ac:dyDescent="0.3">
      <c r="D68" s="470" t="s">
        <v>1310</v>
      </c>
      <c r="F68" s="516">
        <f>ROUND(F38,0)</f>
        <v>-87</v>
      </c>
      <c r="G68" s="517"/>
      <c r="H68" s="516">
        <f>ROUND(H38,0)</f>
        <v>434</v>
      </c>
      <c r="I68" s="517"/>
      <c r="J68" s="516">
        <f>ROUND(J38,0)</f>
        <v>2189</v>
      </c>
      <c r="K68" s="516">
        <f t="shared" ref="K68" si="7">ROUND(K38,0)</f>
        <v>0</v>
      </c>
      <c r="L68" s="516">
        <f>ROUND(L38,0)+1</f>
        <v>242</v>
      </c>
      <c r="M68" s="516"/>
      <c r="P68" s="524"/>
      <c r="Q68" s="699">
        <v>45199</v>
      </c>
      <c r="R68" s="700"/>
      <c r="S68" s="701">
        <v>44742</v>
      </c>
      <c r="T68" s="700"/>
    </row>
    <row r="69" spans="4:22" ht="15.75" thickBot="1" x14ac:dyDescent="0.3">
      <c r="D69" s="467" t="s">
        <v>1311</v>
      </c>
      <c r="F69" s="472">
        <v>0.34</v>
      </c>
      <c r="H69" s="472">
        <v>0.34</v>
      </c>
      <c r="J69" s="472">
        <v>0.34</v>
      </c>
      <c r="L69" s="472">
        <v>0.34</v>
      </c>
      <c r="M69" s="472"/>
      <c r="P69" s="525"/>
      <c r="Q69" s="526" t="s">
        <v>1145</v>
      </c>
      <c r="R69" s="527" t="s">
        <v>1478</v>
      </c>
      <c r="S69" s="528" t="s">
        <v>1145</v>
      </c>
      <c r="T69" s="527" t="s">
        <v>1478</v>
      </c>
    </row>
    <row r="70" spans="4:22" s="144" customFormat="1" ht="30" x14ac:dyDescent="0.25">
      <c r="D70" s="470" t="s">
        <v>1312</v>
      </c>
      <c r="F70" s="516">
        <f>ROUND(F40,0)</f>
        <v>30</v>
      </c>
      <c r="G70" s="516">
        <f t="shared" ref="G70:L70" si="8">ROUND(G40,0)</f>
        <v>0</v>
      </c>
      <c r="H70" s="516">
        <f t="shared" si="8"/>
        <v>-147</v>
      </c>
      <c r="I70" s="516">
        <f t="shared" si="8"/>
        <v>0</v>
      </c>
      <c r="J70" s="516">
        <f t="shared" si="8"/>
        <v>-744</v>
      </c>
      <c r="K70" s="516">
        <f t="shared" si="8"/>
        <v>0</v>
      </c>
      <c r="L70" s="615">
        <f t="shared" si="8"/>
        <v>-82</v>
      </c>
      <c r="M70" s="516"/>
      <c r="P70" s="525" t="s">
        <v>1479</v>
      </c>
      <c r="Q70" s="529">
        <f>IRPJ_CSLL_2023!L11/1000</f>
        <v>2189.2183200000095</v>
      </c>
      <c r="R70" s="529">
        <f>Q70</f>
        <v>2189.2183200000095</v>
      </c>
      <c r="S70" s="530">
        <f>IRPJ_CSLL_2022!L54/1000+1</f>
        <v>242.06884000000596</v>
      </c>
      <c r="T70" s="529">
        <f>S70</f>
        <v>242.06884000000596</v>
      </c>
      <c r="V70" s="517">
        <f>S70*34%</f>
        <v>82.303405600002037</v>
      </c>
    </row>
    <row r="71" spans="4:22" s="144" customFormat="1" x14ac:dyDescent="0.25">
      <c r="D71" s="470"/>
      <c r="F71" s="471"/>
      <c r="H71" s="471"/>
      <c r="J71" s="471"/>
      <c r="L71" s="622"/>
      <c r="M71" s="471"/>
      <c r="P71" s="525" t="s">
        <v>1480</v>
      </c>
      <c r="Q71" s="531">
        <f>IRPJ_CSLL_2023!L27/1000</f>
        <v>1858.52999</v>
      </c>
      <c r="R71" s="531">
        <f>Q71</f>
        <v>1858.52999</v>
      </c>
      <c r="S71" s="532">
        <f>IRPJ_CSLL_2022!L27/1000</f>
        <v>1244.3747499999999</v>
      </c>
      <c r="T71" s="531">
        <f>S71</f>
        <v>1244.3747499999999</v>
      </c>
      <c r="V71" s="517">
        <f>S71*34%</f>
        <v>423.08741500000002</v>
      </c>
    </row>
    <row r="72" spans="4:22" s="144" customFormat="1" ht="15.75" thickBot="1" x14ac:dyDescent="0.3">
      <c r="D72" s="470" t="s">
        <v>1313</v>
      </c>
      <c r="F72" s="471"/>
      <c r="H72" s="471"/>
      <c r="J72" s="471"/>
      <c r="L72" s="622"/>
      <c r="M72" s="471"/>
      <c r="P72" s="525" t="s">
        <v>1481</v>
      </c>
      <c r="Q72" s="533">
        <f>-IRPJ_CSLL_2023!L32/1000</f>
        <v>-12.4</v>
      </c>
      <c r="R72" s="533">
        <f>Q72</f>
        <v>-12.4</v>
      </c>
      <c r="S72" s="534">
        <f>-IRPJ_CSLL_2022!L32/1000</f>
        <v>-22.976050000000001</v>
      </c>
      <c r="T72" s="533">
        <f>S72</f>
        <v>-22.976050000000001</v>
      </c>
      <c r="V72" s="517">
        <f>S72*34%</f>
        <v>-7.8118570000000007</v>
      </c>
    </row>
    <row r="73" spans="4:22" s="144" customFormat="1" x14ac:dyDescent="0.25">
      <c r="D73" s="470" t="s">
        <v>1314</v>
      </c>
      <c r="F73" s="471"/>
      <c r="H73" s="471"/>
      <c r="J73" s="471"/>
      <c r="L73" s="622"/>
      <c r="M73" s="471"/>
      <c r="P73" s="535" t="s">
        <v>1482</v>
      </c>
      <c r="Q73" s="536">
        <f>SUM(Q70:Q72)</f>
        <v>4035.3483100000094</v>
      </c>
      <c r="R73" s="536">
        <f>SUM(R70:R72)</f>
        <v>4035.3483100000094</v>
      </c>
      <c r="S73" s="537">
        <f>SUM(S70:S72)</f>
        <v>1463.467540000006</v>
      </c>
      <c r="T73" s="536">
        <f>SUM(T70:T72)</f>
        <v>1463.467540000006</v>
      </c>
      <c r="V73" s="620">
        <f>SUM(V70:V72)</f>
        <v>497.57896360000206</v>
      </c>
    </row>
    <row r="74" spans="4:22" x14ac:dyDescent="0.25">
      <c r="D74" s="473" t="s">
        <v>1315</v>
      </c>
      <c r="F74" s="518">
        <f>ROUND(F44,0)</f>
        <v>-16</v>
      </c>
      <c r="G74" s="518">
        <f t="shared" ref="G74:L74" si="9">ROUND(G44,0)</f>
        <v>0</v>
      </c>
      <c r="H74" s="518">
        <f t="shared" si="9"/>
        <v>-26</v>
      </c>
      <c r="I74" s="518">
        <f t="shared" si="9"/>
        <v>0</v>
      </c>
      <c r="J74" s="518">
        <f t="shared" si="9"/>
        <v>-58</v>
      </c>
      <c r="K74" s="518">
        <f t="shared" si="9"/>
        <v>0</v>
      </c>
      <c r="L74" s="616">
        <f t="shared" si="9"/>
        <v>-53</v>
      </c>
      <c r="M74" s="518"/>
      <c r="P74" s="535"/>
      <c r="Q74" s="538"/>
      <c r="R74" s="538"/>
      <c r="S74" s="539"/>
      <c r="T74" s="538"/>
    </row>
    <row r="75" spans="4:22" x14ac:dyDescent="0.25">
      <c r="D75" s="473" t="s">
        <v>1473</v>
      </c>
      <c r="F75" s="518">
        <f>ROUND(F45,0)</f>
        <v>-6</v>
      </c>
      <c r="G75" s="518">
        <f t="shared" ref="G75:L75" si="10">ROUND(G45,0)</f>
        <v>0</v>
      </c>
      <c r="H75" s="518">
        <f t="shared" si="10"/>
        <v>-61</v>
      </c>
      <c r="I75" s="518">
        <f t="shared" si="10"/>
        <v>0</v>
      </c>
      <c r="J75" s="518">
        <f t="shared" si="10"/>
        <v>-6</v>
      </c>
      <c r="K75" s="518">
        <f t="shared" si="10"/>
        <v>0</v>
      </c>
      <c r="L75" s="616">
        <f t="shared" si="10"/>
        <v>-78</v>
      </c>
      <c r="M75" s="518"/>
      <c r="P75" s="525" t="s">
        <v>1483</v>
      </c>
      <c r="Q75" s="536">
        <f>Q73*34%</f>
        <v>1372.0184254000033</v>
      </c>
      <c r="R75" s="536">
        <f>R73*34%</f>
        <v>1372.0184254000033</v>
      </c>
      <c r="S75" s="537">
        <f>S73*34%</f>
        <v>497.57896360000206</v>
      </c>
      <c r="T75" s="618">
        <f>T73*34%</f>
        <v>497.57896360000206</v>
      </c>
    </row>
    <row r="76" spans="4:22" x14ac:dyDescent="0.25">
      <c r="D76" s="473" t="s">
        <v>1604</v>
      </c>
      <c r="F76" s="469"/>
      <c r="H76" s="469"/>
      <c r="J76" s="518">
        <f t="shared" ref="J76:J77" si="11">ROUND(J46,0)</f>
        <v>0</v>
      </c>
      <c r="L76" s="616">
        <f t="shared" ref="L76:L77" si="12">ROUND(L46,0)</f>
        <v>-275</v>
      </c>
      <c r="M76" s="469"/>
    </row>
    <row r="77" spans="4:22" x14ac:dyDescent="0.25">
      <c r="D77" s="473" t="s">
        <v>1605</v>
      </c>
      <c r="F77" s="469"/>
      <c r="H77" s="469"/>
      <c r="J77" s="518">
        <f t="shared" si="11"/>
        <v>0</v>
      </c>
      <c r="L77" s="616">
        <f t="shared" si="12"/>
        <v>0</v>
      </c>
      <c r="M77" s="469"/>
    </row>
    <row r="78" spans="4:22" x14ac:dyDescent="0.25">
      <c r="D78" s="473" t="s">
        <v>1316</v>
      </c>
      <c r="F78" s="518">
        <f t="shared" ref="F78:L85" si="13">ROUND(F48,0)</f>
        <v>-27</v>
      </c>
      <c r="G78" s="518">
        <f t="shared" si="13"/>
        <v>0</v>
      </c>
      <c r="H78" s="518">
        <f t="shared" si="13"/>
        <v>-108</v>
      </c>
      <c r="I78" s="518">
        <f t="shared" si="13"/>
        <v>0</v>
      </c>
      <c r="J78" s="518">
        <f t="shared" si="13"/>
        <v>-565</v>
      </c>
      <c r="K78" s="518">
        <f t="shared" si="13"/>
        <v>0</v>
      </c>
      <c r="L78" s="616">
        <f t="shared" si="13"/>
        <v>0</v>
      </c>
      <c r="M78" s="518"/>
      <c r="P78" s="535"/>
      <c r="Q78" s="540"/>
      <c r="R78" s="540"/>
      <c r="S78" s="541"/>
      <c r="T78" s="540"/>
    </row>
    <row r="79" spans="4:22" x14ac:dyDescent="0.25">
      <c r="D79" s="473" t="s">
        <v>1317</v>
      </c>
      <c r="F79" s="518">
        <f t="shared" si="13"/>
        <v>-1</v>
      </c>
      <c r="G79" s="518">
        <f t="shared" si="13"/>
        <v>0</v>
      </c>
      <c r="H79" s="518">
        <f t="shared" si="13"/>
        <v>-4</v>
      </c>
      <c r="I79" s="518">
        <f t="shared" si="13"/>
        <v>0</v>
      </c>
      <c r="J79" s="518">
        <f t="shared" si="13"/>
        <v>-3</v>
      </c>
      <c r="K79" s="518">
        <f t="shared" si="13"/>
        <v>0</v>
      </c>
      <c r="L79" s="616">
        <f t="shared" si="13"/>
        <v>-17</v>
      </c>
      <c r="M79" s="518"/>
      <c r="P79" s="535" t="s">
        <v>1484</v>
      </c>
      <c r="Q79" s="540" t="s">
        <v>1485</v>
      </c>
      <c r="R79" s="542">
        <v>0.09</v>
      </c>
      <c r="S79" s="541" t="s">
        <v>1485</v>
      </c>
      <c r="T79" s="542">
        <v>0.09</v>
      </c>
    </row>
    <row r="80" spans="4:22" s="144" customFormat="1" x14ac:dyDescent="0.25">
      <c r="D80" s="470" t="s">
        <v>1318</v>
      </c>
      <c r="F80" s="518">
        <f t="shared" si="13"/>
        <v>0</v>
      </c>
      <c r="G80" s="518">
        <f t="shared" si="13"/>
        <v>0</v>
      </c>
      <c r="H80" s="518">
        <f t="shared" si="13"/>
        <v>0</v>
      </c>
      <c r="I80" s="518">
        <f t="shared" si="13"/>
        <v>0</v>
      </c>
      <c r="J80" s="518">
        <f t="shared" si="13"/>
        <v>0</v>
      </c>
      <c r="K80" s="518">
        <f t="shared" si="13"/>
        <v>0</v>
      </c>
      <c r="L80" s="616">
        <f t="shared" si="13"/>
        <v>0</v>
      </c>
      <c r="M80" s="518"/>
      <c r="P80" s="525" t="s">
        <v>1486</v>
      </c>
      <c r="Q80" s="531">
        <f>-IRPJ_CSLL_2023!L92/1000</f>
        <v>-187.328062902</v>
      </c>
      <c r="R80" s="531">
        <v>0</v>
      </c>
      <c r="S80" s="617">
        <f>-IRPJ_CSLL_2022!L92/1000</f>
        <v>-163.19929366800002</v>
      </c>
      <c r="T80" s="531" t="s">
        <v>84</v>
      </c>
    </row>
    <row r="81" spans="4:20" x14ac:dyDescent="0.25">
      <c r="D81" s="473" t="s">
        <v>1474</v>
      </c>
      <c r="F81" s="518">
        <f t="shared" si="13"/>
        <v>0</v>
      </c>
      <c r="G81" s="518">
        <f t="shared" si="13"/>
        <v>0</v>
      </c>
      <c r="H81" s="518">
        <f t="shared" si="13"/>
        <v>0</v>
      </c>
      <c r="I81" s="518">
        <f t="shared" si="13"/>
        <v>0</v>
      </c>
      <c r="J81" s="518">
        <f t="shared" si="13"/>
        <v>4</v>
      </c>
      <c r="K81" s="518">
        <f t="shared" si="13"/>
        <v>0</v>
      </c>
      <c r="L81" s="616">
        <f t="shared" si="13"/>
        <v>8</v>
      </c>
      <c r="M81" s="518"/>
      <c r="P81" s="525"/>
      <c r="Q81" s="538"/>
      <c r="R81" s="538"/>
      <c r="S81" s="539"/>
      <c r="T81" s="538"/>
    </row>
    <row r="82" spans="4:20" x14ac:dyDescent="0.25">
      <c r="D82" s="473" t="s">
        <v>1319</v>
      </c>
      <c r="F82" s="518">
        <f t="shared" si="13"/>
        <v>6</v>
      </c>
      <c r="G82" s="518">
        <f t="shared" si="13"/>
        <v>0</v>
      </c>
      <c r="H82" s="518">
        <f t="shared" si="13"/>
        <v>104</v>
      </c>
      <c r="I82" s="518">
        <f t="shared" si="13"/>
        <v>0</v>
      </c>
      <c r="J82" s="518">
        <f t="shared" si="13"/>
        <v>413</v>
      </c>
      <c r="K82" s="518">
        <f t="shared" si="13"/>
        <v>0</v>
      </c>
      <c r="L82" s="623">
        <f>ROUND(L52,0)-1</f>
        <v>109</v>
      </c>
      <c r="M82" s="518"/>
      <c r="P82" s="535" t="s">
        <v>1487</v>
      </c>
      <c r="Q82" s="536">
        <f>IRPJ_CSLL_2023!L94/1000</f>
        <v>500.85789134800177</v>
      </c>
      <c r="R82" s="536">
        <f>IRPJ_CSLL_2023!L36/1000</f>
        <v>254.22694353000063</v>
      </c>
      <c r="S82" s="537">
        <f>IRPJ_CSLL_2022!L94/1000</f>
        <v>74.732525832001002</v>
      </c>
      <c r="T82" s="536">
        <f>IRPJ_CSLL_2022!L36/1000</f>
        <v>131.62207860000052</v>
      </c>
    </row>
    <row r="83" spans="4:20" x14ac:dyDescent="0.25">
      <c r="D83" s="473" t="s">
        <v>1320</v>
      </c>
      <c r="F83" s="518">
        <f t="shared" si="13"/>
        <v>6</v>
      </c>
      <c r="G83" s="518">
        <f t="shared" si="13"/>
        <v>0</v>
      </c>
      <c r="H83" s="518">
        <f t="shared" si="13"/>
        <v>0</v>
      </c>
      <c r="I83" s="518">
        <f t="shared" si="13"/>
        <v>0</v>
      </c>
      <c r="J83" s="518">
        <f t="shared" si="13"/>
        <v>18</v>
      </c>
      <c r="K83" s="518">
        <f t="shared" si="13"/>
        <v>0</v>
      </c>
      <c r="L83" s="623">
        <f t="shared" si="13"/>
        <v>18</v>
      </c>
      <c r="M83" s="518"/>
      <c r="P83" s="535"/>
      <c r="Q83" s="538"/>
      <c r="R83" s="538"/>
      <c r="S83" s="539"/>
      <c r="T83" s="538"/>
    </row>
    <row r="84" spans="4:20" x14ac:dyDescent="0.25">
      <c r="D84" s="473" t="s">
        <v>1321</v>
      </c>
      <c r="F84" s="518">
        <f t="shared" si="13"/>
        <v>82</v>
      </c>
      <c r="G84" s="518">
        <f t="shared" si="13"/>
        <v>0</v>
      </c>
      <c r="H84" s="518">
        <f t="shared" si="13"/>
        <v>82</v>
      </c>
      <c r="I84" s="518">
        <f t="shared" si="13"/>
        <v>0</v>
      </c>
      <c r="J84" s="518">
        <f t="shared" si="13"/>
        <v>187</v>
      </c>
      <c r="K84" s="518">
        <f t="shared" si="13"/>
        <v>0</v>
      </c>
      <c r="L84" s="616">
        <f t="shared" si="13"/>
        <v>163</v>
      </c>
      <c r="M84" s="518"/>
      <c r="P84" s="525" t="s">
        <v>1488</v>
      </c>
      <c r="Q84" s="531">
        <f>-IRPJ_CSLL_2023!L98/1000</f>
        <v>-842.00422968799933</v>
      </c>
      <c r="R84" s="531">
        <f>-IRPJ_CSLL_2023!L42/1000</f>
        <v>-335.27446217999972</v>
      </c>
      <c r="S84" s="617">
        <f>-IRPJ_CSLL_2022!L98/1000</f>
        <v>-668.44448715200008</v>
      </c>
      <c r="T84" s="619">
        <f>-IRPJ_CSLL_2022!L42/1000</f>
        <v>-267.51927420000021</v>
      </c>
    </row>
    <row r="85" spans="4:20" ht="15.75" thickBot="1" x14ac:dyDescent="0.3">
      <c r="D85" s="473" t="s">
        <v>1322</v>
      </c>
      <c r="F85" s="518">
        <f t="shared" si="13"/>
        <v>0</v>
      </c>
      <c r="G85" s="518">
        <f t="shared" si="13"/>
        <v>0</v>
      </c>
      <c r="H85" s="518">
        <f t="shared" si="13"/>
        <v>594</v>
      </c>
      <c r="I85" s="518">
        <f t="shared" si="13"/>
        <v>0</v>
      </c>
      <c r="J85" s="518">
        <f t="shared" si="13"/>
        <v>0</v>
      </c>
      <c r="K85" s="518">
        <f t="shared" si="13"/>
        <v>0</v>
      </c>
      <c r="L85" s="518">
        <f t="shared" si="13"/>
        <v>0</v>
      </c>
      <c r="M85" s="518"/>
      <c r="P85" s="535"/>
      <c r="Q85" s="543"/>
      <c r="R85" s="543"/>
      <c r="S85" s="544"/>
      <c r="T85" s="543"/>
    </row>
    <row r="86" spans="4:20" s="144" customFormat="1" ht="15.75" thickBot="1" x14ac:dyDescent="0.3">
      <c r="D86" s="475" t="s">
        <v>1323</v>
      </c>
      <c r="F86" s="519">
        <f>SUM(F70:F85)</f>
        <v>74</v>
      </c>
      <c r="G86" s="517"/>
      <c r="H86" s="519">
        <f>SUM(H70:H85)</f>
        <v>434</v>
      </c>
      <c r="I86" s="517"/>
      <c r="J86" s="519">
        <f>SUM(J70:J84)</f>
        <v>-754</v>
      </c>
      <c r="K86" s="517"/>
      <c r="L86" s="519">
        <f>SUM(L70:L85)</f>
        <v>-207</v>
      </c>
      <c r="M86" s="608"/>
      <c r="N86" s="511">
        <f>ROUND(N56,0)</f>
        <v>0</v>
      </c>
      <c r="O86" s="511">
        <f>ROUND(O56,0)</f>
        <v>0</v>
      </c>
      <c r="P86" s="535" t="s">
        <v>1489</v>
      </c>
      <c r="Q86" s="545">
        <f>SUM(Q82:Q85)</f>
        <v>-341.14633833999756</v>
      </c>
      <c r="R86" s="545">
        <f>SUM(R82:R85)</f>
        <v>-81.047518649999091</v>
      </c>
      <c r="S86" s="546">
        <f>SUM(S82:S84)</f>
        <v>-593.71196131999909</v>
      </c>
      <c r="T86" s="545">
        <f>SUM(T82:T84)</f>
        <v>-135.89719559999969</v>
      </c>
    </row>
    <row r="87" spans="4:20" ht="6" customHeight="1" thickTop="1" x14ac:dyDescent="0.25">
      <c r="F87" s="518"/>
      <c r="G87" s="520"/>
      <c r="H87" s="518"/>
      <c r="I87" s="521"/>
      <c r="J87" s="518"/>
      <c r="K87" s="520"/>
      <c r="L87" s="518"/>
      <c r="M87" s="518"/>
    </row>
    <row r="88" spans="4:20" x14ac:dyDescent="0.25">
      <c r="D88" s="467" t="s">
        <v>1324</v>
      </c>
      <c r="F88" s="518">
        <v>226</v>
      </c>
      <c r="G88" s="521"/>
      <c r="H88" s="518">
        <v>434</v>
      </c>
      <c r="I88" s="521"/>
      <c r="J88" s="518">
        <v>-875</v>
      </c>
      <c r="K88" s="521"/>
      <c r="L88" s="518">
        <v>-137</v>
      </c>
      <c r="M88" s="518"/>
    </row>
    <row r="89" spans="4:20" x14ac:dyDescent="0.25">
      <c r="D89" s="467" t="s">
        <v>1325</v>
      </c>
      <c r="F89" s="469">
        <v>0</v>
      </c>
      <c r="H89" s="469">
        <v>0</v>
      </c>
      <c r="J89" s="469">
        <v>0</v>
      </c>
      <c r="L89" s="474">
        <v>0</v>
      </c>
      <c r="M89" s="474"/>
    </row>
    <row r="90" spans="4:20" ht="6" customHeight="1" x14ac:dyDescent="0.25">
      <c r="F90" s="469"/>
      <c r="H90" s="469"/>
      <c r="L90" s="469"/>
      <c r="M90" s="469"/>
    </row>
    <row r="92" spans="4:20" s="144" customFormat="1" ht="15.75" thickBot="1" x14ac:dyDescent="0.3">
      <c r="D92" s="475" t="s">
        <v>1326</v>
      </c>
      <c r="F92" s="479">
        <f>+F86/F68</f>
        <v>-0.85057471264367812</v>
      </c>
      <c r="H92" s="479">
        <f>-H86/H68</f>
        <v>-1</v>
      </c>
      <c r="J92" s="479">
        <f>-J86/J68</f>
        <v>0.34444952032891729</v>
      </c>
      <c r="L92" s="479">
        <f>-L86/L68</f>
        <v>0.85537190082644632</v>
      </c>
      <c r="M92" s="607"/>
      <c r="Q92" s="144">
        <v>3075</v>
      </c>
      <c r="R92" s="144">
        <v>3075</v>
      </c>
      <c r="T92" s="144">
        <v>137</v>
      </c>
    </row>
    <row r="93" spans="4:20" ht="15.75" thickTop="1" x14ac:dyDescent="0.25">
      <c r="Q93">
        <v>1707</v>
      </c>
      <c r="R93">
        <v>1066</v>
      </c>
      <c r="T93">
        <v>920</v>
      </c>
    </row>
    <row r="94" spans="4:20" x14ac:dyDescent="0.25">
      <c r="Q94">
        <v>-640</v>
      </c>
      <c r="T94">
        <v>-23</v>
      </c>
    </row>
  </sheetData>
  <mergeCells count="9">
    <mergeCell ref="F65:H65"/>
    <mergeCell ref="J65:L65"/>
    <mergeCell ref="Q68:R68"/>
    <mergeCell ref="S68:T68"/>
    <mergeCell ref="D3:L3"/>
    <mergeCell ref="F5:H5"/>
    <mergeCell ref="J5:L5"/>
    <mergeCell ref="F35:H35"/>
    <mergeCell ref="J35:L3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14" workbookViewId="0">
      <selection activeCell="E34" activeCellId="1" sqref="F20 E34"/>
    </sheetView>
  </sheetViews>
  <sheetFormatPr defaultColWidth="9.140625" defaultRowHeight="15" x14ac:dyDescent="0.25"/>
  <cols>
    <col min="1" max="1" width="29.28515625" style="116" customWidth="1"/>
    <col min="2" max="2" width="28.28515625" style="116" customWidth="1"/>
    <col min="3" max="3" width="16.140625" style="116" customWidth="1"/>
    <col min="4" max="4" width="15.85546875" style="116" customWidth="1"/>
    <col min="5" max="5" width="14.42578125" style="116" customWidth="1"/>
    <col min="6" max="6" width="13.7109375" style="116" customWidth="1"/>
    <col min="7" max="7" width="13.7109375" style="116" bestFit="1" customWidth="1"/>
    <col min="8" max="8" width="11.28515625" style="116" bestFit="1" customWidth="1"/>
    <col min="9" max="9" width="22.5703125" style="116" bestFit="1" customWidth="1"/>
    <col min="10" max="10" width="2.28515625" style="116" customWidth="1"/>
    <col min="11" max="11" width="10.28515625" style="116" bestFit="1" customWidth="1"/>
    <col min="12" max="12" width="2" style="116" customWidth="1"/>
    <col min="13" max="13" width="10.7109375" style="116" bestFit="1" customWidth="1"/>
    <col min="14" max="16384" width="9.140625" style="116"/>
  </cols>
  <sheetData>
    <row r="1" spans="1:12" x14ac:dyDescent="0.25">
      <c r="A1" s="129"/>
      <c r="B1" s="703" t="s">
        <v>268</v>
      </c>
      <c r="C1" s="122"/>
      <c r="D1" s="122" t="s">
        <v>270</v>
      </c>
      <c r="E1" s="122" t="s">
        <v>1362</v>
      </c>
      <c r="F1" s="122" t="s">
        <v>1076</v>
      </c>
    </row>
    <row r="2" spans="1:12" x14ac:dyDescent="0.25">
      <c r="A2" s="130" t="s">
        <v>266</v>
      </c>
      <c r="B2" s="703"/>
      <c r="C2" s="122" t="s">
        <v>271</v>
      </c>
      <c r="D2" s="122" t="s">
        <v>272</v>
      </c>
      <c r="E2" s="122" t="s">
        <v>273</v>
      </c>
      <c r="F2" s="122" t="s">
        <v>273</v>
      </c>
    </row>
    <row r="3" spans="1:12" x14ac:dyDescent="0.25">
      <c r="A3" s="131" t="s">
        <v>122</v>
      </c>
      <c r="B3" s="156">
        <v>0.1</v>
      </c>
      <c r="C3" s="287">
        <f>SUMIF('Balancete 09.2023'!C:C,12313,'Balancete 09.2023'!K:K)</f>
        <v>2400</v>
      </c>
      <c r="D3" s="287">
        <f>SUMIF('Balancete 09.2023'!C:C,123982,'Balancete 09.2023'!K:K)</f>
        <v>-659</v>
      </c>
      <c r="E3" s="191">
        <f>C3+D3</f>
        <v>1741</v>
      </c>
      <c r="F3" s="191">
        <f>B15</f>
        <v>1921</v>
      </c>
    </row>
    <row r="4" spans="1:12" x14ac:dyDescent="0.25">
      <c r="A4" s="131" t="s">
        <v>123</v>
      </c>
      <c r="B4" s="156">
        <v>0.1</v>
      </c>
      <c r="C4" s="287">
        <f>SUMIF('Balancete 09.2023'!C:C,12314,'Balancete 09.2023'!K:K)</f>
        <v>792</v>
      </c>
      <c r="D4" s="287">
        <f>SUMIF('Balancete 09.2023'!C:C,123983,'Balancete 09.2023'!K:K)</f>
        <v>-731</v>
      </c>
      <c r="E4" s="191">
        <f>C4+D4</f>
        <v>61</v>
      </c>
      <c r="F4" s="191">
        <f>B16</f>
        <v>77</v>
      </c>
    </row>
    <row r="5" spans="1:12" x14ac:dyDescent="0.25">
      <c r="A5" s="131" t="s">
        <v>124</v>
      </c>
      <c r="B5" s="156">
        <v>0.2</v>
      </c>
      <c r="C5" s="287">
        <f>SUMIF('Balancete 09.2023'!C:C,12315,'Balancete 09.2023'!K:K)</f>
        <v>11709</v>
      </c>
      <c r="D5" s="287">
        <f>SUMIF('Balancete 09.2023'!C:C,123984,'Balancete 09.2023'!K:K)</f>
        <v>-7878</v>
      </c>
      <c r="E5" s="191">
        <f>C5+D5</f>
        <v>3831</v>
      </c>
      <c r="F5" s="191">
        <f>B17</f>
        <v>4644</v>
      </c>
    </row>
    <row r="6" spans="1:12" x14ac:dyDescent="0.25">
      <c r="A6" s="131" t="s">
        <v>125</v>
      </c>
      <c r="B6" s="156">
        <v>0.1</v>
      </c>
      <c r="C6" s="287">
        <f>SUMIF('Balancete 09.2023'!C:C,12317,'Balancete 09.2023'!K:K)</f>
        <v>2202</v>
      </c>
      <c r="D6" s="287">
        <f>SUMIF('Balancete 09.2023'!C:C,123986,'Balancete 09.2023'!K:K)</f>
        <v>-2027</v>
      </c>
      <c r="E6" s="191">
        <f>C6+D6</f>
        <v>175</v>
      </c>
      <c r="F6" s="191">
        <f>B18</f>
        <v>189</v>
      </c>
    </row>
    <row r="7" spans="1:12" hidden="1" x14ac:dyDescent="0.25">
      <c r="A7" s="131" t="s">
        <v>274</v>
      </c>
      <c r="B7" s="123" t="s">
        <v>275</v>
      </c>
      <c r="C7" s="192">
        <v>0</v>
      </c>
      <c r="D7" s="192"/>
      <c r="E7" s="191">
        <f>C7+D7</f>
        <v>0</v>
      </c>
      <c r="F7" s="191">
        <f>B19</f>
        <v>0</v>
      </c>
    </row>
    <row r="8" spans="1:12" x14ac:dyDescent="0.25">
      <c r="A8" s="130" t="s">
        <v>53</v>
      </c>
      <c r="B8" s="124"/>
      <c r="C8" s="193">
        <f>SUM(C3:C7)</f>
        <v>17103</v>
      </c>
      <c r="D8" s="194">
        <f>SUM(D3:D7)</f>
        <v>-11295</v>
      </c>
      <c r="E8" s="195">
        <f>SUM(E3:E7)</f>
        <v>5808</v>
      </c>
      <c r="F8" s="193">
        <f>SUM(F3:F7)</f>
        <v>6831</v>
      </c>
    </row>
    <row r="9" spans="1:12" x14ac:dyDescent="0.25">
      <c r="C9" s="196"/>
      <c r="D9" s="196"/>
      <c r="E9" s="196"/>
      <c r="F9" s="196"/>
    </row>
    <row r="13" spans="1:12" x14ac:dyDescent="0.25">
      <c r="A13" s="129"/>
      <c r="B13" s="125" t="s">
        <v>1076</v>
      </c>
      <c r="C13" s="704" t="s">
        <v>267</v>
      </c>
      <c r="D13" s="704" t="s">
        <v>1119</v>
      </c>
      <c r="E13" s="703" t="s">
        <v>285</v>
      </c>
      <c r="F13" s="704" t="s">
        <v>270</v>
      </c>
      <c r="G13" s="122" t="s">
        <v>277</v>
      </c>
      <c r="H13" s="122" t="s">
        <v>1362</v>
      </c>
    </row>
    <row r="14" spans="1:12" x14ac:dyDescent="0.25">
      <c r="A14" s="130" t="s">
        <v>266</v>
      </c>
      <c r="B14" s="125" t="s">
        <v>273</v>
      </c>
      <c r="C14" s="704"/>
      <c r="D14" s="704"/>
      <c r="E14" s="703"/>
      <c r="F14" s="704"/>
      <c r="G14" s="122" t="s">
        <v>270</v>
      </c>
      <c r="H14" s="122" t="s">
        <v>273</v>
      </c>
    </row>
    <row r="15" spans="1:12" x14ac:dyDescent="0.25">
      <c r="A15" s="131" t="s">
        <v>122</v>
      </c>
      <c r="B15" s="191">
        <f>2400-479</f>
        <v>1921</v>
      </c>
      <c r="C15" s="191">
        <f>SUMIF('Balancete 09.2023'!C:C,12313,'Balancete 09.2023'!F:F)/1000</f>
        <v>0</v>
      </c>
      <c r="D15" s="191">
        <f>SUMIF('Balancete 09.2023'!C:C,12313,'Balancete 09.2023'!G:G)/1000</f>
        <v>0</v>
      </c>
      <c r="E15" s="191">
        <v>0</v>
      </c>
      <c r="F15" s="191">
        <f>SUMIF('Balancete 09.2023'!C:C,123982,'Balancete 09.2023'!G:G)/1000</f>
        <v>-180.00414000000001</v>
      </c>
      <c r="G15" s="191">
        <v>0</v>
      </c>
      <c r="H15" s="191">
        <f>SUM(B15:G15)</f>
        <v>1740.99586</v>
      </c>
      <c r="J15" s="126"/>
      <c r="L15" s="155"/>
    </row>
    <row r="16" spans="1:12" x14ac:dyDescent="0.25">
      <c r="A16" s="133" t="s">
        <v>123</v>
      </c>
      <c r="B16" s="191">
        <f>792-715</f>
        <v>77</v>
      </c>
      <c r="C16" s="191">
        <f>SUMIF('Balancete 09.2023'!C:C,12314,'Balancete 09.2023'!F:F)/1000</f>
        <v>0</v>
      </c>
      <c r="D16" s="191">
        <f>SUMIF('Balancete 09.2023'!C:C,12314,'Balancete 09.2023'!G:G)/1000</f>
        <v>0</v>
      </c>
      <c r="E16" s="191">
        <v>0</v>
      </c>
      <c r="F16" s="191">
        <f>SUMIF('Balancete 09.2023'!C:C,123983,'Balancete 09.2023'!G:G)/1000</f>
        <v>-15.869290000000001</v>
      </c>
      <c r="G16" s="191">
        <v>0</v>
      </c>
      <c r="H16" s="191">
        <f>SUM(B16:G16)</f>
        <v>61.130710000000001</v>
      </c>
      <c r="J16" s="126"/>
      <c r="L16" s="155"/>
    </row>
    <row r="17" spans="1:12" x14ac:dyDescent="0.25">
      <c r="A17" s="133" t="s">
        <v>278</v>
      </c>
      <c r="B17" s="191">
        <v>4644</v>
      </c>
      <c r="C17" s="191">
        <f>SUM(SUMIF('Balancete 09.2023'!C:C,12315,'Balancete 09.2023'!F:F), SUMIF('Balancete 09.2023'!C:C,12315,'Balancete 09.2023'!G:G))/1000</f>
        <v>246.578</v>
      </c>
      <c r="D17" s="191">
        <v>0</v>
      </c>
      <c r="E17" s="191">
        <v>0</v>
      </c>
      <c r="F17" s="191">
        <f>SUMIF('Balancete 09.2023'!C:C,123984,'Balancete 09.2023'!G:G)/1000</f>
        <v>-1059.5357799999999</v>
      </c>
      <c r="G17" s="191">
        <v>0</v>
      </c>
      <c r="H17" s="191">
        <f>SUM(B17:G17)</f>
        <v>3831.0422200000003</v>
      </c>
      <c r="J17" s="126"/>
      <c r="L17" s="155"/>
    </row>
    <row r="18" spans="1:12" x14ac:dyDescent="0.25">
      <c r="A18" s="133" t="s">
        <v>279</v>
      </c>
      <c r="B18" s="191">
        <v>189</v>
      </c>
      <c r="C18" s="191">
        <f>SUM(SUMIF('Balancete 09.2023'!C:C,12317,'Balancete 09.2023'!F:F), SUMIF('Balancete 09.2023'!C:C,12317,'Balancete 09.2023'!G:G))/1000</f>
        <v>16.37</v>
      </c>
      <c r="D18" s="191">
        <v>0</v>
      </c>
      <c r="E18" s="191">
        <v>0</v>
      </c>
      <c r="F18" s="191">
        <f>SUMIF('Balancete 09.2023'!C:C,123986,'Balancete 09.2023'!G:G)/1000</f>
        <v>-30.550609999999999</v>
      </c>
      <c r="G18" s="191">
        <v>0</v>
      </c>
      <c r="H18" s="191">
        <f>SUM(B18:G18)</f>
        <v>174.81939</v>
      </c>
      <c r="J18" s="126"/>
      <c r="L18" s="155"/>
    </row>
    <row r="19" spans="1:12" hidden="1" x14ac:dyDescent="0.25">
      <c r="A19" s="131" t="s">
        <v>274</v>
      </c>
      <c r="B19" s="191">
        <v>0</v>
      </c>
      <c r="C19" s="191">
        <v>0</v>
      </c>
      <c r="D19" s="191">
        <v>0</v>
      </c>
      <c r="E19" s="191">
        <v>0</v>
      </c>
      <c r="F19" s="191">
        <v>0</v>
      </c>
      <c r="G19" s="191">
        <v>0</v>
      </c>
      <c r="H19" s="191">
        <f>SUM(B19:G19)</f>
        <v>0</v>
      </c>
    </row>
    <row r="20" spans="1:12" x14ac:dyDescent="0.25">
      <c r="A20" s="130" t="s">
        <v>53</v>
      </c>
      <c r="B20" s="193">
        <f t="shared" ref="B20:H20" si="0">SUM(B15:B19)</f>
        <v>6831</v>
      </c>
      <c r="C20" s="194">
        <f t="shared" si="0"/>
        <v>262.94799999999998</v>
      </c>
      <c r="D20" s="194">
        <f t="shared" si="0"/>
        <v>0</v>
      </c>
      <c r="E20" s="194">
        <f t="shared" si="0"/>
        <v>0</v>
      </c>
      <c r="F20" s="195">
        <f t="shared" si="0"/>
        <v>-1285.95982</v>
      </c>
      <c r="G20" s="195">
        <f t="shared" si="0"/>
        <v>0</v>
      </c>
      <c r="H20" s="194">
        <f t="shared" si="0"/>
        <v>5807.9881799999994</v>
      </c>
    </row>
    <row r="21" spans="1:12" x14ac:dyDescent="0.25">
      <c r="B21" s="128"/>
      <c r="C21" s="128"/>
      <c r="D21" s="128"/>
      <c r="E21" s="128"/>
      <c r="F21" s="128"/>
      <c r="G21" s="128"/>
      <c r="H21" s="128"/>
    </row>
    <row r="22" spans="1:12" x14ac:dyDescent="0.25">
      <c r="B22" s="128"/>
      <c r="C22" s="128"/>
      <c r="D22" s="128"/>
      <c r="E22" s="128"/>
      <c r="F22" s="128"/>
      <c r="G22" s="128"/>
      <c r="H22" s="128"/>
    </row>
    <row r="24" spans="1:12" x14ac:dyDescent="0.25">
      <c r="A24" s="116">
        <v>11</v>
      </c>
    </row>
    <row r="25" spans="1:12" x14ac:dyDescent="0.25">
      <c r="A25" s="157"/>
      <c r="B25" s="705" t="s">
        <v>280</v>
      </c>
      <c r="C25" s="158" t="s">
        <v>269</v>
      </c>
      <c r="D25" s="158" t="s">
        <v>281</v>
      </c>
      <c r="E25" s="158" t="s">
        <v>1362</v>
      </c>
      <c r="F25" s="158" t="s">
        <v>1076</v>
      </c>
      <c r="G25" s="128"/>
    </row>
    <row r="26" spans="1:12" x14ac:dyDescent="0.25">
      <c r="A26" s="159" t="s">
        <v>266</v>
      </c>
      <c r="B26" s="705"/>
      <c r="C26" s="158" t="s">
        <v>271</v>
      </c>
      <c r="D26" s="158" t="s">
        <v>272</v>
      </c>
      <c r="E26" s="158" t="s">
        <v>273</v>
      </c>
      <c r="F26" s="158" t="s">
        <v>273</v>
      </c>
      <c r="G26" s="128"/>
    </row>
    <row r="27" spans="1:12" x14ac:dyDescent="0.25">
      <c r="A27" s="160" t="s">
        <v>131</v>
      </c>
      <c r="B27" s="163">
        <v>0.2</v>
      </c>
      <c r="C27" s="570">
        <f>SUMIF('Balancete 09.2023'!C:C,124101,'Balancete 09.2023'!K:K)</f>
        <v>12791</v>
      </c>
      <c r="D27" s="570">
        <f>SUMIF('Balancete 09.2023'!C:C,1242,'Balancete 09.2023'!K:K)</f>
        <v>-9747</v>
      </c>
      <c r="E27" s="203">
        <f>SUM(C27:D27)</f>
        <v>3044</v>
      </c>
      <c r="F27" s="203">
        <v>4179</v>
      </c>
      <c r="G27" s="127"/>
    </row>
    <row r="28" spans="1:12" x14ac:dyDescent="0.25">
      <c r="A28" s="161" t="s">
        <v>53</v>
      </c>
      <c r="B28" s="162"/>
      <c r="C28" s="204">
        <f>SUM(C27)</f>
        <v>12791</v>
      </c>
      <c r="D28" s="204">
        <f>SUM(D27)</f>
        <v>-9747</v>
      </c>
      <c r="E28" s="204">
        <f>SUM(E27)</f>
        <v>3044</v>
      </c>
      <c r="F28" s="204">
        <f>SUM(F27)</f>
        <v>4179</v>
      </c>
      <c r="G28" s="132"/>
    </row>
    <row r="29" spans="1:12" x14ac:dyDescent="0.25">
      <c r="A29" s="128"/>
      <c r="B29" s="128"/>
      <c r="C29" s="128"/>
      <c r="D29" s="128"/>
      <c r="E29" s="128"/>
      <c r="F29" s="128"/>
      <c r="G29" s="128"/>
    </row>
    <row r="30" spans="1:12" x14ac:dyDescent="0.25">
      <c r="A30" s="128"/>
      <c r="B30" s="128"/>
      <c r="C30" s="128"/>
      <c r="D30" s="128"/>
      <c r="E30" s="128"/>
      <c r="F30" s="128"/>
      <c r="G30" s="128"/>
    </row>
    <row r="31" spans="1:12" x14ac:dyDescent="0.25">
      <c r="A31" s="157"/>
      <c r="B31" s="158" t="s">
        <v>1076</v>
      </c>
      <c r="C31" s="706" t="s">
        <v>267</v>
      </c>
      <c r="D31" s="705" t="s">
        <v>276</v>
      </c>
      <c r="E31" s="707" t="s">
        <v>281</v>
      </c>
      <c r="F31" s="158" t="s">
        <v>277</v>
      </c>
      <c r="G31" s="158" t="s">
        <v>1362</v>
      </c>
    </row>
    <row r="32" spans="1:12" x14ac:dyDescent="0.25">
      <c r="A32" s="159" t="s">
        <v>266</v>
      </c>
      <c r="B32" s="158" t="s">
        <v>273</v>
      </c>
      <c r="C32" s="706"/>
      <c r="D32" s="705"/>
      <c r="E32" s="707"/>
      <c r="F32" s="158" t="s">
        <v>281</v>
      </c>
      <c r="G32" s="158" t="s">
        <v>273</v>
      </c>
    </row>
    <row r="33" spans="1:15" x14ac:dyDescent="0.25">
      <c r="A33" s="160" t="s">
        <v>131</v>
      </c>
      <c r="B33" s="203">
        <v>4179</v>
      </c>
      <c r="C33" s="571">
        <f>SUMIF('Balancete 09.2023'!C:C,124101,'Balancete 09.2023'!F:F)/1000</f>
        <v>0</v>
      </c>
      <c r="D33" s="203">
        <f>SUMIF('Balancete 09.2023'!C:C,124101,'Balancete 09.2023'!G:G)/1000</f>
        <v>0</v>
      </c>
      <c r="E33" s="571">
        <f>SUMIF('Balancete 09.2023'!C:C,1242,'Balancete 09.2023'!G:G)/1000</f>
        <v>-1134.66868</v>
      </c>
      <c r="F33" s="203" t="s">
        <v>84</v>
      </c>
      <c r="G33" s="203">
        <f>SUM(B33:F33)</f>
        <v>3044.3313200000002</v>
      </c>
    </row>
    <row r="34" spans="1:15" x14ac:dyDescent="0.25">
      <c r="A34" s="161" t="s">
        <v>53</v>
      </c>
      <c r="B34" s="204">
        <f t="shared" ref="B34:G34" si="1">SUM(B33)</f>
        <v>4179</v>
      </c>
      <c r="C34" s="204">
        <f t="shared" si="1"/>
        <v>0</v>
      </c>
      <c r="D34" s="204">
        <f t="shared" si="1"/>
        <v>0</v>
      </c>
      <c r="E34" s="204">
        <f t="shared" si="1"/>
        <v>-1134.66868</v>
      </c>
      <c r="F34" s="204">
        <f t="shared" si="1"/>
        <v>0</v>
      </c>
      <c r="G34" s="204">
        <f t="shared" si="1"/>
        <v>3044.3313200000002</v>
      </c>
      <c r="I34" s="116" t="s">
        <v>1147</v>
      </c>
    </row>
    <row r="45" spans="1:15" x14ac:dyDescent="0.25">
      <c r="I45" s="289"/>
      <c r="J45" s="289"/>
      <c r="K45" s="289"/>
      <c r="L45" s="289"/>
      <c r="M45" s="289"/>
      <c r="N45" s="289"/>
      <c r="O45" s="289"/>
    </row>
    <row r="46" spans="1:15" ht="33" customHeight="1" x14ac:dyDescent="0.25">
      <c r="I46" s="288"/>
      <c r="J46" s="289"/>
      <c r="K46" s="290"/>
      <c r="L46" s="289"/>
      <c r="M46" s="288"/>
      <c r="N46" s="289"/>
      <c r="O46" s="289"/>
    </row>
    <row r="47" spans="1:15" x14ac:dyDescent="0.25">
      <c r="I47" s="289"/>
      <c r="J47" s="289"/>
      <c r="K47" s="291"/>
      <c r="L47" s="289"/>
      <c r="M47" s="292"/>
      <c r="N47" s="289"/>
      <c r="O47" s="289"/>
    </row>
    <row r="48" spans="1:15" x14ac:dyDescent="0.25">
      <c r="I48" s="289"/>
      <c r="J48" s="289"/>
      <c r="K48" s="289"/>
      <c r="L48" s="289"/>
      <c r="M48" s="289"/>
      <c r="N48" s="289"/>
      <c r="O48" s="289"/>
    </row>
    <row r="49" spans="9:15" x14ac:dyDescent="0.25">
      <c r="I49" s="289"/>
      <c r="J49" s="289"/>
      <c r="K49" s="289"/>
      <c r="L49" s="289"/>
      <c r="M49" s="289"/>
      <c r="N49" s="289"/>
      <c r="O49" s="289"/>
    </row>
    <row r="50" spans="9:15" x14ac:dyDescent="0.25">
      <c r="I50" s="289"/>
      <c r="J50" s="289"/>
      <c r="K50" s="289"/>
      <c r="L50" s="289"/>
      <c r="M50" s="289"/>
      <c r="N50" s="289"/>
      <c r="O50" s="289"/>
    </row>
  </sheetData>
  <mergeCells count="9">
    <mergeCell ref="C31:C32"/>
    <mergeCell ref="D31:D32"/>
    <mergeCell ref="E31:E32"/>
    <mergeCell ref="B1:B2"/>
    <mergeCell ref="C13:C14"/>
    <mergeCell ref="E13:E14"/>
    <mergeCell ref="F13:F14"/>
    <mergeCell ref="B25:B26"/>
    <mergeCell ref="D13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D101" workbookViewId="0">
      <selection activeCell="H102" sqref="H102"/>
    </sheetView>
  </sheetViews>
  <sheetFormatPr defaultRowHeight="15" x14ac:dyDescent="0.25"/>
  <cols>
    <col min="1" max="1" width="18.5703125" customWidth="1"/>
    <col min="2" max="2" width="22.5703125" bestFit="1" customWidth="1"/>
    <col min="3" max="3" width="42.28515625" customWidth="1"/>
    <col min="4" max="4" width="35.7109375" style="167" bestFit="1" customWidth="1"/>
    <col min="5" max="5" width="8.42578125" bestFit="1" customWidth="1"/>
    <col min="6" max="6" width="20.7109375" style="168" bestFit="1" customWidth="1"/>
    <col min="7" max="8" width="11.7109375" bestFit="1" customWidth="1"/>
    <col min="9" max="9" width="13.28515625" bestFit="1" customWidth="1"/>
    <col min="11" max="12" width="21.5703125" bestFit="1" customWidth="1"/>
    <col min="13" max="13" width="17.42578125" bestFit="1" customWidth="1"/>
  </cols>
  <sheetData>
    <row r="1" spans="1:9" x14ac:dyDescent="0.25">
      <c r="A1" t="s">
        <v>834</v>
      </c>
      <c r="B1" t="s">
        <v>835</v>
      </c>
      <c r="C1" t="s">
        <v>836</v>
      </c>
      <c r="D1" s="167" t="s">
        <v>837</v>
      </c>
      <c r="E1" t="s">
        <v>838</v>
      </c>
      <c r="F1" s="168" t="s">
        <v>839</v>
      </c>
      <c r="G1" t="s">
        <v>840</v>
      </c>
      <c r="H1" t="s">
        <v>841</v>
      </c>
      <c r="I1" t="s">
        <v>842</v>
      </c>
    </row>
    <row r="2" spans="1:9" x14ac:dyDescent="0.25">
      <c r="A2" t="s">
        <v>843</v>
      </c>
    </row>
    <row r="4" spans="1:9" ht="15.75" x14ac:dyDescent="0.25">
      <c r="A4" s="708" t="s">
        <v>844</v>
      </c>
      <c r="B4" s="708"/>
      <c r="C4" s="708"/>
      <c r="D4" s="169"/>
      <c r="E4" s="170"/>
      <c r="F4" s="171"/>
      <c r="G4" s="170"/>
      <c r="H4" s="170"/>
      <c r="I4" s="170"/>
    </row>
    <row r="5" spans="1:9" x14ac:dyDescent="0.25">
      <c r="A5" s="170" t="s">
        <v>845</v>
      </c>
      <c r="B5" s="170" t="s">
        <v>608</v>
      </c>
      <c r="C5" s="170">
        <v>211111</v>
      </c>
      <c r="D5" s="169" t="s">
        <v>458</v>
      </c>
      <c r="E5" s="170" t="s">
        <v>846</v>
      </c>
      <c r="F5" s="172">
        <v>-2182987.29</v>
      </c>
      <c r="G5" s="170"/>
      <c r="H5" s="170"/>
      <c r="I5" s="170"/>
    </row>
    <row r="6" spans="1:9" s="173" customFormat="1" x14ac:dyDescent="0.25">
      <c r="A6" s="173" t="s">
        <v>847</v>
      </c>
      <c r="B6" s="173" t="s">
        <v>848</v>
      </c>
      <c r="C6" s="173" t="s">
        <v>849</v>
      </c>
      <c r="D6" s="174" t="s">
        <v>850</v>
      </c>
      <c r="E6" s="173" t="s">
        <v>851</v>
      </c>
      <c r="F6" s="175" t="s">
        <v>852</v>
      </c>
      <c r="G6" s="173" t="s">
        <v>811</v>
      </c>
      <c r="H6" s="173" t="s">
        <v>812</v>
      </c>
      <c r="I6" s="173" t="s">
        <v>813</v>
      </c>
    </row>
    <row r="7" spans="1:9" x14ac:dyDescent="0.25">
      <c r="A7" s="176">
        <v>44286</v>
      </c>
      <c r="B7" s="170">
        <v>267303</v>
      </c>
      <c r="C7" s="170" t="s">
        <v>853</v>
      </c>
      <c r="D7" s="177">
        <v>32021</v>
      </c>
      <c r="E7" s="170"/>
      <c r="F7" s="171" t="s">
        <v>854</v>
      </c>
      <c r="G7" s="170"/>
      <c r="H7" s="178">
        <v>-28870.17</v>
      </c>
      <c r="I7" s="178">
        <v>-2211857.46</v>
      </c>
    </row>
    <row r="8" spans="1:9" x14ac:dyDescent="0.25">
      <c r="A8" s="176">
        <v>44286</v>
      </c>
      <c r="B8" s="170">
        <v>267304</v>
      </c>
      <c r="C8" s="170" t="s">
        <v>855</v>
      </c>
      <c r="D8" s="177">
        <v>32021</v>
      </c>
      <c r="E8" s="170"/>
      <c r="F8" s="171" t="s">
        <v>856</v>
      </c>
      <c r="G8" s="178">
        <v>61731.28</v>
      </c>
      <c r="H8" s="170"/>
      <c r="I8" s="178">
        <v>-2150126.1800000002</v>
      </c>
    </row>
    <row r="9" spans="1:9" x14ac:dyDescent="0.25">
      <c r="A9" s="176">
        <v>44286</v>
      </c>
      <c r="B9" s="170">
        <v>267305</v>
      </c>
      <c r="C9" s="170" t="s">
        <v>857</v>
      </c>
      <c r="D9" s="177">
        <v>32021</v>
      </c>
      <c r="E9" s="170"/>
      <c r="F9" s="171" t="s">
        <v>856</v>
      </c>
      <c r="G9" s="178">
        <v>50262.12</v>
      </c>
      <c r="H9" s="170"/>
      <c r="I9" s="178">
        <v>-2099864.06</v>
      </c>
    </row>
    <row r="10" spans="1:9" x14ac:dyDescent="0.25">
      <c r="A10" s="176">
        <v>44377</v>
      </c>
      <c r="B10" s="170">
        <v>268880</v>
      </c>
      <c r="C10" s="170" t="s">
        <v>858</v>
      </c>
      <c r="D10" s="177">
        <v>62021</v>
      </c>
      <c r="E10" s="170"/>
      <c r="F10" s="171" t="s">
        <v>854</v>
      </c>
      <c r="G10" s="170"/>
      <c r="H10" s="178">
        <v>-438381.28</v>
      </c>
      <c r="I10" s="178">
        <v>-2538245.34</v>
      </c>
    </row>
    <row r="11" spans="1:9" x14ac:dyDescent="0.25">
      <c r="A11" s="176">
        <v>44408</v>
      </c>
      <c r="B11" s="170">
        <v>269355</v>
      </c>
      <c r="C11" s="170" t="s">
        <v>859</v>
      </c>
      <c r="D11" s="169" t="s">
        <v>860</v>
      </c>
      <c r="E11" s="170"/>
      <c r="F11" s="171" t="s">
        <v>854</v>
      </c>
      <c r="G11" s="170"/>
      <c r="H11" s="178">
        <v>-69597</v>
      </c>
      <c r="I11" s="178">
        <v>-2607842.34</v>
      </c>
    </row>
    <row r="12" spans="1:9" x14ac:dyDescent="0.25">
      <c r="A12" s="176">
        <v>44469</v>
      </c>
      <c r="B12" s="170">
        <v>270365</v>
      </c>
      <c r="C12" s="170" t="s">
        <v>861</v>
      </c>
      <c r="D12" s="169" t="s">
        <v>862</v>
      </c>
      <c r="E12" s="170"/>
      <c r="F12" s="171" t="s">
        <v>863</v>
      </c>
      <c r="G12" s="178">
        <v>57164.68</v>
      </c>
      <c r="H12" s="170"/>
      <c r="I12" s="178">
        <v>-2550677.66</v>
      </c>
    </row>
    <row r="13" spans="1:9" x14ac:dyDescent="0.25">
      <c r="A13" s="176">
        <v>44500</v>
      </c>
      <c r="B13" s="170">
        <v>270883</v>
      </c>
      <c r="C13" s="170" t="s">
        <v>864</v>
      </c>
      <c r="D13" s="169" t="s">
        <v>865</v>
      </c>
      <c r="E13" s="170"/>
      <c r="F13" s="171" t="s">
        <v>854</v>
      </c>
      <c r="G13" s="170"/>
      <c r="H13" s="178">
        <v>-34798.5</v>
      </c>
      <c r="I13" s="178">
        <v>-2585476.16</v>
      </c>
    </row>
    <row r="14" spans="1:9" x14ac:dyDescent="0.25">
      <c r="A14" s="176">
        <v>44530</v>
      </c>
      <c r="B14" s="170">
        <v>271409</v>
      </c>
      <c r="C14" s="170" t="s">
        <v>866</v>
      </c>
      <c r="D14" s="169" t="s">
        <v>867</v>
      </c>
      <c r="E14" s="170"/>
      <c r="F14" s="171" t="s">
        <v>854</v>
      </c>
      <c r="G14" s="170"/>
      <c r="H14" s="178">
        <v>-34798.5</v>
      </c>
      <c r="I14" s="178">
        <v>-2620274.66</v>
      </c>
    </row>
    <row r="15" spans="1:9" x14ac:dyDescent="0.25">
      <c r="A15" s="176">
        <v>44561</v>
      </c>
      <c r="B15" s="170">
        <v>272374</v>
      </c>
      <c r="C15" s="170" t="s">
        <v>868</v>
      </c>
      <c r="D15" s="169" t="s">
        <v>869</v>
      </c>
      <c r="E15" s="170"/>
      <c r="F15" s="171" t="s">
        <v>870</v>
      </c>
      <c r="G15" s="178">
        <v>49184.44</v>
      </c>
      <c r="H15" s="170"/>
      <c r="I15" s="178">
        <v>-2571090.2200000002</v>
      </c>
    </row>
    <row r="16" spans="1:9" s="173" customFormat="1" x14ac:dyDescent="0.25">
      <c r="A16" s="173" t="s">
        <v>845</v>
      </c>
      <c r="B16" s="173" t="s">
        <v>617</v>
      </c>
      <c r="C16" s="173">
        <v>22151</v>
      </c>
      <c r="D16" s="174" t="s">
        <v>458</v>
      </c>
      <c r="E16" s="173" t="s">
        <v>846</v>
      </c>
      <c r="F16" s="179">
        <v>-155994.99</v>
      </c>
    </row>
    <row r="17" spans="1:9" x14ac:dyDescent="0.25">
      <c r="A17" s="176">
        <v>44286</v>
      </c>
      <c r="B17" s="170">
        <v>267304</v>
      </c>
      <c r="C17" s="170" t="s">
        <v>855</v>
      </c>
      <c r="D17" s="177">
        <v>32021</v>
      </c>
      <c r="E17" s="170"/>
      <c r="F17" s="171" t="s">
        <v>856</v>
      </c>
      <c r="G17" s="170"/>
      <c r="H17" s="178">
        <v>-61731.28</v>
      </c>
      <c r="I17" s="178">
        <v>-217726.27</v>
      </c>
    </row>
    <row r="18" spans="1:9" x14ac:dyDescent="0.25">
      <c r="A18" s="176">
        <v>44286</v>
      </c>
      <c r="B18" s="170">
        <v>267305</v>
      </c>
      <c r="C18" s="170" t="s">
        <v>857</v>
      </c>
      <c r="D18" s="177">
        <v>32021</v>
      </c>
      <c r="E18" s="170"/>
      <c r="F18" s="171" t="s">
        <v>856</v>
      </c>
      <c r="G18" s="170"/>
      <c r="H18" s="178">
        <v>-50262.12</v>
      </c>
      <c r="I18" s="178">
        <v>-267988.39</v>
      </c>
    </row>
    <row r="19" spans="1:9" x14ac:dyDescent="0.25">
      <c r="A19" s="176">
        <v>44286</v>
      </c>
      <c r="B19" s="170">
        <v>267306</v>
      </c>
      <c r="C19" s="170" t="s">
        <v>853</v>
      </c>
      <c r="D19" s="177">
        <v>32021</v>
      </c>
      <c r="E19" s="170"/>
      <c r="F19" s="171" t="s">
        <v>854</v>
      </c>
      <c r="G19" s="170"/>
      <c r="H19" s="170">
        <v>-431.35</v>
      </c>
      <c r="I19" s="178">
        <v>-268419.74</v>
      </c>
    </row>
    <row r="20" spans="1:9" x14ac:dyDescent="0.25">
      <c r="A20" s="176">
        <v>44377</v>
      </c>
      <c r="B20" s="170">
        <v>268881</v>
      </c>
      <c r="C20" s="170" t="s">
        <v>871</v>
      </c>
      <c r="D20" s="177">
        <v>62021</v>
      </c>
      <c r="E20" s="170"/>
      <c r="F20" s="171" t="s">
        <v>854</v>
      </c>
      <c r="G20" s="170"/>
      <c r="H20" s="178">
        <v>-1228.45</v>
      </c>
      <c r="I20" s="178">
        <v>-269648.19</v>
      </c>
    </row>
    <row r="21" spans="1:9" x14ac:dyDescent="0.25">
      <c r="A21" s="176">
        <v>44408</v>
      </c>
      <c r="B21" s="170">
        <v>269356</v>
      </c>
      <c r="C21" s="170" t="s">
        <v>859</v>
      </c>
      <c r="D21" s="169" t="s">
        <v>872</v>
      </c>
      <c r="E21" s="170"/>
      <c r="F21" s="171" t="s">
        <v>854</v>
      </c>
      <c r="G21" s="170"/>
      <c r="H21" s="178">
        <v>-8602</v>
      </c>
      <c r="I21" s="178">
        <v>-278250.19</v>
      </c>
    </row>
    <row r="22" spans="1:9" x14ac:dyDescent="0.25">
      <c r="A22" s="176">
        <v>44439</v>
      </c>
      <c r="B22" s="170">
        <v>269809</v>
      </c>
      <c r="C22" s="170" t="s">
        <v>873</v>
      </c>
      <c r="D22" s="169" t="s">
        <v>874</v>
      </c>
      <c r="E22" s="170"/>
      <c r="F22" s="171" t="s">
        <v>854</v>
      </c>
      <c r="G22" s="170"/>
      <c r="H22" s="178">
        <v>-8602</v>
      </c>
      <c r="I22" s="178">
        <v>-286852.19</v>
      </c>
    </row>
    <row r="23" spans="1:9" x14ac:dyDescent="0.25">
      <c r="A23" s="176">
        <v>44469</v>
      </c>
      <c r="B23" s="170">
        <v>270366</v>
      </c>
      <c r="C23" s="170" t="s">
        <v>861</v>
      </c>
      <c r="D23" s="169" t="s">
        <v>862</v>
      </c>
      <c r="E23" s="170"/>
      <c r="F23" s="171" t="s">
        <v>863</v>
      </c>
      <c r="G23" s="178">
        <v>15983.26</v>
      </c>
      <c r="H23" s="170"/>
      <c r="I23" s="178">
        <v>-270868.93</v>
      </c>
    </row>
    <row r="24" spans="1:9" x14ac:dyDescent="0.25">
      <c r="A24" s="176">
        <v>44500</v>
      </c>
      <c r="B24" s="170">
        <v>270884</v>
      </c>
      <c r="C24" s="170" t="s">
        <v>864</v>
      </c>
      <c r="D24" s="169" t="s">
        <v>865</v>
      </c>
      <c r="E24" s="170"/>
      <c r="F24" s="171" t="s">
        <v>854</v>
      </c>
      <c r="G24" s="170"/>
      <c r="H24" s="178">
        <v>-8502</v>
      </c>
      <c r="I24" s="178">
        <v>-279370.93</v>
      </c>
    </row>
    <row r="25" spans="1:9" x14ac:dyDescent="0.25">
      <c r="A25" s="176">
        <v>44530</v>
      </c>
      <c r="B25" s="170">
        <v>271410</v>
      </c>
      <c r="C25" s="170" t="s">
        <v>866</v>
      </c>
      <c r="D25" s="169" t="s">
        <v>867</v>
      </c>
      <c r="E25" s="170"/>
      <c r="F25" s="171" t="s">
        <v>854</v>
      </c>
      <c r="G25" s="170"/>
      <c r="H25" s="178">
        <v>-8502</v>
      </c>
      <c r="I25" s="178">
        <v>-287872.93</v>
      </c>
    </row>
    <row r="26" spans="1:9" x14ac:dyDescent="0.25">
      <c r="A26" s="176">
        <v>44561</v>
      </c>
      <c r="B26" s="170">
        <v>272375</v>
      </c>
      <c r="C26" s="170" t="s">
        <v>875</v>
      </c>
      <c r="D26" s="169" t="s">
        <v>869</v>
      </c>
      <c r="E26" s="170"/>
      <c r="F26" s="171" t="s">
        <v>870</v>
      </c>
      <c r="G26" s="178">
        <v>14735.49</v>
      </c>
      <c r="H26" s="170"/>
      <c r="I26" s="178">
        <v>-273137.44</v>
      </c>
    </row>
    <row r="27" spans="1:9" s="173" customFormat="1" x14ac:dyDescent="0.25">
      <c r="A27" s="173" t="s">
        <v>845</v>
      </c>
      <c r="B27" s="173" t="s">
        <v>618</v>
      </c>
      <c r="C27" s="173">
        <v>22152</v>
      </c>
      <c r="D27" s="174" t="s">
        <v>181</v>
      </c>
      <c r="E27" s="173" t="s">
        <v>846</v>
      </c>
      <c r="F27" s="179">
        <v>-148359.63</v>
      </c>
    </row>
    <row r="28" spans="1:9" x14ac:dyDescent="0.25">
      <c r="A28" s="176">
        <v>44286</v>
      </c>
      <c r="B28" s="170">
        <v>267319</v>
      </c>
      <c r="C28" s="170" t="s">
        <v>876</v>
      </c>
      <c r="D28" s="177">
        <v>32021</v>
      </c>
      <c r="E28" s="170"/>
      <c r="F28" s="171" t="s">
        <v>194</v>
      </c>
      <c r="G28" s="178">
        <v>115063.05</v>
      </c>
      <c r="H28" s="170"/>
      <c r="I28" s="178">
        <v>-33296.58</v>
      </c>
    </row>
    <row r="29" spans="1:9" x14ac:dyDescent="0.25">
      <c r="A29" s="176">
        <v>44286</v>
      </c>
      <c r="B29" s="170">
        <v>267320</v>
      </c>
      <c r="C29" s="170" t="s">
        <v>876</v>
      </c>
      <c r="D29" s="177">
        <v>32021</v>
      </c>
      <c r="E29" s="170"/>
      <c r="F29" s="171" t="s">
        <v>863</v>
      </c>
      <c r="G29" s="178">
        <v>8868.7900000000009</v>
      </c>
      <c r="H29" s="170"/>
      <c r="I29" s="178">
        <v>-24427.79</v>
      </c>
    </row>
    <row r="30" spans="1:9" x14ac:dyDescent="0.25">
      <c r="A30" s="176">
        <v>44286</v>
      </c>
      <c r="B30" s="170">
        <v>267321</v>
      </c>
      <c r="C30" s="170" t="s">
        <v>877</v>
      </c>
      <c r="D30" s="177">
        <v>32021</v>
      </c>
      <c r="E30" s="170"/>
      <c r="F30" s="171" t="s">
        <v>854</v>
      </c>
      <c r="G30" s="170"/>
      <c r="H30" s="170">
        <v>-180.57</v>
      </c>
      <c r="I30" s="178">
        <v>-24608.36</v>
      </c>
    </row>
    <row r="31" spans="1:9" x14ac:dyDescent="0.25">
      <c r="A31" s="176">
        <v>44377</v>
      </c>
      <c r="B31" s="170">
        <v>268873</v>
      </c>
      <c r="C31" s="170" t="s">
        <v>878</v>
      </c>
      <c r="D31" s="177">
        <v>62021</v>
      </c>
      <c r="E31" s="170"/>
      <c r="F31" s="171" t="s">
        <v>856</v>
      </c>
      <c r="G31" s="178">
        <v>1047.82</v>
      </c>
      <c r="H31" s="170"/>
      <c r="I31" s="178">
        <v>-23560.54</v>
      </c>
    </row>
    <row r="32" spans="1:9" x14ac:dyDescent="0.25">
      <c r="A32" s="176">
        <v>44377</v>
      </c>
      <c r="B32" s="170">
        <v>268879</v>
      </c>
      <c r="C32" s="170" t="s">
        <v>879</v>
      </c>
      <c r="D32" s="177">
        <v>62021</v>
      </c>
      <c r="E32" s="170"/>
      <c r="F32" s="171" t="s">
        <v>854</v>
      </c>
      <c r="G32" s="170"/>
      <c r="H32" s="170">
        <v>-103.52</v>
      </c>
      <c r="I32" s="178">
        <v>-23664.06</v>
      </c>
    </row>
    <row r="33" spans="1:13" x14ac:dyDescent="0.25">
      <c r="A33" s="176">
        <v>44469</v>
      </c>
      <c r="B33" s="170">
        <v>270368</v>
      </c>
      <c r="C33" s="170" t="s">
        <v>880</v>
      </c>
      <c r="D33" s="169" t="s">
        <v>862</v>
      </c>
      <c r="E33" s="170"/>
      <c r="F33" s="171" t="s">
        <v>854</v>
      </c>
      <c r="G33" s="170"/>
      <c r="H33" s="170">
        <v>-115.91</v>
      </c>
      <c r="I33" s="178">
        <v>-23779.97</v>
      </c>
    </row>
    <row r="34" spans="1:13" x14ac:dyDescent="0.25">
      <c r="A34" s="176">
        <v>44500</v>
      </c>
      <c r="B34" s="170">
        <v>270885</v>
      </c>
      <c r="C34" s="170" t="s">
        <v>864</v>
      </c>
      <c r="D34" s="169" t="s">
        <v>865</v>
      </c>
      <c r="E34" s="170"/>
      <c r="F34" s="171" t="s">
        <v>854</v>
      </c>
      <c r="G34" s="170"/>
      <c r="H34" s="170">
        <v>-38.64</v>
      </c>
      <c r="I34" s="178">
        <v>-23818.61</v>
      </c>
    </row>
    <row r="35" spans="1:13" x14ac:dyDescent="0.25">
      <c r="A35" s="176">
        <v>44530</v>
      </c>
      <c r="B35" s="170">
        <v>271411</v>
      </c>
      <c r="C35" s="170" t="s">
        <v>866</v>
      </c>
      <c r="D35" s="169" t="s">
        <v>867</v>
      </c>
      <c r="E35" s="170"/>
      <c r="F35" s="171" t="s">
        <v>854</v>
      </c>
      <c r="G35" s="170"/>
      <c r="H35" s="170">
        <v>-38.64</v>
      </c>
      <c r="I35" s="178">
        <v>-23857.25</v>
      </c>
    </row>
    <row r="36" spans="1:13" x14ac:dyDescent="0.25">
      <c r="A36" s="176">
        <v>44561</v>
      </c>
      <c r="B36" s="170">
        <v>272376</v>
      </c>
      <c r="C36" s="170" t="s">
        <v>881</v>
      </c>
      <c r="D36" s="169" t="s">
        <v>869</v>
      </c>
      <c r="E36" s="170"/>
      <c r="F36" s="171" t="s">
        <v>854</v>
      </c>
      <c r="G36" s="170"/>
      <c r="H36" s="170">
        <v>-113.03</v>
      </c>
      <c r="I36" s="178">
        <v>-23970.28</v>
      </c>
    </row>
    <row r="37" spans="1:13" s="173" customFormat="1" x14ac:dyDescent="0.25">
      <c r="A37" s="173" t="s">
        <v>845</v>
      </c>
      <c r="B37" s="173" t="s">
        <v>619</v>
      </c>
      <c r="C37" s="173">
        <v>22153</v>
      </c>
      <c r="D37" s="174" t="s">
        <v>459</v>
      </c>
      <c r="E37" s="173" t="s">
        <v>846</v>
      </c>
      <c r="F37" s="179">
        <v>-5230966.7699999996</v>
      </c>
    </row>
    <row r="38" spans="1:13" x14ac:dyDescent="0.25">
      <c r="A38" s="176">
        <v>44286</v>
      </c>
      <c r="B38" s="170">
        <v>267286</v>
      </c>
      <c r="C38" s="170" t="s">
        <v>882</v>
      </c>
      <c r="D38" s="177">
        <v>32021</v>
      </c>
      <c r="E38" s="170"/>
      <c r="F38" s="171" t="s">
        <v>854</v>
      </c>
      <c r="G38" s="170"/>
      <c r="H38" s="178">
        <v>-128435.73</v>
      </c>
      <c r="I38" s="178">
        <v>-5359402.5</v>
      </c>
    </row>
    <row r="39" spans="1:13" x14ac:dyDescent="0.25">
      <c r="A39" s="176">
        <v>44377</v>
      </c>
      <c r="B39" s="170">
        <v>268875</v>
      </c>
      <c r="C39" s="170" t="s">
        <v>883</v>
      </c>
      <c r="D39" s="177">
        <v>62021</v>
      </c>
      <c r="E39" s="170"/>
      <c r="F39" s="171" t="s">
        <v>854</v>
      </c>
      <c r="G39" s="170"/>
      <c r="H39" s="178">
        <v>-78738.27</v>
      </c>
      <c r="I39" s="178">
        <v>-5438140.7699999996</v>
      </c>
    </row>
    <row r="40" spans="1:13" x14ac:dyDescent="0.25">
      <c r="A40" s="176">
        <v>44408</v>
      </c>
      <c r="B40" s="170">
        <v>269357</v>
      </c>
      <c r="C40" s="170" t="s">
        <v>859</v>
      </c>
      <c r="D40" s="169" t="s">
        <v>872</v>
      </c>
      <c r="E40" s="170"/>
      <c r="F40" s="171" t="s">
        <v>854</v>
      </c>
      <c r="G40" s="170"/>
      <c r="H40" s="178">
        <v>-34529</v>
      </c>
      <c r="I40" s="178">
        <v>-5472669.7699999996</v>
      </c>
    </row>
    <row r="41" spans="1:13" x14ac:dyDescent="0.25">
      <c r="A41" s="176">
        <v>44439</v>
      </c>
      <c r="B41" s="170">
        <v>269810</v>
      </c>
      <c r="C41" s="170" t="s">
        <v>884</v>
      </c>
      <c r="D41" s="169" t="s">
        <v>874</v>
      </c>
      <c r="E41" s="170"/>
      <c r="F41" s="171" t="s">
        <v>854</v>
      </c>
      <c r="G41" s="170"/>
      <c r="H41" s="178">
        <v>-34529</v>
      </c>
      <c r="I41" s="178">
        <v>-5507198.7699999996</v>
      </c>
    </row>
    <row r="42" spans="1:13" x14ac:dyDescent="0.25">
      <c r="A42" s="176">
        <v>44469</v>
      </c>
      <c r="B42" s="170">
        <v>270364</v>
      </c>
      <c r="C42" s="170" t="s">
        <v>885</v>
      </c>
      <c r="D42" s="169" t="s">
        <v>862</v>
      </c>
      <c r="E42" s="170"/>
      <c r="F42" s="171" t="s">
        <v>854</v>
      </c>
      <c r="G42" s="170"/>
      <c r="H42" s="170">
        <v>-618.29</v>
      </c>
      <c r="I42" s="178">
        <v>-5507817.0599999996</v>
      </c>
    </row>
    <row r="43" spans="1:13" x14ac:dyDescent="0.25">
      <c r="A43" s="176">
        <v>44500</v>
      </c>
      <c r="B43" s="170">
        <v>270886</v>
      </c>
      <c r="C43" s="170" t="s">
        <v>864</v>
      </c>
      <c r="D43" s="169" t="s">
        <v>865</v>
      </c>
      <c r="E43" s="170"/>
      <c r="F43" s="171" t="s">
        <v>854</v>
      </c>
      <c r="G43" s="170"/>
      <c r="H43" s="178">
        <v>-34529</v>
      </c>
      <c r="I43" s="178">
        <v>-5542346.0599999996</v>
      </c>
    </row>
    <row r="44" spans="1:13" x14ac:dyDescent="0.25">
      <c r="A44" s="176">
        <v>44530</v>
      </c>
      <c r="B44" s="170">
        <v>271412</v>
      </c>
      <c r="C44" s="170" t="s">
        <v>866</v>
      </c>
      <c r="D44" s="169" t="s">
        <v>867</v>
      </c>
      <c r="E44" s="170"/>
      <c r="F44" s="171" t="s">
        <v>854</v>
      </c>
      <c r="G44" s="170"/>
      <c r="H44" s="178">
        <v>-34529</v>
      </c>
      <c r="I44" s="178">
        <v>-5576875.0599999996</v>
      </c>
    </row>
    <row r="45" spans="1:13" x14ac:dyDescent="0.25">
      <c r="A45" s="176">
        <v>44561</v>
      </c>
      <c r="B45" s="170">
        <v>272377</v>
      </c>
      <c r="C45" s="170" t="s">
        <v>886</v>
      </c>
      <c r="D45" s="169" t="s">
        <v>869</v>
      </c>
      <c r="E45" s="170"/>
      <c r="F45" s="171" t="s">
        <v>854</v>
      </c>
      <c r="G45" s="170"/>
      <c r="H45" s="178">
        <v>-311358.14</v>
      </c>
      <c r="I45" s="178">
        <v>-5888233.2000000002</v>
      </c>
    </row>
    <row r="48" spans="1:13" ht="15.75" x14ac:dyDescent="0.25">
      <c r="A48" s="708" t="s">
        <v>1120</v>
      </c>
      <c r="B48" s="708"/>
      <c r="C48" s="708"/>
      <c r="D48" s="169"/>
      <c r="E48" s="170"/>
      <c r="F48" s="171"/>
      <c r="G48" s="170"/>
      <c r="H48" s="170"/>
      <c r="I48" s="170"/>
      <c r="K48" s="144" t="s">
        <v>1135</v>
      </c>
      <c r="L48" s="144" t="s">
        <v>1133</v>
      </c>
      <c r="M48" s="144" t="s">
        <v>1134</v>
      </c>
    </row>
    <row r="49" spans="1:13" x14ac:dyDescent="0.25">
      <c r="A49" s="173" t="s">
        <v>845</v>
      </c>
      <c r="B49" s="173" t="s">
        <v>608</v>
      </c>
      <c r="C49" s="173" t="s">
        <v>888</v>
      </c>
      <c r="D49" s="174"/>
      <c r="E49" s="173" t="s">
        <v>846</v>
      </c>
      <c r="F49" s="175">
        <v>-2571090.2200000002</v>
      </c>
      <c r="G49" s="173"/>
      <c r="H49" s="173"/>
      <c r="I49" s="173"/>
      <c r="K49">
        <f>F49/1000</f>
        <v>-2571.09022</v>
      </c>
      <c r="L49">
        <f>ROUND(K49,0)</f>
        <v>-2571</v>
      </c>
    </row>
    <row r="50" spans="1:13" x14ac:dyDescent="0.25">
      <c r="A50" s="190">
        <v>44592</v>
      </c>
      <c r="B50">
        <v>273388</v>
      </c>
      <c r="C50" t="s">
        <v>889</v>
      </c>
      <c r="D50" t="s">
        <v>890</v>
      </c>
      <c r="F50" t="s">
        <v>854</v>
      </c>
      <c r="G50" s="164"/>
      <c r="H50" s="164">
        <v>-7</v>
      </c>
      <c r="I50" s="164">
        <v>-2577894.41</v>
      </c>
      <c r="K50" s="164">
        <v>-6804.19</v>
      </c>
      <c r="L50">
        <f>K50/1000</f>
        <v>-6.8041899999999993</v>
      </c>
      <c r="M50">
        <f>ROUND(L50,0)</f>
        <v>-7</v>
      </c>
    </row>
    <row r="51" spans="1:13" x14ac:dyDescent="0.25">
      <c r="A51" s="190">
        <v>44620</v>
      </c>
      <c r="B51">
        <v>274594</v>
      </c>
      <c r="C51" t="s">
        <v>891</v>
      </c>
      <c r="D51" s="212">
        <v>22022</v>
      </c>
      <c r="F51" t="s">
        <v>854</v>
      </c>
      <c r="G51" s="164"/>
      <c r="H51" s="164">
        <v>-7</v>
      </c>
      <c r="I51" s="164">
        <v>-2584698.6</v>
      </c>
      <c r="K51" s="164">
        <v>-6804.19</v>
      </c>
      <c r="L51">
        <f t="shared" ref="L51:L62" si="0">K51/1000</f>
        <v>-6.8041899999999993</v>
      </c>
      <c r="M51">
        <f t="shared" ref="M51:M62" si="1">ROUND(L51,0)</f>
        <v>-7</v>
      </c>
    </row>
    <row r="52" spans="1:13" x14ac:dyDescent="0.25">
      <c r="A52" s="190">
        <v>44651</v>
      </c>
      <c r="B52">
        <v>277760</v>
      </c>
      <c r="C52" t="s">
        <v>892</v>
      </c>
      <c r="D52" t="s">
        <v>893</v>
      </c>
      <c r="F52" t="s">
        <v>856</v>
      </c>
      <c r="G52" s="164"/>
      <c r="H52" s="164">
        <v>-114</v>
      </c>
      <c r="I52" s="164">
        <v>-2698628.85</v>
      </c>
      <c r="K52" s="164">
        <v>-113930.25</v>
      </c>
      <c r="L52">
        <f t="shared" si="0"/>
        <v>-113.93025</v>
      </c>
      <c r="M52">
        <f t="shared" si="1"/>
        <v>-114</v>
      </c>
    </row>
    <row r="53" spans="1:13" x14ac:dyDescent="0.25">
      <c r="A53" s="190">
        <v>44651</v>
      </c>
      <c r="B53">
        <v>277762</v>
      </c>
      <c r="C53" t="s">
        <v>894</v>
      </c>
      <c r="D53" t="s">
        <v>893</v>
      </c>
      <c r="F53" t="s">
        <v>854</v>
      </c>
      <c r="G53" s="164"/>
      <c r="H53" s="164">
        <v>-15</v>
      </c>
      <c r="I53" s="164">
        <v>-2713578.37</v>
      </c>
      <c r="K53" s="164">
        <v>-14949.52</v>
      </c>
      <c r="L53">
        <f t="shared" si="0"/>
        <v>-14.94952</v>
      </c>
      <c r="M53">
        <f t="shared" si="1"/>
        <v>-15</v>
      </c>
    </row>
    <row r="54" spans="1:13" x14ac:dyDescent="0.25">
      <c r="A54" s="190">
        <v>44681</v>
      </c>
      <c r="B54">
        <v>278218</v>
      </c>
      <c r="C54" t="s">
        <v>894</v>
      </c>
      <c r="D54" t="s">
        <v>895</v>
      </c>
      <c r="F54" t="s">
        <v>854</v>
      </c>
      <c r="G54" s="164"/>
      <c r="H54" s="164">
        <v>-4</v>
      </c>
      <c r="I54" s="164">
        <v>-2718114.5</v>
      </c>
      <c r="K54" s="164">
        <v>-4536.13</v>
      </c>
      <c r="L54">
        <f t="shared" si="0"/>
        <v>-4.53613</v>
      </c>
      <c r="M54">
        <f t="shared" si="1"/>
        <v>-5</v>
      </c>
    </row>
    <row r="55" spans="1:13" x14ac:dyDescent="0.25">
      <c r="A55" s="190">
        <v>44712</v>
      </c>
      <c r="B55">
        <v>278891</v>
      </c>
      <c r="C55" t="s">
        <v>896</v>
      </c>
      <c r="D55" t="s">
        <v>897</v>
      </c>
      <c r="F55" t="s">
        <v>854</v>
      </c>
      <c r="G55" s="164"/>
      <c r="H55" s="164">
        <v>-4</v>
      </c>
      <c r="I55" s="164">
        <v>-2722650.63</v>
      </c>
      <c r="K55" s="164">
        <v>-4536.13</v>
      </c>
      <c r="L55">
        <f t="shared" si="0"/>
        <v>-4.53613</v>
      </c>
      <c r="M55">
        <f t="shared" si="1"/>
        <v>-5</v>
      </c>
    </row>
    <row r="56" spans="1:13" x14ac:dyDescent="0.25">
      <c r="A56" s="190">
        <v>44742</v>
      </c>
      <c r="B56">
        <v>279718</v>
      </c>
      <c r="C56" t="s">
        <v>896</v>
      </c>
      <c r="D56" t="s">
        <v>898</v>
      </c>
      <c r="F56" t="s">
        <v>854</v>
      </c>
      <c r="G56" s="164"/>
      <c r="H56" s="164">
        <v>-27</v>
      </c>
      <c r="I56" s="164">
        <v>-2749900.19</v>
      </c>
      <c r="K56" s="164">
        <v>-27249.56</v>
      </c>
      <c r="L56">
        <f t="shared" si="0"/>
        <v>-27.249560000000002</v>
      </c>
      <c r="M56">
        <f t="shared" si="1"/>
        <v>-27</v>
      </c>
    </row>
    <row r="57" spans="1:13" x14ac:dyDescent="0.25">
      <c r="A57" s="190">
        <v>44773</v>
      </c>
      <c r="B57">
        <v>280339</v>
      </c>
      <c r="C57" t="s">
        <v>899</v>
      </c>
      <c r="D57" t="s">
        <v>900</v>
      </c>
      <c r="F57" t="s">
        <v>854</v>
      </c>
      <c r="G57" s="164"/>
      <c r="H57" s="164">
        <v>-9</v>
      </c>
      <c r="I57" s="164">
        <v>-2758983.38</v>
      </c>
      <c r="K57" s="164">
        <v>-9083.19</v>
      </c>
      <c r="L57">
        <f t="shared" si="0"/>
        <v>-9.0831900000000001</v>
      </c>
      <c r="M57">
        <f t="shared" si="1"/>
        <v>-9</v>
      </c>
    </row>
    <row r="58" spans="1:13" x14ac:dyDescent="0.25">
      <c r="A58" s="190">
        <v>44804</v>
      </c>
      <c r="B58">
        <v>281099</v>
      </c>
      <c r="C58" t="s">
        <v>899</v>
      </c>
      <c r="D58" t="s">
        <v>901</v>
      </c>
      <c r="F58" t="s">
        <v>854</v>
      </c>
      <c r="G58" s="164"/>
      <c r="H58" s="164">
        <v>-9</v>
      </c>
      <c r="I58" s="164">
        <v>-2768066.57</v>
      </c>
      <c r="K58" s="164">
        <v>-9083.19</v>
      </c>
      <c r="L58">
        <f t="shared" si="0"/>
        <v>-9.0831900000000001</v>
      </c>
      <c r="M58">
        <f t="shared" si="1"/>
        <v>-9</v>
      </c>
    </row>
    <row r="59" spans="1:13" x14ac:dyDescent="0.25">
      <c r="A59" s="190">
        <v>44834</v>
      </c>
      <c r="B59">
        <v>282527</v>
      </c>
      <c r="C59" t="s">
        <v>902</v>
      </c>
      <c r="D59" t="s">
        <v>903</v>
      </c>
      <c r="F59" t="s">
        <v>854</v>
      </c>
      <c r="G59" s="164"/>
      <c r="H59" s="164">
        <v>-21</v>
      </c>
      <c r="I59" s="164">
        <v>-2788699.36</v>
      </c>
      <c r="K59" s="164">
        <v>-20632.79</v>
      </c>
      <c r="L59">
        <f t="shared" si="0"/>
        <v>-20.63279</v>
      </c>
      <c r="M59">
        <f t="shared" si="1"/>
        <v>-21</v>
      </c>
    </row>
    <row r="60" spans="1:13" x14ac:dyDescent="0.25">
      <c r="A60" s="190">
        <v>44865</v>
      </c>
      <c r="B60">
        <v>283278</v>
      </c>
      <c r="C60" t="s">
        <v>1121</v>
      </c>
      <c r="D60" t="s">
        <v>1078</v>
      </c>
      <c r="F60" t="s">
        <v>854</v>
      </c>
      <c r="G60" s="164"/>
      <c r="H60" s="164">
        <v>-13</v>
      </c>
      <c r="I60" s="164">
        <v>-2801632.42</v>
      </c>
      <c r="K60" s="164">
        <v>-12933.06</v>
      </c>
      <c r="L60">
        <f t="shared" si="0"/>
        <v>-12.933059999999999</v>
      </c>
      <c r="M60">
        <f t="shared" si="1"/>
        <v>-13</v>
      </c>
    </row>
    <row r="61" spans="1:13" x14ac:dyDescent="0.25">
      <c r="A61" s="190">
        <v>44895</v>
      </c>
      <c r="B61">
        <v>283831</v>
      </c>
      <c r="C61" t="s">
        <v>1121</v>
      </c>
      <c r="D61" t="s">
        <v>1080</v>
      </c>
      <c r="F61" t="s">
        <v>854</v>
      </c>
      <c r="G61" s="164"/>
      <c r="H61" s="164">
        <v>-13</v>
      </c>
      <c r="I61" s="164">
        <v>-2814565.48</v>
      </c>
      <c r="K61" s="164">
        <v>-12933.06</v>
      </c>
      <c r="L61">
        <f t="shared" si="0"/>
        <v>-12.933059999999999</v>
      </c>
      <c r="M61">
        <f t="shared" si="1"/>
        <v>-13</v>
      </c>
    </row>
    <row r="62" spans="1:13" x14ac:dyDescent="0.25">
      <c r="A62" s="190">
        <v>44926</v>
      </c>
      <c r="B62">
        <v>285880</v>
      </c>
      <c r="C62" t="s">
        <v>1122</v>
      </c>
      <c r="D62" t="s">
        <v>1082</v>
      </c>
      <c r="F62" t="s">
        <v>854</v>
      </c>
      <c r="G62" s="164"/>
      <c r="H62" s="164">
        <v>-10</v>
      </c>
      <c r="I62" s="164">
        <v>-2825115.32</v>
      </c>
      <c r="K62" s="164">
        <v>-10549.84</v>
      </c>
      <c r="L62">
        <f t="shared" si="0"/>
        <v>-10.54984</v>
      </c>
      <c r="M62">
        <f t="shared" si="1"/>
        <v>-11</v>
      </c>
    </row>
    <row r="63" spans="1:13" x14ac:dyDescent="0.25">
      <c r="A63" s="190"/>
      <c r="D63"/>
      <c r="F63"/>
      <c r="G63" s="164"/>
      <c r="H63" s="200">
        <f>SUM(H50:H62)</f>
        <v>-253</v>
      </c>
      <c r="I63" s="164"/>
      <c r="K63" s="164"/>
    </row>
    <row r="64" spans="1:13" x14ac:dyDescent="0.25">
      <c r="A64" s="190"/>
      <c r="G64" s="164"/>
      <c r="H64" s="200"/>
      <c r="I64" s="164"/>
    </row>
    <row r="65" spans="1:13" x14ac:dyDescent="0.25">
      <c r="A65" s="173" t="s">
        <v>845</v>
      </c>
      <c r="B65" s="173" t="s">
        <v>617</v>
      </c>
      <c r="C65" s="173" t="s">
        <v>904</v>
      </c>
      <c r="D65" s="174"/>
      <c r="E65" s="173" t="s">
        <v>846</v>
      </c>
      <c r="F65" s="179">
        <v>-273137.44</v>
      </c>
      <c r="G65" s="173"/>
      <c r="H65" s="173"/>
      <c r="I65" s="173"/>
      <c r="K65">
        <f>F65/1000</f>
        <v>-273.13744000000003</v>
      </c>
      <c r="L65">
        <f>ROUND(K65,0)</f>
        <v>-273</v>
      </c>
    </row>
    <row r="66" spans="1:13" x14ac:dyDescent="0.25">
      <c r="A66" s="190">
        <v>44592</v>
      </c>
      <c r="B66">
        <v>273389</v>
      </c>
      <c r="C66" t="s">
        <v>889</v>
      </c>
      <c r="D66" t="s">
        <v>890</v>
      </c>
      <c r="F66" t="s">
        <v>854</v>
      </c>
      <c r="G66" s="116"/>
      <c r="H66" s="116">
        <v>-1</v>
      </c>
      <c r="I66" s="164">
        <v>-273893.61</v>
      </c>
      <c r="K66" s="164">
        <v>-756.17</v>
      </c>
      <c r="L66">
        <f>K66/1000</f>
        <v>-0.75617000000000001</v>
      </c>
      <c r="M66">
        <f>ROUND(L66,0)</f>
        <v>-1</v>
      </c>
    </row>
    <row r="67" spans="1:13" x14ac:dyDescent="0.25">
      <c r="A67" s="190">
        <v>44620</v>
      </c>
      <c r="B67">
        <v>274595</v>
      </c>
      <c r="C67" t="s">
        <v>891</v>
      </c>
      <c r="D67" s="212">
        <v>22022</v>
      </c>
      <c r="F67" t="s">
        <v>854</v>
      </c>
      <c r="G67" s="116"/>
      <c r="H67" s="116">
        <v>-1</v>
      </c>
      <c r="I67" s="164">
        <v>-274649.78000000003</v>
      </c>
      <c r="K67" s="164">
        <v>-756.17</v>
      </c>
      <c r="L67">
        <f t="shared" ref="L67:L80" si="2">K67/1000</f>
        <v>-0.75617000000000001</v>
      </c>
      <c r="M67">
        <f t="shared" ref="M67:M80" si="3">ROUND(L67,0)</f>
        <v>-1</v>
      </c>
    </row>
    <row r="68" spans="1:13" x14ac:dyDescent="0.25">
      <c r="A68" s="190">
        <v>44651</v>
      </c>
      <c r="B68">
        <v>277760</v>
      </c>
      <c r="C68" t="s">
        <v>892</v>
      </c>
      <c r="D68" t="s">
        <v>893</v>
      </c>
      <c r="F68" s="164" t="s">
        <v>856</v>
      </c>
      <c r="G68" s="116">
        <v>114</v>
      </c>
      <c r="H68" s="116"/>
      <c r="I68" s="164">
        <v>-160719.53</v>
      </c>
      <c r="K68" s="164">
        <v>113930.25</v>
      </c>
      <c r="L68">
        <f t="shared" si="2"/>
        <v>113.93025</v>
      </c>
      <c r="M68">
        <f t="shared" si="3"/>
        <v>114</v>
      </c>
    </row>
    <row r="69" spans="1:13" x14ac:dyDescent="0.25">
      <c r="A69" s="190">
        <v>44651</v>
      </c>
      <c r="B69">
        <v>277761</v>
      </c>
      <c r="C69" t="s">
        <v>905</v>
      </c>
      <c r="D69" t="s">
        <v>893</v>
      </c>
      <c r="F69" t="s">
        <v>854</v>
      </c>
      <c r="G69" s="116"/>
      <c r="H69" s="116">
        <v>0</v>
      </c>
      <c r="I69" s="164">
        <v>-160900.5</v>
      </c>
      <c r="K69" s="164">
        <v>-180.97</v>
      </c>
      <c r="L69">
        <f t="shared" si="2"/>
        <v>-0.18096999999999999</v>
      </c>
      <c r="M69">
        <f t="shared" si="3"/>
        <v>0</v>
      </c>
    </row>
    <row r="70" spans="1:13" x14ac:dyDescent="0.25">
      <c r="A70" s="190">
        <v>44651</v>
      </c>
      <c r="B70">
        <v>278508</v>
      </c>
      <c r="C70" t="s">
        <v>906</v>
      </c>
      <c r="D70" t="s">
        <v>893</v>
      </c>
      <c r="F70" t="s">
        <v>907</v>
      </c>
      <c r="G70" s="116"/>
      <c r="H70" s="116">
        <v>-178</v>
      </c>
      <c r="I70" s="164">
        <v>-339413.16</v>
      </c>
      <c r="K70" s="164">
        <v>-178512.66</v>
      </c>
      <c r="L70">
        <f t="shared" si="2"/>
        <v>-178.51266000000001</v>
      </c>
      <c r="M70">
        <f t="shared" si="3"/>
        <v>-179</v>
      </c>
    </row>
    <row r="71" spans="1:13" x14ac:dyDescent="0.25">
      <c r="A71" s="190">
        <v>44681</v>
      </c>
      <c r="B71">
        <v>278217</v>
      </c>
      <c r="C71" t="s">
        <v>908</v>
      </c>
      <c r="D71" t="s">
        <v>895</v>
      </c>
      <c r="F71" t="s">
        <v>854</v>
      </c>
      <c r="G71" s="116"/>
      <c r="H71" s="116">
        <v>-1</v>
      </c>
      <c r="I71" s="164">
        <v>-339917.27</v>
      </c>
      <c r="K71" s="164">
        <v>-504.11</v>
      </c>
      <c r="L71">
        <f t="shared" si="2"/>
        <v>-0.50411000000000006</v>
      </c>
      <c r="M71">
        <f t="shared" si="3"/>
        <v>-1</v>
      </c>
    </row>
    <row r="72" spans="1:13" x14ac:dyDescent="0.25">
      <c r="A72" s="190">
        <v>44712</v>
      </c>
      <c r="B72">
        <v>278892</v>
      </c>
      <c r="C72" t="s">
        <v>909</v>
      </c>
      <c r="D72" t="s">
        <v>897</v>
      </c>
      <c r="F72" t="s">
        <v>854</v>
      </c>
      <c r="G72" s="116"/>
      <c r="H72" s="116">
        <v>-1</v>
      </c>
      <c r="I72" s="164">
        <v>-340421.38</v>
      </c>
      <c r="K72" s="164">
        <v>-504.11</v>
      </c>
      <c r="L72">
        <f t="shared" si="2"/>
        <v>-0.50411000000000006</v>
      </c>
      <c r="M72">
        <f t="shared" si="3"/>
        <v>-1</v>
      </c>
    </row>
    <row r="73" spans="1:13" x14ac:dyDescent="0.25">
      <c r="A73" s="190">
        <v>44742</v>
      </c>
      <c r="B73">
        <v>279719</v>
      </c>
      <c r="C73" t="s">
        <v>909</v>
      </c>
      <c r="D73" t="s">
        <v>898</v>
      </c>
      <c r="F73" t="s">
        <v>854</v>
      </c>
      <c r="G73" s="116"/>
      <c r="H73" s="116">
        <v>-3</v>
      </c>
      <c r="I73" s="164">
        <v>-343576.43</v>
      </c>
      <c r="K73" s="164">
        <v>-3155.05</v>
      </c>
      <c r="L73">
        <f t="shared" si="2"/>
        <v>-3.1550500000000001</v>
      </c>
      <c r="M73">
        <f t="shared" si="3"/>
        <v>-3</v>
      </c>
    </row>
    <row r="74" spans="1:13" x14ac:dyDescent="0.25">
      <c r="A74" s="190">
        <v>44773</v>
      </c>
      <c r="B74">
        <v>280340</v>
      </c>
      <c r="C74" t="s">
        <v>910</v>
      </c>
      <c r="D74" t="s">
        <v>900</v>
      </c>
      <c r="F74" t="s">
        <v>854</v>
      </c>
      <c r="G74" s="116"/>
      <c r="H74" s="116">
        <v>-1</v>
      </c>
      <c r="I74" s="164">
        <v>-344628.11</v>
      </c>
      <c r="K74" s="164">
        <v>-1051.68</v>
      </c>
      <c r="L74">
        <f t="shared" si="2"/>
        <v>-1.0516800000000002</v>
      </c>
      <c r="M74">
        <f t="shared" si="3"/>
        <v>-1</v>
      </c>
    </row>
    <row r="75" spans="1:13" x14ac:dyDescent="0.25">
      <c r="A75" s="190">
        <v>44804</v>
      </c>
      <c r="B75">
        <v>281100</v>
      </c>
      <c r="C75" t="s">
        <v>910</v>
      </c>
      <c r="D75" t="s">
        <v>901</v>
      </c>
      <c r="F75" t="s">
        <v>854</v>
      </c>
      <c r="G75" s="116"/>
      <c r="H75" s="116">
        <v>-1</v>
      </c>
      <c r="I75" s="164">
        <v>-345679.79</v>
      </c>
      <c r="K75" s="164">
        <v>-1051.68</v>
      </c>
      <c r="L75">
        <f t="shared" si="2"/>
        <v>-1.0516800000000002</v>
      </c>
      <c r="M75">
        <f t="shared" si="3"/>
        <v>-1</v>
      </c>
    </row>
    <row r="76" spans="1:13" x14ac:dyDescent="0.25">
      <c r="A76" s="190">
        <v>44834</v>
      </c>
      <c r="B76">
        <v>282528</v>
      </c>
      <c r="C76" t="s">
        <v>902</v>
      </c>
      <c r="D76" t="s">
        <v>903</v>
      </c>
      <c r="F76" t="s">
        <v>854</v>
      </c>
      <c r="G76" s="116"/>
      <c r="H76" s="116">
        <v>-3</v>
      </c>
      <c r="I76" s="164">
        <v>-348424.05</v>
      </c>
      <c r="K76" s="164">
        <v>-2744.26</v>
      </c>
      <c r="L76">
        <f t="shared" si="2"/>
        <v>-2.7442600000000001</v>
      </c>
      <c r="M76">
        <f t="shared" si="3"/>
        <v>-3</v>
      </c>
    </row>
    <row r="77" spans="1:13" x14ac:dyDescent="0.25">
      <c r="A77" s="190">
        <v>44834</v>
      </c>
      <c r="B77">
        <v>282648</v>
      </c>
      <c r="C77" t="s">
        <v>911</v>
      </c>
      <c r="D77" t="s">
        <v>903</v>
      </c>
      <c r="F77" t="s">
        <v>907</v>
      </c>
      <c r="G77" s="116"/>
      <c r="H77" s="116">
        <v>-50</v>
      </c>
      <c r="I77" s="164">
        <v>-398795.1</v>
      </c>
      <c r="K77" s="164">
        <v>-50371.05</v>
      </c>
      <c r="L77">
        <f t="shared" si="2"/>
        <v>-50.371050000000004</v>
      </c>
      <c r="M77">
        <f t="shared" si="3"/>
        <v>-50</v>
      </c>
    </row>
    <row r="78" spans="1:13" x14ac:dyDescent="0.25">
      <c r="A78" s="190">
        <v>44865</v>
      </c>
      <c r="B78">
        <v>283279</v>
      </c>
      <c r="C78" t="s">
        <v>1123</v>
      </c>
      <c r="D78" t="s">
        <v>1078</v>
      </c>
      <c r="F78" t="s">
        <v>854</v>
      </c>
      <c r="G78" s="116"/>
      <c r="H78" s="116">
        <v>-2</v>
      </c>
      <c r="I78" s="164">
        <v>-400410.97</v>
      </c>
      <c r="K78" s="164">
        <v>-1615.87</v>
      </c>
      <c r="L78">
        <f t="shared" si="2"/>
        <v>-1.6158699999999999</v>
      </c>
      <c r="M78">
        <f t="shared" si="3"/>
        <v>-2</v>
      </c>
    </row>
    <row r="79" spans="1:13" x14ac:dyDescent="0.25">
      <c r="A79" s="190">
        <v>44895</v>
      </c>
      <c r="B79">
        <v>283832</v>
      </c>
      <c r="C79" t="s">
        <v>1123</v>
      </c>
      <c r="D79" t="s">
        <v>1080</v>
      </c>
      <c r="F79" t="s">
        <v>854</v>
      </c>
      <c r="G79" s="116"/>
      <c r="H79" s="116">
        <v>-2</v>
      </c>
      <c r="I79" s="164">
        <v>-402026.84</v>
      </c>
      <c r="K79" s="164">
        <v>-1615.87</v>
      </c>
      <c r="L79">
        <f t="shared" si="2"/>
        <v>-1.6158699999999999</v>
      </c>
      <c r="M79">
        <f t="shared" si="3"/>
        <v>-2</v>
      </c>
    </row>
    <row r="80" spans="1:13" x14ac:dyDescent="0.25">
      <c r="A80" s="190">
        <v>44926</v>
      </c>
      <c r="B80">
        <v>285881</v>
      </c>
      <c r="C80" t="s">
        <v>1124</v>
      </c>
      <c r="D80" t="s">
        <v>1082</v>
      </c>
      <c r="F80" t="s">
        <v>854</v>
      </c>
      <c r="G80" s="116"/>
      <c r="H80" s="116">
        <v>-2</v>
      </c>
      <c r="I80" s="164">
        <v>-404002.73</v>
      </c>
      <c r="K80" s="164">
        <v>-1975.89</v>
      </c>
      <c r="L80">
        <f t="shared" si="2"/>
        <v>-1.9758900000000001</v>
      </c>
      <c r="M80">
        <f t="shared" si="3"/>
        <v>-2</v>
      </c>
    </row>
    <row r="81" spans="1:12" x14ac:dyDescent="0.25">
      <c r="A81" s="190"/>
      <c r="D81"/>
      <c r="F81"/>
      <c r="G81" s="116">
        <f>SUM(G68:G80)</f>
        <v>114</v>
      </c>
      <c r="H81" s="116">
        <f>SUM(H66:H80)</f>
        <v>-246</v>
      </c>
      <c r="I81" s="164"/>
      <c r="K81" s="164"/>
    </row>
    <row r="82" spans="1:12" x14ac:dyDescent="0.25">
      <c r="A82" s="190"/>
      <c r="D82"/>
      <c r="F82"/>
      <c r="G82" s="164"/>
      <c r="H82" s="164"/>
      <c r="I82" s="164"/>
    </row>
    <row r="83" spans="1:12" x14ac:dyDescent="0.25">
      <c r="A83" s="173" t="s">
        <v>845</v>
      </c>
      <c r="B83" s="173" t="s">
        <v>618</v>
      </c>
      <c r="C83" s="173" t="s">
        <v>1127</v>
      </c>
      <c r="D83" s="174"/>
      <c r="E83" s="173" t="s">
        <v>846</v>
      </c>
      <c r="F83" s="179">
        <v>-23970.28</v>
      </c>
      <c r="G83" s="173"/>
      <c r="H83" s="173"/>
      <c r="I83" s="173"/>
    </row>
    <row r="84" spans="1:12" x14ac:dyDescent="0.25">
      <c r="A84" s="176">
        <v>44592</v>
      </c>
      <c r="B84" s="170">
        <v>273390</v>
      </c>
      <c r="C84" s="170" t="s">
        <v>912</v>
      </c>
      <c r="D84" s="177" t="s">
        <v>890</v>
      </c>
      <c r="E84" s="170"/>
      <c r="F84" s="171" t="s">
        <v>854</v>
      </c>
      <c r="G84" s="209">
        <v>0</v>
      </c>
      <c r="H84" s="209">
        <v>0</v>
      </c>
      <c r="I84" s="178">
        <v>-24033.72</v>
      </c>
      <c r="K84" s="211">
        <f>H84/1000</f>
        <v>0</v>
      </c>
      <c r="L84" s="211">
        <f>ROUND(K84,0)</f>
        <v>0</v>
      </c>
    </row>
    <row r="85" spans="1:12" x14ac:dyDescent="0.25">
      <c r="A85" s="176">
        <v>44620</v>
      </c>
      <c r="B85" s="170">
        <v>274596</v>
      </c>
      <c r="C85" s="170" t="s">
        <v>913</v>
      </c>
      <c r="D85" s="177">
        <v>22022</v>
      </c>
      <c r="E85" s="170"/>
      <c r="F85" s="171" t="s">
        <v>854</v>
      </c>
      <c r="G85" s="209">
        <v>0</v>
      </c>
      <c r="H85" s="209">
        <v>0</v>
      </c>
      <c r="I85" s="178">
        <v>-24097.15</v>
      </c>
      <c r="K85" s="211">
        <f t="shared" ref="K85" si="4">H85/1000</f>
        <v>0</v>
      </c>
      <c r="L85" s="211">
        <f t="shared" ref="L85:L95" si="5">ROUND(K85,0)</f>
        <v>0</v>
      </c>
    </row>
    <row r="86" spans="1:12" x14ac:dyDescent="0.25">
      <c r="A86" s="176">
        <v>44651</v>
      </c>
      <c r="B86" s="170">
        <v>277763</v>
      </c>
      <c r="C86" s="170" t="s">
        <v>914</v>
      </c>
      <c r="D86" s="177" t="s">
        <v>893</v>
      </c>
      <c r="E86" s="170"/>
      <c r="F86" s="171" t="s">
        <v>194</v>
      </c>
      <c r="G86" s="209">
        <v>23</v>
      </c>
      <c r="H86" s="209">
        <v>23</v>
      </c>
      <c r="I86" s="178">
        <v>-1151.6099999999999</v>
      </c>
      <c r="K86" s="211">
        <f>G86/1000</f>
        <v>2.3E-2</v>
      </c>
      <c r="L86" s="211">
        <f t="shared" si="5"/>
        <v>0</v>
      </c>
    </row>
    <row r="87" spans="1:12" x14ac:dyDescent="0.25">
      <c r="A87" s="176">
        <v>44681</v>
      </c>
      <c r="B87" s="170">
        <v>278219</v>
      </c>
      <c r="C87" s="170" t="s">
        <v>915</v>
      </c>
      <c r="D87" s="169" t="s">
        <v>895</v>
      </c>
      <c r="E87" s="170"/>
      <c r="F87" s="171" t="s">
        <v>854</v>
      </c>
      <c r="G87" s="209">
        <v>0</v>
      </c>
      <c r="H87" s="209">
        <v>0</v>
      </c>
      <c r="I87" s="178">
        <v>-1193.9000000000001</v>
      </c>
      <c r="K87" s="211">
        <f t="shared" ref="K87:K95" si="6">G87/1000</f>
        <v>0</v>
      </c>
      <c r="L87" s="211">
        <f t="shared" si="5"/>
        <v>0</v>
      </c>
    </row>
    <row r="88" spans="1:12" x14ac:dyDescent="0.25">
      <c r="A88" s="176">
        <v>44712</v>
      </c>
      <c r="B88" s="170">
        <v>278893</v>
      </c>
      <c r="C88" s="170" t="s">
        <v>916</v>
      </c>
      <c r="D88" s="169" t="s">
        <v>897</v>
      </c>
      <c r="E88" s="170"/>
      <c r="F88" s="171" t="s">
        <v>854</v>
      </c>
      <c r="G88" s="209">
        <v>0</v>
      </c>
      <c r="H88" s="209">
        <v>0</v>
      </c>
      <c r="I88" s="178">
        <v>-1236.19</v>
      </c>
      <c r="K88" s="211">
        <f t="shared" si="6"/>
        <v>0</v>
      </c>
      <c r="L88" s="211">
        <f t="shared" si="5"/>
        <v>0</v>
      </c>
    </row>
    <row r="89" spans="1:12" x14ac:dyDescent="0.25">
      <c r="A89" s="176">
        <v>44742</v>
      </c>
      <c r="B89" s="170">
        <v>279720</v>
      </c>
      <c r="C89" s="170" t="s">
        <v>917</v>
      </c>
      <c r="D89" s="169" t="s">
        <v>898</v>
      </c>
      <c r="E89" s="170"/>
      <c r="F89" s="171" t="s">
        <v>854</v>
      </c>
      <c r="G89" s="209">
        <v>0</v>
      </c>
      <c r="H89" s="209">
        <v>0</v>
      </c>
      <c r="I89" s="178">
        <v>-1165.74</v>
      </c>
      <c r="K89" s="211">
        <f t="shared" si="6"/>
        <v>0</v>
      </c>
      <c r="L89" s="211">
        <f t="shared" si="5"/>
        <v>0</v>
      </c>
    </row>
    <row r="90" spans="1:12" x14ac:dyDescent="0.25">
      <c r="A90" s="176">
        <v>44773</v>
      </c>
      <c r="B90" s="170">
        <v>280392</v>
      </c>
      <c r="C90" s="170" t="s">
        <v>918</v>
      </c>
      <c r="D90" s="169" t="s">
        <v>900</v>
      </c>
      <c r="E90" s="170"/>
      <c r="F90" s="171" t="s">
        <v>854</v>
      </c>
      <c r="G90" s="209">
        <v>0</v>
      </c>
      <c r="H90" s="209">
        <v>0</v>
      </c>
      <c r="I90" s="178">
        <v>-1189.22</v>
      </c>
      <c r="K90" s="211">
        <f t="shared" si="6"/>
        <v>0</v>
      </c>
      <c r="L90" s="211">
        <f t="shared" si="5"/>
        <v>0</v>
      </c>
    </row>
    <row r="91" spans="1:12" x14ac:dyDescent="0.25">
      <c r="A91" s="176">
        <v>44804</v>
      </c>
      <c r="B91" s="170">
        <v>281101</v>
      </c>
      <c r="C91" s="170" t="s">
        <v>919</v>
      </c>
      <c r="D91" s="169" t="s">
        <v>901</v>
      </c>
      <c r="E91" s="170"/>
      <c r="F91" s="171" t="s">
        <v>854</v>
      </c>
      <c r="G91" s="209">
        <v>0</v>
      </c>
      <c r="H91" s="209">
        <v>0</v>
      </c>
      <c r="I91" s="178">
        <v>-1212.7</v>
      </c>
      <c r="K91" s="211">
        <f t="shared" si="6"/>
        <v>0</v>
      </c>
      <c r="L91" s="211">
        <f t="shared" si="5"/>
        <v>0</v>
      </c>
    </row>
    <row r="92" spans="1:12" x14ac:dyDescent="0.25">
      <c r="A92" s="176">
        <v>44834</v>
      </c>
      <c r="B92" s="170">
        <v>282529</v>
      </c>
      <c r="C92" s="170" t="s">
        <v>920</v>
      </c>
      <c r="D92" s="177" t="s">
        <v>903</v>
      </c>
      <c r="E92" s="170"/>
      <c r="F92" s="171" t="s">
        <v>194</v>
      </c>
      <c r="G92" s="209">
        <v>0</v>
      </c>
      <c r="H92" s="209">
        <v>0</v>
      </c>
      <c r="I92" s="178">
        <v>-1182.19</v>
      </c>
      <c r="K92" s="211">
        <f t="shared" si="6"/>
        <v>0</v>
      </c>
      <c r="L92" s="211">
        <f t="shared" si="5"/>
        <v>0</v>
      </c>
    </row>
    <row r="93" spans="1:12" x14ac:dyDescent="0.25">
      <c r="A93" s="176">
        <v>44865</v>
      </c>
      <c r="B93" s="170">
        <v>283526</v>
      </c>
      <c r="C93" s="170" t="s">
        <v>1125</v>
      </c>
      <c r="D93" s="177" t="s">
        <v>1078</v>
      </c>
      <c r="E93" s="170"/>
      <c r="F93" s="171" t="s">
        <v>854</v>
      </c>
      <c r="G93" s="209">
        <v>0</v>
      </c>
      <c r="H93" s="209">
        <v>0</v>
      </c>
      <c r="I93" s="178">
        <v>-1187.67</v>
      </c>
      <c r="K93" s="211">
        <f t="shared" si="6"/>
        <v>0</v>
      </c>
      <c r="L93" s="211">
        <f t="shared" si="5"/>
        <v>0</v>
      </c>
    </row>
    <row r="94" spans="1:12" x14ac:dyDescent="0.25">
      <c r="A94" s="176">
        <v>44895</v>
      </c>
      <c r="B94" s="170">
        <v>283833</v>
      </c>
      <c r="C94" s="170" t="s">
        <v>1125</v>
      </c>
      <c r="D94" s="177" t="s">
        <v>1080</v>
      </c>
      <c r="E94" s="170"/>
      <c r="F94" s="171" t="s">
        <v>854</v>
      </c>
      <c r="G94" s="209">
        <v>0</v>
      </c>
      <c r="H94" s="209">
        <v>0</v>
      </c>
      <c r="I94" s="178">
        <v>-1193.1500000000001</v>
      </c>
      <c r="K94" s="211">
        <f t="shared" si="6"/>
        <v>0</v>
      </c>
      <c r="L94" s="211">
        <f t="shared" si="5"/>
        <v>0</v>
      </c>
    </row>
    <row r="95" spans="1:12" x14ac:dyDescent="0.25">
      <c r="A95" s="176">
        <v>44926</v>
      </c>
      <c r="B95" s="170">
        <v>285882</v>
      </c>
      <c r="C95" s="170" t="s">
        <v>1126</v>
      </c>
      <c r="D95" s="177" t="s">
        <v>1082</v>
      </c>
      <c r="E95" s="170"/>
      <c r="F95" s="171" t="s">
        <v>194</v>
      </c>
      <c r="G95" s="209">
        <v>1</v>
      </c>
      <c r="H95" s="209"/>
      <c r="I95" s="178">
        <v>0</v>
      </c>
      <c r="K95" s="211">
        <f t="shared" si="6"/>
        <v>1E-3</v>
      </c>
      <c r="L95" s="211">
        <f t="shared" si="5"/>
        <v>0</v>
      </c>
    </row>
    <row r="96" spans="1:12" x14ac:dyDescent="0.25">
      <c r="A96" s="176"/>
      <c r="B96" s="170"/>
      <c r="C96" s="170"/>
      <c r="D96" s="177"/>
      <c r="E96" s="170"/>
      <c r="F96" s="171"/>
      <c r="G96" s="210">
        <f>SUM(G84:G95)</f>
        <v>24</v>
      </c>
      <c r="H96" s="210">
        <f>SUM(H84:H95)</f>
        <v>23</v>
      </c>
      <c r="I96" s="178"/>
    </row>
    <row r="97" spans="1:13" x14ac:dyDescent="0.25">
      <c r="A97" s="190"/>
      <c r="D97"/>
      <c r="F97" s="164"/>
      <c r="G97" s="164"/>
    </row>
    <row r="98" spans="1:13" x14ac:dyDescent="0.25">
      <c r="A98" s="173" t="s">
        <v>845</v>
      </c>
      <c r="B98" s="173" t="s">
        <v>619</v>
      </c>
      <c r="C98" s="173" t="s">
        <v>1128</v>
      </c>
      <c r="D98" s="174"/>
      <c r="E98" s="173" t="s">
        <v>846</v>
      </c>
      <c r="F98" s="179">
        <v>-5888233.2000000002</v>
      </c>
      <c r="G98" s="173"/>
      <c r="H98" s="173"/>
      <c r="I98" s="173"/>
    </row>
    <row r="99" spans="1:13" x14ac:dyDescent="0.25">
      <c r="A99" s="190">
        <v>44592</v>
      </c>
      <c r="B99">
        <v>273391</v>
      </c>
      <c r="C99" t="s">
        <v>921</v>
      </c>
      <c r="D99" t="s">
        <v>890</v>
      </c>
      <c r="F99" t="s">
        <v>854</v>
      </c>
      <c r="G99" s="164"/>
      <c r="H99" s="164">
        <v>-127</v>
      </c>
      <c r="I99" s="164">
        <v>-6015038.5800000001</v>
      </c>
      <c r="K99" s="164">
        <v>-126805.38</v>
      </c>
      <c r="L99">
        <f>K99/1000</f>
        <v>-126.80538</v>
      </c>
      <c r="M99">
        <f>ROUND(L99,0)</f>
        <v>-127</v>
      </c>
    </row>
    <row r="100" spans="1:13" x14ac:dyDescent="0.25">
      <c r="A100" s="190">
        <v>44620</v>
      </c>
      <c r="B100">
        <v>274597</v>
      </c>
      <c r="C100" t="s">
        <v>922</v>
      </c>
      <c r="D100" s="212">
        <v>22022</v>
      </c>
      <c r="F100" t="s">
        <v>854</v>
      </c>
      <c r="G100" s="164"/>
      <c r="H100" s="164">
        <v>-127</v>
      </c>
      <c r="I100" s="164">
        <v>-6141843.96</v>
      </c>
      <c r="K100" s="164">
        <v>-126805.38</v>
      </c>
      <c r="L100">
        <f t="shared" ref="L100:L110" si="7">K100/1000</f>
        <v>-126.80538</v>
      </c>
      <c r="M100">
        <f t="shared" ref="M100:M110" si="8">ROUND(L100,0)</f>
        <v>-127</v>
      </c>
    </row>
    <row r="101" spans="1:13" x14ac:dyDescent="0.25">
      <c r="A101" s="190">
        <v>44681</v>
      </c>
      <c r="B101">
        <v>278520</v>
      </c>
      <c r="C101" t="s">
        <v>923</v>
      </c>
      <c r="D101" t="s">
        <v>895</v>
      </c>
      <c r="F101" t="s">
        <v>854</v>
      </c>
      <c r="G101" s="164"/>
      <c r="H101" s="164">
        <v>-85</v>
      </c>
      <c r="I101" s="164">
        <v>-6226380.8799999999</v>
      </c>
      <c r="K101" s="164">
        <v>-84536.92</v>
      </c>
      <c r="L101">
        <f t="shared" si="7"/>
        <v>-84.536919999999995</v>
      </c>
      <c r="M101">
        <f t="shared" si="8"/>
        <v>-85</v>
      </c>
    </row>
    <row r="102" spans="1:13" x14ac:dyDescent="0.25">
      <c r="A102" s="190">
        <v>44712</v>
      </c>
      <c r="B102">
        <v>278894</v>
      </c>
      <c r="C102" t="s">
        <v>924</v>
      </c>
      <c r="D102" t="s">
        <v>897</v>
      </c>
      <c r="F102" t="s">
        <v>854</v>
      </c>
      <c r="G102" s="164"/>
      <c r="H102" s="164">
        <v>-85</v>
      </c>
      <c r="I102" s="164">
        <v>-6310917.7999999998</v>
      </c>
      <c r="K102" s="164">
        <v>-84536.92</v>
      </c>
      <c r="L102">
        <f t="shared" si="7"/>
        <v>-84.536919999999995</v>
      </c>
      <c r="M102">
        <f t="shared" si="8"/>
        <v>-85</v>
      </c>
    </row>
    <row r="103" spans="1:13" x14ac:dyDescent="0.25">
      <c r="A103" s="190">
        <v>44742</v>
      </c>
      <c r="B103">
        <v>279721</v>
      </c>
      <c r="C103" t="s">
        <v>925</v>
      </c>
      <c r="D103" t="s">
        <v>898</v>
      </c>
      <c r="F103" t="s">
        <v>854</v>
      </c>
      <c r="G103" s="164"/>
      <c r="H103" s="164">
        <v>-108</v>
      </c>
      <c r="I103" s="164">
        <v>-6419189.2800000003</v>
      </c>
      <c r="K103" s="164">
        <v>-108271.48</v>
      </c>
      <c r="L103">
        <f t="shared" si="7"/>
        <v>-108.27148</v>
      </c>
      <c r="M103">
        <f t="shared" si="8"/>
        <v>-108</v>
      </c>
    </row>
    <row r="104" spans="1:13" x14ac:dyDescent="0.25">
      <c r="A104" s="190">
        <v>44773</v>
      </c>
      <c r="B104">
        <v>280341</v>
      </c>
      <c r="C104" t="s">
        <v>926</v>
      </c>
      <c r="D104" t="s">
        <v>900</v>
      </c>
      <c r="F104" t="s">
        <v>854</v>
      </c>
      <c r="G104" s="164"/>
      <c r="H104" s="164">
        <v>-36</v>
      </c>
      <c r="I104" s="164">
        <v>-6455279.7699999996</v>
      </c>
      <c r="K104" s="164">
        <v>-36090.49</v>
      </c>
      <c r="L104">
        <f t="shared" si="7"/>
        <v>-36.090489999999996</v>
      </c>
      <c r="M104">
        <f t="shared" si="8"/>
        <v>-36</v>
      </c>
    </row>
    <row r="105" spans="1:13" x14ac:dyDescent="0.25">
      <c r="A105" s="190">
        <v>44804</v>
      </c>
      <c r="B105">
        <v>281102</v>
      </c>
      <c r="C105" t="s">
        <v>926</v>
      </c>
      <c r="D105" t="s">
        <v>901</v>
      </c>
      <c r="F105" t="s">
        <v>854</v>
      </c>
      <c r="G105" s="164"/>
      <c r="H105" s="164">
        <v>-36</v>
      </c>
      <c r="I105" s="164">
        <v>-6491370.2599999998</v>
      </c>
      <c r="K105" s="164">
        <v>-36090.49</v>
      </c>
      <c r="L105">
        <f t="shared" si="7"/>
        <v>-36.090489999999996</v>
      </c>
      <c r="M105">
        <f t="shared" si="8"/>
        <v>-36</v>
      </c>
    </row>
    <row r="106" spans="1:13" x14ac:dyDescent="0.25">
      <c r="A106" s="190">
        <v>44834</v>
      </c>
      <c r="B106">
        <v>282530</v>
      </c>
      <c r="C106" t="s">
        <v>902</v>
      </c>
      <c r="D106" t="s">
        <v>903</v>
      </c>
      <c r="F106" t="s">
        <v>854</v>
      </c>
      <c r="G106" s="164"/>
      <c r="H106" s="164">
        <v>-83</v>
      </c>
      <c r="I106" s="164">
        <v>-6574486.2999999998</v>
      </c>
      <c r="K106" s="164">
        <v>-83116.039999999994</v>
      </c>
      <c r="L106">
        <f t="shared" si="7"/>
        <v>-83.116039999999998</v>
      </c>
      <c r="M106">
        <f t="shared" si="8"/>
        <v>-83</v>
      </c>
    </row>
    <row r="107" spans="1:13" x14ac:dyDescent="0.25">
      <c r="A107" s="190">
        <v>44834</v>
      </c>
      <c r="B107">
        <v>282646</v>
      </c>
      <c r="C107" t="s">
        <v>927</v>
      </c>
      <c r="D107" t="s">
        <v>903</v>
      </c>
      <c r="F107" t="s">
        <v>907</v>
      </c>
      <c r="G107" s="164"/>
      <c r="H107" s="164">
        <v>-5</v>
      </c>
      <c r="I107" s="164">
        <v>-6579553.6600000001</v>
      </c>
      <c r="K107" s="164">
        <v>-5067.3599999999997</v>
      </c>
      <c r="L107">
        <f t="shared" si="7"/>
        <v>-5.0673599999999999</v>
      </c>
      <c r="M107">
        <f t="shared" si="8"/>
        <v>-5</v>
      </c>
    </row>
    <row r="108" spans="1:13" x14ac:dyDescent="0.25">
      <c r="A108" s="190">
        <v>44865</v>
      </c>
      <c r="B108">
        <v>283280</v>
      </c>
      <c r="C108" t="s">
        <v>1131</v>
      </c>
      <c r="D108" t="s">
        <v>1078</v>
      </c>
      <c r="F108" t="s">
        <v>854</v>
      </c>
      <c r="G108" s="164"/>
      <c r="H108" s="164">
        <v>-52</v>
      </c>
      <c r="I108" s="164">
        <v>-6631319.3300000001</v>
      </c>
      <c r="K108" s="164">
        <v>-51765.67</v>
      </c>
      <c r="L108">
        <f t="shared" si="7"/>
        <v>-51.76567</v>
      </c>
      <c r="M108">
        <f t="shared" si="8"/>
        <v>-52</v>
      </c>
    </row>
    <row r="109" spans="1:13" x14ac:dyDescent="0.25">
      <c r="A109" s="190">
        <v>44895</v>
      </c>
      <c r="B109">
        <v>283834</v>
      </c>
      <c r="C109" t="s">
        <v>1131</v>
      </c>
      <c r="D109" t="s">
        <v>1080</v>
      </c>
      <c r="F109" t="s">
        <v>854</v>
      </c>
      <c r="G109" s="164"/>
      <c r="H109" s="164">
        <v>-52</v>
      </c>
      <c r="I109" s="164">
        <v>-6683085</v>
      </c>
      <c r="K109" s="164">
        <v>-51765.67</v>
      </c>
      <c r="L109">
        <f t="shared" si="7"/>
        <v>-51.76567</v>
      </c>
      <c r="M109">
        <f t="shared" si="8"/>
        <v>-52</v>
      </c>
    </row>
    <row r="110" spans="1:13" x14ac:dyDescent="0.25">
      <c r="A110" s="190">
        <v>44926</v>
      </c>
      <c r="B110">
        <v>285883</v>
      </c>
      <c r="C110" t="s">
        <v>1132</v>
      </c>
      <c r="D110" t="s">
        <v>1082</v>
      </c>
      <c r="F110" s="164" t="s">
        <v>471</v>
      </c>
      <c r="G110" s="164">
        <v>50</v>
      </c>
      <c r="I110" s="164">
        <v>-6633425.5300000003</v>
      </c>
      <c r="K110" s="164">
        <v>49659.47</v>
      </c>
      <c r="L110">
        <f t="shared" si="7"/>
        <v>49.659469999999999</v>
      </c>
      <c r="M110">
        <f t="shared" si="8"/>
        <v>50</v>
      </c>
    </row>
    <row r="111" spans="1:13" x14ac:dyDescent="0.25">
      <c r="A111" s="190"/>
      <c r="D111"/>
      <c r="F111" s="164"/>
      <c r="G111" s="200">
        <f>SUM(G99:G110)</f>
        <v>50</v>
      </c>
      <c r="H111" s="200">
        <f>SUM(H99:H110)</f>
        <v>-796</v>
      </c>
      <c r="I111" s="164"/>
      <c r="K111" s="164"/>
    </row>
    <row r="112" spans="1:13" x14ac:dyDescent="0.25">
      <c r="A112" s="190"/>
      <c r="H112" s="164"/>
      <c r="I112" s="164"/>
    </row>
    <row r="113" spans="1:12" x14ac:dyDescent="0.25">
      <c r="A113" s="173" t="s">
        <v>845</v>
      </c>
      <c r="B113" s="173" t="s">
        <v>807</v>
      </c>
      <c r="C113" s="173">
        <v>22154</v>
      </c>
      <c r="D113" s="174" t="s">
        <v>808</v>
      </c>
      <c r="E113" s="173" t="s">
        <v>846</v>
      </c>
      <c r="F113" s="179">
        <v>0</v>
      </c>
      <c r="G113" s="173"/>
      <c r="H113" s="173"/>
      <c r="I113" s="173"/>
    </row>
    <row r="114" spans="1:12" x14ac:dyDescent="0.25">
      <c r="A114" s="176">
        <v>44834</v>
      </c>
      <c r="B114" s="170">
        <v>282645</v>
      </c>
      <c r="C114" s="170" t="s">
        <v>928</v>
      </c>
      <c r="D114" s="169" t="s">
        <v>903</v>
      </c>
      <c r="E114" s="170"/>
      <c r="F114" s="171" t="s">
        <v>907</v>
      </c>
      <c r="G114" s="209"/>
      <c r="H114" s="209">
        <v>-2</v>
      </c>
      <c r="I114" s="178">
        <v>-2346.3000000000002</v>
      </c>
      <c r="K114" s="211">
        <f>H114/1000</f>
        <v>-2E-3</v>
      </c>
      <c r="L114" s="211">
        <f>ROUND(K114,0)</f>
        <v>0</v>
      </c>
    </row>
    <row r="115" spans="1:12" x14ac:dyDescent="0.25">
      <c r="A115" s="176">
        <v>44865</v>
      </c>
      <c r="B115" s="170">
        <v>283281</v>
      </c>
      <c r="C115" s="170" t="s">
        <v>1129</v>
      </c>
      <c r="D115" s="169" t="s">
        <v>1078</v>
      </c>
      <c r="E115" s="170"/>
      <c r="F115" s="171" t="s">
        <v>854</v>
      </c>
      <c r="G115" s="209"/>
      <c r="H115" s="209">
        <v>0</v>
      </c>
      <c r="I115" s="178">
        <v>-2357.1799999999998</v>
      </c>
      <c r="K115" s="211">
        <f t="shared" ref="K115:K118" si="9">H115/1000</f>
        <v>0</v>
      </c>
      <c r="L115" s="211">
        <f t="shared" ref="L115:L118" si="10">ROUND(K115,0)</f>
        <v>0</v>
      </c>
    </row>
    <row r="116" spans="1:12" x14ac:dyDescent="0.25">
      <c r="A116" s="176">
        <v>44895</v>
      </c>
      <c r="B116" s="170">
        <v>283835</v>
      </c>
      <c r="C116" s="170" t="s">
        <v>1129</v>
      </c>
      <c r="D116" s="169" t="s">
        <v>1080</v>
      </c>
      <c r="E116" s="170"/>
      <c r="F116" s="171" t="s">
        <v>854</v>
      </c>
      <c r="G116" s="209"/>
      <c r="H116" s="209">
        <v>0</v>
      </c>
      <c r="I116" s="178">
        <v>-2368.06</v>
      </c>
      <c r="K116" s="211">
        <f t="shared" si="9"/>
        <v>0</v>
      </c>
      <c r="L116" s="211">
        <f t="shared" si="10"/>
        <v>0</v>
      </c>
    </row>
    <row r="117" spans="1:12" x14ac:dyDescent="0.25">
      <c r="A117" s="176">
        <v>44926</v>
      </c>
      <c r="B117" s="170">
        <v>285884</v>
      </c>
      <c r="C117" s="170" t="s">
        <v>1130</v>
      </c>
      <c r="D117" s="169" t="s">
        <v>1082</v>
      </c>
      <c r="E117" s="170"/>
      <c r="F117" s="171" t="s">
        <v>471</v>
      </c>
      <c r="G117" s="209">
        <v>0</v>
      </c>
      <c r="H117" s="209">
        <v>0</v>
      </c>
      <c r="I117" s="178">
        <v>-2346.3000000000002</v>
      </c>
      <c r="K117" s="211">
        <f>G117/1000</f>
        <v>0</v>
      </c>
      <c r="L117" s="211">
        <f>ROUND(K117,0)</f>
        <v>0</v>
      </c>
    </row>
    <row r="118" spans="1:12" x14ac:dyDescent="0.25">
      <c r="A118" s="176"/>
      <c r="B118" s="170"/>
      <c r="C118" s="170"/>
      <c r="D118" s="169"/>
      <c r="E118" s="170"/>
      <c r="F118" s="171"/>
      <c r="G118" s="210">
        <f>SUM(G114:G117)</f>
        <v>0</v>
      </c>
      <c r="H118" s="210">
        <f>SUM(H114:H117)</f>
        <v>-2</v>
      </c>
      <c r="I118" s="209"/>
      <c r="K118" s="211">
        <f t="shared" si="9"/>
        <v>-2E-3</v>
      </c>
      <c r="L118" s="211">
        <f t="shared" si="10"/>
        <v>0</v>
      </c>
    </row>
    <row r="119" spans="1:12" ht="15.75" thickBot="1" x14ac:dyDescent="0.3"/>
    <row r="120" spans="1:12" x14ac:dyDescent="0.25">
      <c r="A120" s="709">
        <v>2022</v>
      </c>
      <c r="B120" s="710"/>
      <c r="C120" s="710"/>
      <c r="D120" s="710"/>
      <c r="E120" s="710"/>
      <c r="F120" s="710"/>
      <c r="G120" s="710"/>
      <c r="H120" s="710"/>
      <c r="I120" s="180"/>
      <c r="K120" s="144"/>
    </row>
    <row r="121" spans="1:12" x14ac:dyDescent="0.25">
      <c r="A121" s="181"/>
      <c r="B121" s="144"/>
      <c r="C121" s="144"/>
      <c r="D121" s="144"/>
      <c r="E121" s="144"/>
      <c r="F121" s="144"/>
      <c r="G121" s="144" t="s">
        <v>929</v>
      </c>
      <c r="H121" s="144" t="s">
        <v>930</v>
      </c>
      <c r="I121" s="182"/>
      <c r="K121" s="144"/>
    </row>
    <row r="122" spans="1:12" x14ac:dyDescent="0.25">
      <c r="A122" s="183"/>
      <c r="D122"/>
      <c r="F122"/>
      <c r="I122" s="182"/>
    </row>
    <row r="123" spans="1:12" x14ac:dyDescent="0.25">
      <c r="A123" s="183"/>
      <c r="D123"/>
      <c r="F123"/>
      <c r="H123" s="164"/>
      <c r="I123" s="184"/>
    </row>
    <row r="124" spans="1:12" ht="15.75" thickBot="1" x14ac:dyDescent="0.3">
      <c r="A124" s="185"/>
      <c r="B124" s="186"/>
      <c r="C124" s="186"/>
      <c r="D124" s="186"/>
      <c r="E124" s="186"/>
      <c r="F124" s="186"/>
      <c r="G124" s="187">
        <f>SUM(G122:G123)</f>
        <v>0</v>
      </c>
      <c r="H124" s="187">
        <f>SUM(H122:H123)</f>
        <v>0</v>
      </c>
      <c r="I124" s="188">
        <f>G124+H124</f>
        <v>0</v>
      </c>
      <c r="K124" s="189">
        <f>I124/1000</f>
        <v>0</v>
      </c>
    </row>
    <row r="125" spans="1:12" ht="15.75" thickBot="1" x14ac:dyDescent="0.3">
      <c r="D125"/>
      <c r="F125"/>
      <c r="K125" s="144"/>
    </row>
    <row r="126" spans="1:12" x14ac:dyDescent="0.25">
      <c r="A126" s="709">
        <v>2021</v>
      </c>
      <c r="B126" s="710"/>
      <c r="C126" s="710"/>
      <c r="D126" s="710"/>
      <c r="E126" s="710"/>
      <c r="F126" s="710"/>
      <c r="G126" s="710"/>
      <c r="H126" s="710"/>
      <c r="I126" s="180"/>
      <c r="K126" s="144"/>
    </row>
    <row r="127" spans="1:12" x14ac:dyDescent="0.25">
      <c r="A127" s="181"/>
      <c r="B127" s="144"/>
      <c r="C127" s="144"/>
      <c r="D127" s="144"/>
      <c r="E127" s="144"/>
      <c r="F127" s="144"/>
      <c r="G127" s="144" t="s">
        <v>929</v>
      </c>
      <c r="H127" s="144" t="s">
        <v>930</v>
      </c>
      <c r="I127" s="182"/>
      <c r="K127" s="144"/>
    </row>
    <row r="128" spans="1:12" x14ac:dyDescent="0.25">
      <c r="A128" s="181"/>
      <c r="D128"/>
      <c r="F128"/>
      <c r="I128" s="182"/>
      <c r="K128" s="144"/>
    </row>
    <row r="129" spans="1:11" ht="15.75" thickBot="1" x14ac:dyDescent="0.3">
      <c r="A129" s="185"/>
      <c r="B129" s="186"/>
      <c r="C129" s="186"/>
      <c r="D129" s="186"/>
      <c r="E129" s="186"/>
      <c r="F129" s="186"/>
      <c r="G129" s="187">
        <f>SUM(G128:G128)</f>
        <v>0</v>
      </c>
      <c r="H129" s="187">
        <f>SUM(H128:H128)</f>
        <v>0</v>
      </c>
      <c r="I129" s="188">
        <f>G129+H129</f>
        <v>0</v>
      </c>
      <c r="K129" s="189">
        <f>-I129/1000</f>
        <v>0</v>
      </c>
    </row>
    <row r="130" spans="1:11" x14ac:dyDescent="0.25">
      <c r="D130"/>
      <c r="F130"/>
      <c r="G130" s="164"/>
      <c r="H130" s="164"/>
      <c r="I130" s="164"/>
      <c r="K130" s="189"/>
    </row>
    <row r="131" spans="1:11" x14ac:dyDescent="0.25">
      <c r="D131"/>
      <c r="F131"/>
      <c r="G131" s="164"/>
      <c r="H131" s="164" t="s">
        <v>931</v>
      </c>
      <c r="I131" s="164"/>
      <c r="K131" s="189">
        <f>K129-K124</f>
        <v>0</v>
      </c>
    </row>
    <row r="132" spans="1:11" x14ac:dyDescent="0.25">
      <c r="D132"/>
      <c r="F132"/>
      <c r="H132" t="s">
        <v>932</v>
      </c>
      <c r="K132" s="144">
        <f>[4]BP!$D$35-[4]BP!$F$35+[4]BP!$D$41-[4]BP!$F$41</f>
        <v>1015</v>
      </c>
    </row>
    <row r="133" spans="1:11" x14ac:dyDescent="0.25">
      <c r="D133"/>
      <c r="F133"/>
      <c r="K133" s="189">
        <f>K131-K132</f>
        <v>-1015</v>
      </c>
    </row>
  </sheetData>
  <autoFilter ref="A6:I45"/>
  <mergeCells count="4">
    <mergeCell ref="A4:C4"/>
    <mergeCell ref="A48:C48"/>
    <mergeCell ref="A120:H120"/>
    <mergeCell ref="A126:H1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B82" workbookViewId="0">
      <selection activeCell="D92" sqref="D92"/>
    </sheetView>
  </sheetViews>
  <sheetFormatPr defaultRowHeight="15" x14ac:dyDescent="0.25"/>
  <cols>
    <col min="1" max="1" width="10.7109375" bestFit="1" customWidth="1"/>
    <col min="2" max="2" width="12.28515625" bestFit="1" customWidth="1"/>
    <col min="3" max="3" width="73.42578125" customWidth="1"/>
    <col min="4" max="4" width="24.85546875" bestFit="1" customWidth="1"/>
    <col min="5" max="5" width="8.42578125" bestFit="1" customWidth="1"/>
    <col min="6" max="6" width="10.140625" bestFit="1" customWidth="1"/>
    <col min="7" max="7" width="10.85546875" bestFit="1" customWidth="1"/>
    <col min="8" max="8" width="11" bestFit="1" customWidth="1"/>
  </cols>
  <sheetData>
    <row r="1" spans="1:11" x14ac:dyDescent="0.25">
      <c r="A1" t="s">
        <v>845</v>
      </c>
      <c r="B1" t="s">
        <v>529</v>
      </c>
      <c r="C1">
        <v>11239</v>
      </c>
      <c r="D1" t="s">
        <v>98</v>
      </c>
      <c r="E1" t="s">
        <v>846</v>
      </c>
      <c r="F1" s="164">
        <v>1487.38</v>
      </c>
    </row>
    <row r="3" spans="1:11" x14ac:dyDescent="0.25">
      <c r="A3" t="s">
        <v>847</v>
      </c>
      <c r="B3" t="s">
        <v>848</v>
      </c>
      <c r="C3" t="s">
        <v>849</v>
      </c>
      <c r="D3" t="s">
        <v>850</v>
      </c>
      <c r="E3" t="s">
        <v>851</v>
      </c>
      <c r="F3" t="s">
        <v>811</v>
      </c>
      <c r="G3" t="s">
        <v>812</v>
      </c>
      <c r="H3" t="s">
        <v>813</v>
      </c>
    </row>
    <row r="4" spans="1:11" s="250" customFormat="1" x14ac:dyDescent="0.25">
      <c r="A4" s="249">
        <v>44957</v>
      </c>
      <c r="B4" s="250">
        <v>286305</v>
      </c>
      <c r="C4" s="250" t="s">
        <v>1290</v>
      </c>
      <c r="D4" s="250" t="s">
        <v>1271</v>
      </c>
      <c r="F4" s="250">
        <v>1.6660000000000001E-2</v>
      </c>
      <c r="H4" s="251">
        <v>1504.04</v>
      </c>
      <c r="J4" s="250">
        <f>F4/1000</f>
        <v>1.666E-5</v>
      </c>
      <c r="K4" s="250">
        <f>ROUND(J4,0)</f>
        <v>0</v>
      </c>
    </row>
    <row r="5" spans="1:11" s="250" customFormat="1" x14ac:dyDescent="0.25">
      <c r="A5" s="249">
        <v>44985</v>
      </c>
      <c r="B5" s="250">
        <v>288398</v>
      </c>
      <c r="C5" s="250" t="s">
        <v>1291</v>
      </c>
      <c r="D5" s="250" t="s">
        <v>1272</v>
      </c>
      <c r="G5" s="250">
        <v>-7.24</v>
      </c>
      <c r="H5" s="251">
        <v>1496.8</v>
      </c>
      <c r="K5" s="250">
        <f t="shared" ref="K5:K66" si="0">ROUND(J5,0)</f>
        <v>0</v>
      </c>
    </row>
    <row r="6" spans="1:11" s="250" customFormat="1" x14ac:dyDescent="0.25">
      <c r="A6" s="249">
        <v>45016</v>
      </c>
      <c r="B6" s="250">
        <v>289414</v>
      </c>
      <c r="C6" s="250" t="s">
        <v>1292</v>
      </c>
      <c r="D6" s="250" t="s">
        <v>1273</v>
      </c>
      <c r="F6" s="250">
        <v>1.481E-2</v>
      </c>
      <c r="H6" s="251">
        <v>1511.61</v>
      </c>
      <c r="J6" s="250">
        <f t="shared" ref="J6:J66" si="1">F6/1000</f>
        <v>1.4810000000000001E-5</v>
      </c>
      <c r="K6" s="250">
        <f t="shared" si="0"/>
        <v>0</v>
      </c>
    </row>
    <row r="8" spans="1:11" x14ac:dyDescent="0.25">
      <c r="A8" t="s">
        <v>845</v>
      </c>
      <c r="B8" t="s">
        <v>309</v>
      </c>
      <c r="C8">
        <v>112316</v>
      </c>
      <c r="D8" t="s">
        <v>310</v>
      </c>
      <c r="E8" t="s">
        <v>846</v>
      </c>
      <c r="F8" s="164">
        <v>668444.49</v>
      </c>
    </row>
    <row r="10" spans="1:11" x14ac:dyDescent="0.25">
      <c r="A10" t="s">
        <v>847</v>
      </c>
      <c r="B10" t="s">
        <v>848</v>
      </c>
      <c r="C10" t="s">
        <v>849</v>
      </c>
      <c r="D10" t="s">
        <v>850</v>
      </c>
      <c r="E10" t="s">
        <v>851</v>
      </c>
      <c r="F10" t="s">
        <v>811</v>
      </c>
      <c r="G10" t="s">
        <v>812</v>
      </c>
      <c r="H10" t="s">
        <v>813</v>
      </c>
    </row>
    <row r="11" spans="1:11" s="139" customFormat="1" x14ac:dyDescent="0.25">
      <c r="A11" s="247">
        <v>44927</v>
      </c>
      <c r="B11" s="139">
        <v>286313</v>
      </c>
      <c r="C11" s="139" t="s">
        <v>1293</v>
      </c>
      <c r="D11" s="139" t="s">
        <v>1271</v>
      </c>
      <c r="G11" s="248">
        <v>-668</v>
      </c>
      <c r="H11" s="139">
        <v>0</v>
      </c>
      <c r="J11" s="250">
        <f>G11/1000</f>
        <v>-0.66800000000000004</v>
      </c>
      <c r="K11" s="250">
        <f t="shared" si="0"/>
        <v>-1</v>
      </c>
    </row>
    <row r="13" spans="1:11" x14ac:dyDescent="0.25">
      <c r="A13" t="s">
        <v>845</v>
      </c>
      <c r="B13" t="s">
        <v>311</v>
      </c>
      <c r="C13">
        <v>112317</v>
      </c>
      <c r="D13" t="s">
        <v>312</v>
      </c>
      <c r="E13" t="s">
        <v>846</v>
      </c>
      <c r="F13" s="164">
        <v>267519.28000000003</v>
      </c>
    </row>
    <row r="15" spans="1:11" x14ac:dyDescent="0.25">
      <c r="A15" t="s">
        <v>847</v>
      </c>
      <c r="B15" t="s">
        <v>848</v>
      </c>
      <c r="C15" t="s">
        <v>849</v>
      </c>
      <c r="D15" t="s">
        <v>850</v>
      </c>
      <c r="E15" t="s">
        <v>851</v>
      </c>
      <c r="F15" t="s">
        <v>811</v>
      </c>
      <c r="G15" t="s">
        <v>812</v>
      </c>
      <c r="H15" t="s">
        <v>813</v>
      </c>
    </row>
    <row r="16" spans="1:11" s="139" customFormat="1" x14ac:dyDescent="0.25">
      <c r="A16" s="247">
        <v>44927</v>
      </c>
      <c r="B16" s="139">
        <v>286314</v>
      </c>
      <c r="C16" s="139" t="s">
        <v>1293</v>
      </c>
      <c r="D16" s="139" t="s">
        <v>1271</v>
      </c>
      <c r="G16" s="248">
        <v>-268</v>
      </c>
      <c r="H16" s="139">
        <v>0</v>
      </c>
      <c r="J16" s="250">
        <f>G16/1000</f>
        <v>-0.26800000000000002</v>
      </c>
      <c r="K16" s="250">
        <f t="shared" si="0"/>
        <v>0</v>
      </c>
    </row>
    <row r="18" spans="1:11" x14ac:dyDescent="0.25">
      <c r="A18" t="s">
        <v>845</v>
      </c>
      <c r="B18" t="s">
        <v>313</v>
      </c>
      <c r="C18">
        <v>112321</v>
      </c>
      <c r="D18" t="s">
        <v>99</v>
      </c>
      <c r="E18" t="s">
        <v>846</v>
      </c>
      <c r="F18" s="164">
        <v>160515.44</v>
      </c>
    </row>
    <row r="20" spans="1:11" x14ac:dyDescent="0.25">
      <c r="A20" t="s">
        <v>847</v>
      </c>
      <c r="B20" t="s">
        <v>848</v>
      </c>
      <c r="C20" t="s">
        <v>849</v>
      </c>
      <c r="D20" t="s">
        <v>850</v>
      </c>
      <c r="E20" t="s">
        <v>851</v>
      </c>
      <c r="F20" t="s">
        <v>811</v>
      </c>
      <c r="G20" t="s">
        <v>812</v>
      </c>
      <c r="H20" t="s">
        <v>813</v>
      </c>
    </row>
    <row r="21" spans="1:11" s="139" customFormat="1" x14ac:dyDescent="0.25">
      <c r="A21" s="247">
        <v>44927</v>
      </c>
      <c r="B21" s="139">
        <v>286058</v>
      </c>
      <c r="C21" s="139" t="s">
        <v>1294</v>
      </c>
      <c r="D21" s="139" t="s">
        <v>1271</v>
      </c>
      <c r="G21" s="248">
        <v>-158</v>
      </c>
      <c r="H21" s="248">
        <v>2763.95</v>
      </c>
      <c r="J21" s="250">
        <f>G21/1000</f>
        <v>-0.158</v>
      </c>
      <c r="K21" s="250">
        <f t="shared" si="0"/>
        <v>0</v>
      </c>
    </row>
    <row r="22" spans="1:11" s="139" customFormat="1" x14ac:dyDescent="0.25">
      <c r="A22" s="247">
        <v>44927</v>
      </c>
      <c r="B22" s="139">
        <v>286724</v>
      </c>
      <c r="C22" s="139" t="s">
        <v>1295</v>
      </c>
      <c r="D22" s="139" t="s">
        <v>1271</v>
      </c>
      <c r="G22" s="248">
        <v>-3</v>
      </c>
      <c r="H22" s="139">
        <v>0</v>
      </c>
      <c r="J22" s="250">
        <f>G22/1000</f>
        <v>-3.0000000000000001E-3</v>
      </c>
      <c r="K22" s="250">
        <f t="shared" si="0"/>
        <v>0</v>
      </c>
    </row>
    <row r="24" spans="1:11" x14ac:dyDescent="0.25">
      <c r="A24" t="s">
        <v>845</v>
      </c>
      <c r="B24" t="s">
        <v>530</v>
      </c>
      <c r="C24">
        <v>112323</v>
      </c>
      <c r="D24" t="s">
        <v>100</v>
      </c>
      <c r="E24" t="s">
        <v>846</v>
      </c>
      <c r="F24" s="164">
        <v>6209.59</v>
      </c>
    </row>
    <row r="26" spans="1:11" x14ac:dyDescent="0.25">
      <c r="A26" t="s">
        <v>847</v>
      </c>
      <c r="B26" t="s">
        <v>848</v>
      </c>
      <c r="C26" t="s">
        <v>849</v>
      </c>
      <c r="D26" t="s">
        <v>850</v>
      </c>
      <c r="E26" t="s">
        <v>851</v>
      </c>
      <c r="F26" t="s">
        <v>811</v>
      </c>
      <c r="G26" t="s">
        <v>812</v>
      </c>
      <c r="H26" t="s">
        <v>813</v>
      </c>
    </row>
    <row r="27" spans="1:11" s="250" customFormat="1" x14ac:dyDescent="0.25">
      <c r="A27" s="249">
        <v>44957</v>
      </c>
      <c r="B27" s="250">
        <v>286306</v>
      </c>
      <c r="C27" s="250" t="s">
        <v>1290</v>
      </c>
      <c r="D27" s="250" t="s">
        <v>1271</v>
      </c>
      <c r="F27" s="250">
        <v>0</v>
      </c>
      <c r="H27" s="251">
        <v>6258.97</v>
      </c>
      <c r="J27" s="250">
        <f t="shared" si="1"/>
        <v>0</v>
      </c>
      <c r="K27" s="250">
        <f t="shared" si="0"/>
        <v>0</v>
      </c>
    </row>
    <row r="28" spans="1:11" s="250" customFormat="1" x14ac:dyDescent="0.25">
      <c r="A28" s="249">
        <v>44985</v>
      </c>
      <c r="B28" s="250">
        <v>288399</v>
      </c>
      <c r="C28" s="250" t="s">
        <v>1291</v>
      </c>
      <c r="D28" s="250" t="s">
        <v>1272</v>
      </c>
      <c r="F28" s="250">
        <v>0</v>
      </c>
      <c r="H28" s="251">
        <v>6299.53</v>
      </c>
      <c r="J28" s="250">
        <f t="shared" si="1"/>
        <v>0</v>
      </c>
      <c r="K28" s="250">
        <f t="shared" si="0"/>
        <v>0</v>
      </c>
    </row>
    <row r="29" spans="1:11" s="250" customFormat="1" x14ac:dyDescent="0.25">
      <c r="A29" s="249">
        <v>45016</v>
      </c>
      <c r="B29" s="250">
        <v>289415</v>
      </c>
      <c r="C29" s="250" t="s">
        <v>1292</v>
      </c>
      <c r="D29" s="250" t="s">
        <v>1273</v>
      </c>
      <c r="F29" s="250">
        <v>0</v>
      </c>
      <c r="H29" s="251">
        <v>6351.12</v>
      </c>
      <c r="J29" s="250">
        <f t="shared" si="1"/>
        <v>0</v>
      </c>
      <c r="K29" s="250">
        <f t="shared" si="0"/>
        <v>0</v>
      </c>
    </row>
    <row r="31" spans="1:11" x14ac:dyDescent="0.25">
      <c r="A31" t="s">
        <v>845</v>
      </c>
      <c r="B31" t="s">
        <v>314</v>
      </c>
      <c r="C31">
        <v>112325</v>
      </c>
      <c r="D31" t="s">
        <v>315</v>
      </c>
      <c r="E31" t="s">
        <v>846</v>
      </c>
      <c r="F31">
        <v>0</v>
      </c>
    </row>
    <row r="33" spans="1:11" x14ac:dyDescent="0.25">
      <c r="A33" t="s">
        <v>847</v>
      </c>
      <c r="B33" t="s">
        <v>848</v>
      </c>
      <c r="C33" t="s">
        <v>849</v>
      </c>
      <c r="D33" t="s">
        <v>850</v>
      </c>
      <c r="E33" t="s">
        <v>851</v>
      </c>
      <c r="F33" t="s">
        <v>811</v>
      </c>
      <c r="G33" t="s">
        <v>812</v>
      </c>
      <c r="H33" t="s">
        <v>813</v>
      </c>
    </row>
    <row r="34" spans="1:11" s="139" customFormat="1" x14ac:dyDescent="0.25">
      <c r="A34" s="247">
        <v>44927</v>
      </c>
      <c r="B34" s="139">
        <v>286724</v>
      </c>
      <c r="C34" s="139" t="s">
        <v>1295</v>
      </c>
      <c r="D34" s="139" t="s">
        <v>1271</v>
      </c>
      <c r="F34" s="248">
        <v>3</v>
      </c>
      <c r="H34" s="248">
        <v>2763.95</v>
      </c>
      <c r="J34" s="250">
        <f t="shared" si="1"/>
        <v>3.0000000000000001E-3</v>
      </c>
      <c r="K34" s="250">
        <f t="shared" si="0"/>
        <v>0</v>
      </c>
    </row>
    <row r="35" spans="1:11" s="250" customFormat="1" x14ac:dyDescent="0.25">
      <c r="A35" s="249">
        <v>44957</v>
      </c>
      <c r="B35" s="250">
        <v>286729</v>
      </c>
      <c r="C35" s="250" t="s">
        <v>1290</v>
      </c>
      <c r="D35" s="250" t="s">
        <v>1271</v>
      </c>
      <c r="F35" s="250">
        <v>0</v>
      </c>
      <c r="H35" s="251">
        <v>2794.91</v>
      </c>
      <c r="J35" s="250">
        <f t="shared" si="1"/>
        <v>0</v>
      </c>
      <c r="K35" s="250">
        <f t="shared" si="0"/>
        <v>0</v>
      </c>
    </row>
    <row r="36" spans="1:11" s="250" customFormat="1" x14ac:dyDescent="0.25">
      <c r="A36" s="249">
        <v>44985</v>
      </c>
      <c r="B36" s="250">
        <v>288408</v>
      </c>
      <c r="C36" s="250" t="s">
        <v>1291</v>
      </c>
      <c r="D36" s="250" t="s">
        <v>1272</v>
      </c>
      <c r="F36" s="250">
        <v>0</v>
      </c>
      <c r="H36" s="251">
        <v>2820.33</v>
      </c>
      <c r="J36" s="250">
        <f t="shared" si="1"/>
        <v>0</v>
      </c>
      <c r="K36" s="250">
        <f t="shared" si="0"/>
        <v>0</v>
      </c>
    </row>
    <row r="37" spans="1:11" s="250" customFormat="1" x14ac:dyDescent="0.25">
      <c r="A37" s="249">
        <v>45016</v>
      </c>
      <c r="B37" s="250">
        <v>289424</v>
      </c>
      <c r="C37" s="250" t="s">
        <v>1292</v>
      </c>
      <c r="D37" s="250" t="s">
        <v>1273</v>
      </c>
      <c r="F37" s="250">
        <v>0</v>
      </c>
      <c r="H37" s="251">
        <v>2854.7</v>
      </c>
      <c r="J37" s="250">
        <f t="shared" si="1"/>
        <v>0</v>
      </c>
      <c r="K37" s="250">
        <f t="shared" si="0"/>
        <v>0</v>
      </c>
    </row>
    <row r="38" spans="1:11" s="139" customFormat="1" x14ac:dyDescent="0.25">
      <c r="A38" s="247">
        <v>45016</v>
      </c>
      <c r="B38" s="139">
        <v>289436</v>
      </c>
      <c r="C38" s="139" t="s">
        <v>1296</v>
      </c>
      <c r="D38" s="139" t="s">
        <v>1273</v>
      </c>
      <c r="F38" s="139">
        <v>0</v>
      </c>
      <c r="H38" s="248">
        <v>3028.05</v>
      </c>
      <c r="J38" s="250">
        <f t="shared" si="1"/>
        <v>0</v>
      </c>
      <c r="K38" s="250">
        <f t="shared" si="0"/>
        <v>0</v>
      </c>
    </row>
    <row r="40" spans="1:11" x14ac:dyDescent="0.25">
      <c r="A40" t="s">
        <v>845</v>
      </c>
      <c r="B40" t="s">
        <v>316</v>
      </c>
      <c r="C40">
        <v>112327</v>
      </c>
      <c r="D40" t="s">
        <v>101</v>
      </c>
      <c r="E40" t="s">
        <v>846</v>
      </c>
      <c r="F40">
        <v>239.03</v>
      </c>
    </row>
    <row r="42" spans="1:11" x14ac:dyDescent="0.25">
      <c r="A42" t="s">
        <v>847</v>
      </c>
      <c r="B42" t="s">
        <v>848</v>
      </c>
      <c r="C42" t="s">
        <v>849</v>
      </c>
      <c r="D42" t="s">
        <v>850</v>
      </c>
      <c r="E42" t="s">
        <v>851</v>
      </c>
      <c r="F42" t="s">
        <v>811</v>
      </c>
      <c r="G42" t="s">
        <v>812</v>
      </c>
      <c r="H42" t="s">
        <v>813</v>
      </c>
    </row>
    <row r="43" spans="1:11" s="250" customFormat="1" x14ac:dyDescent="0.25">
      <c r="A43" s="249">
        <v>44957</v>
      </c>
      <c r="B43" s="250">
        <v>286308</v>
      </c>
      <c r="C43" s="250" t="s">
        <v>1290</v>
      </c>
      <c r="D43" s="250" t="s">
        <v>1271</v>
      </c>
      <c r="F43" s="250">
        <v>0</v>
      </c>
      <c r="H43" s="250">
        <v>241.34</v>
      </c>
      <c r="J43" s="250">
        <f t="shared" si="1"/>
        <v>0</v>
      </c>
      <c r="K43" s="250">
        <f t="shared" si="0"/>
        <v>0</v>
      </c>
    </row>
    <row r="44" spans="1:11" s="250" customFormat="1" x14ac:dyDescent="0.25">
      <c r="A44" s="249">
        <v>44985</v>
      </c>
      <c r="B44" s="250">
        <v>288401</v>
      </c>
      <c r="C44" s="250" t="s">
        <v>1291</v>
      </c>
      <c r="D44" s="250" t="s">
        <v>1272</v>
      </c>
      <c r="F44" s="250">
        <v>0</v>
      </c>
      <c r="H44" s="250">
        <v>243.23</v>
      </c>
      <c r="J44" s="250">
        <f t="shared" si="1"/>
        <v>0</v>
      </c>
      <c r="K44" s="250">
        <f t="shared" si="0"/>
        <v>0</v>
      </c>
    </row>
    <row r="45" spans="1:11" s="250" customFormat="1" x14ac:dyDescent="0.25">
      <c r="A45" s="249">
        <v>45016</v>
      </c>
      <c r="B45" s="250">
        <v>289417</v>
      </c>
      <c r="C45" s="250" t="s">
        <v>1292</v>
      </c>
      <c r="D45" s="250" t="s">
        <v>1273</v>
      </c>
      <c r="F45" s="250">
        <v>0</v>
      </c>
      <c r="H45" s="250">
        <v>245.64</v>
      </c>
      <c r="J45" s="250">
        <f t="shared" si="1"/>
        <v>0</v>
      </c>
      <c r="K45" s="250">
        <f t="shared" si="0"/>
        <v>0</v>
      </c>
    </row>
    <row r="47" spans="1:11" x14ac:dyDescent="0.25">
      <c r="A47" t="s">
        <v>845</v>
      </c>
      <c r="B47" t="s">
        <v>797</v>
      </c>
      <c r="C47">
        <v>112332</v>
      </c>
      <c r="D47" t="s">
        <v>1167</v>
      </c>
      <c r="E47" t="s">
        <v>846</v>
      </c>
      <c r="F47" s="164">
        <v>303457.43</v>
      </c>
    </row>
    <row r="49" spans="1:11" x14ac:dyDescent="0.25">
      <c r="A49" t="s">
        <v>847</v>
      </c>
      <c r="B49" t="s">
        <v>848</v>
      </c>
      <c r="C49" t="s">
        <v>849</v>
      </c>
      <c r="D49" t="s">
        <v>850</v>
      </c>
      <c r="E49" t="s">
        <v>851</v>
      </c>
      <c r="F49" t="s">
        <v>811</v>
      </c>
      <c r="G49" t="s">
        <v>812</v>
      </c>
      <c r="H49" t="s">
        <v>813</v>
      </c>
      <c r="J49" s="263"/>
      <c r="K49" s="263"/>
    </row>
    <row r="50" spans="1:11" s="250" customFormat="1" x14ac:dyDescent="0.25">
      <c r="A50" s="249">
        <v>44957</v>
      </c>
      <c r="B50" s="250">
        <v>286310</v>
      </c>
      <c r="C50" s="250" t="s">
        <v>1290</v>
      </c>
      <c r="D50" s="250" t="s">
        <v>1271</v>
      </c>
      <c r="F50" s="251">
        <v>3</v>
      </c>
      <c r="H50" s="251">
        <v>306499.34000000003</v>
      </c>
      <c r="J50" s="250">
        <f t="shared" si="1"/>
        <v>3.0000000000000001E-3</v>
      </c>
      <c r="K50" s="250">
        <f t="shared" si="0"/>
        <v>0</v>
      </c>
    </row>
    <row r="51" spans="1:11" s="250" customFormat="1" x14ac:dyDescent="0.25">
      <c r="A51" s="249">
        <v>44985</v>
      </c>
      <c r="B51" s="250">
        <v>288403</v>
      </c>
      <c r="C51" s="250" t="s">
        <v>1291</v>
      </c>
      <c r="D51" s="250" t="s">
        <v>1272</v>
      </c>
      <c r="F51" s="251">
        <v>2</v>
      </c>
      <c r="H51" s="251">
        <v>308998.05</v>
      </c>
      <c r="J51" s="250">
        <f t="shared" si="1"/>
        <v>2E-3</v>
      </c>
      <c r="K51" s="250">
        <f t="shared" si="0"/>
        <v>0</v>
      </c>
    </row>
    <row r="52" spans="1:11" s="250" customFormat="1" x14ac:dyDescent="0.25">
      <c r="A52" s="249">
        <v>45016</v>
      </c>
      <c r="B52" s="250">
        <v>289419</v>
      </c>
      <c r="C52" s="250" t="s">
        <v>1292</v>
      </c>
      <c r="D52" s="250" t="s">
        <v>1273</v>
      </c>
      <c r="F52" s="251">
        <v>3</v>
      </c>
      <c r="H52" s="251">
        <v>312175.75</v>
      </c>
      <c r="J52" s="250">
        <f t="shared" si="1"/>
        <v>3.0000000000000001E-3</v>
      </c>
      <c r="K52" s="250">
        <f t="shared" si="0"/>
        <v>0</v>
      </c>
    </row>
    <row r="54" spans="1:11" x14ac:dyDescent="0.25">
      <c r="A54" t="s">
        <v>845</v>
      </c>
      <c r="B54" t="s">
        <v>799</v>
      </c>
      <c r="C54">
        <v>112333</v>
      </c>
      <c r="D54" t="s">
        <v>1168</v>
      </c>
      <c r="E54" t="s">
        <v>846</v>
      </c>
      <c r="F54" s="164">
        <v>116319.94</v>
      </c>
    </row>
    <row r="56" spans="1:11" x14ac:dyDescent="0.25">
      <c r="A56" t="s">
        <v>847</v>
      </c>
      <c r="B56" t="s">
        <v>848</v>
      </c>
      <c r="C56" t="s">
        <v>849</v>
      </c>
      <c r="D56" t="s">
        <v>850</v>
      </c>
      <c r="E56" t="s">
        <v>851</v>
      </c>
      <c r="F56" t="s">
        <v>811</v>
      </c>
      <c r="G56" t="s">
        <v>812</v>
      </c>
      <c r="H56" t="s">
        <v>813</v>
      </c>
    </row>
    <row r="57" spans="1:11" s="250" customFormat="1" x14ac:dyDescent="0.25">
      <c r="A57" s="249">
        <v>44957</v>
      </c>
      <c r="B57" s="250">
        <v>286311</v>
      </c>
      <c r="C57" s="250" t="s">
        <v>1290</v>
      </c>
      <c r="D57" s="250" t="s">
        <v>1271</v>
      </c>
      <c r="F57" s="251">
        <v>1</v>
      </c>
      <c r="H57" s="251">
        <v>117485.95</v>
      </c>
      <c r="J57" s="250">
        <f t="shared" si="1"/>
        <v>1E-3</v>
      </c>
      <c r="K57" s="250">
        <f t="shared" si="0"/>
        <v>0</v>
      </c>
    </row>
    <row r="58" spans="1:11" s="250" customFormat="1" x14ac:dyDescent="0.25">
      <c r="A58" s="249">
        <v>44985</v>
      </c>
      <c r="B58" s="250">
        <v>288404</v>
      </c>
      <c r="C58" s="250" t="s">
        <v>1291</v>
      </c>
      <c r="D58" s="250" t="s">
        <v>1272</v>
      </c>
      <c r="F58" s="250">
        <v>1</v>
      </c>
      <c r="H58" s="251">
        <v>118443.74</v>
      </c>
      <c r="J58" s="250">
        <f t="shared" si="1"/>
        <v>1E-3</v>
      </c>
      <c r="K58" s="250">
        <f t="shared" si="0"/>
        <v>0</v>
      </c>
    </row>
    <row r="59" spans="1:11" s="250" customFormat="1" x14ac:dyDescent="0.25">
      <c r="A59" s="249">
        <v>45016</v>
      </c>
      <c r="B59" s="250">
        <v>289420</v>
      </c>
      <c r="C59" s="250" t="s">
        <v>1292</v>
      </c>
      <c r="D59" s="250" t="s">
        <v>1273</v>
      </c>
      <c r="F59" s="251">
        <v>1</v>
      </c>
      <c r="H59" s="251">
        <v>119661.8</v>
      </c>
      <c r="J59" s="250">
        <f t="shared" si="1"/>
        <v>1E-3</v>
      </c>
      <c r="K59" s="250">
        <f t="shared" si="0"/>
        <v>0</v>
      </c>
    </row>
    <row r="61" spans="1:11" x14ac:dyDescent="0.25">
      <c r="A61" t="s">
        <v>845</v>
      </c>
      <c r="B61" t="s">
        <v>801</v>
      </c>
      <c r="C61">
        <v>112334</v>
      </c>
      <c r="D61" t="s">
        <v>802</v>
      </c>
      <c r="E61" t="s">
        <v>846</v>
      </c>
      <c r="F61" s="164">
        <v>1894.97</v>
      </c>
    </row>
    <row r="63" spans="1:11" x14ac:dyDescent="0.25">
      <c r="A63" t="s">
        <v>847</v>
      </c>
      <c r="B63" t="s">
        <v>848</v>
      </c>
      <c r="C63" t="s">
        <v>849</v>
      </c>
      <c r="D63" t="s">
        <v>850</v>
      </c>
      <c r="E63" t="s">
        <v>851</v>
      </c>
      <c r="F63" t="s">
        <v>811</v>
      </c>
      <c r="G63" t="s">
        <v>812</v>
      </c>
      <c r="H63" t="s">
        <v>813</v>
      </c>
    </row>
    <row r="64" spans="1:11" s="250" customFormat="1" x14ac:dyDescent="0.25">
      <c r="A64" s="249">
        <v>44957</v>
      </c>
      <c r="B64" s="250">
        <v>286307</v>
      </c>
      <c r="C64" s="250" t="s">
        <v>1290</v>
      </c>
      <c r="D64" s="250" t="s">
        <v>1271</v>
      </c>
      <c r="F64" s="250">
        <v>0</v>
      </c>
      <c r="H64" s="251">
        <v>1915.7</v>
      </c>
      <c r="J64" s="250">
        <f t="shared" si="1"/>
        <v>0</v>
      </c>
      <c r="K64" s="250">
        <f t="shared" si="0"/>
        <v>0</v>
      </c>
    </row>
    <row r="65" spans="1:11" s="250" customFormat="1" x14ac:dyDescent="0.25">
      <c r="A65" s="249">
        <v>44985</v>
      </c>
      <c r="B65" s="250">
        <v>288400</v>
      </c>
      <c r="C65" s="250" t="s">
        <v>1291</v>
      </c>
      <c r="D65" s="250" t="s">
        <v>1272</v>
      </c>
      <c r="F65" s="250">
        <v>0</v>
      </c>
      <c r="H65" s="251">
        <v>1932.73</v>
      </c>
      <c r="J65" s="250">
        <f t="shared" si="1"/>
        <v>0</v>
      </c>
      <c r="K65" s="250">
        <f t="shared" si="0"/>
        <v>0</v>
      </c>
    </row>
    <row r="66" spans="1:11" s="250" customFormat="1" x14ac:dyDescent="0.25">
      <c r="A66" s="249">
        <v>45016</v>
      </c>
      <c r="B66" s="250">
        <v>289416</v>
      </c>
      <c r="C66" s="250" t="s">
        <v>1292</v>
      </c>
      <c r="D66" s="250" t="s">
        <v>1273</v>
      </c>
      <c r="F66" s="250">
        <v>0</v>
      </c>
      <c r="H66" s="251">
        <v>1954.4</v>
      </c>
      <c r="J66" s="250">
        <f t="shared" si="1"/>
        <v>0</v>
      </c>
      <c r="K66" s="250">
        <f t="shared" si="0"/>
        <v>0</v>
      </c>
    </row>
    <row r="68" spans="1:11" x14ac:dyDescent="0.25">
      <c r="A68" t="s">
        <v>845</v>
      </c>
      <c r="B68" t="s">
        <v>1169</v>
      </c>
      <c r="C68">
        <v>112336</v>
      </c>
      <c r="D68" t="s">
        <v>1170</v>
      </c>
      <c r="E68" t="s">
        <v>846</v>
      </c>
      <c r="F68">
        <v>0</v>
      </c>
    </row>
    <row r="70" spans="1:11" x14ac:dyDescent="0.25">
      <c r="A70" t="s">
        <v>847</v>
      </c>
      <c r="B70" t="s">
        <v>848</v>
      </c>
      <c r="C70" t="s">
        <v>849</v>
      </c>
      <c r="D70" t="s">
        <v>850</v>
      </c>
      <c r="E70" t="s">
        <v>851</v>
      </c>
      <c r="F70" t="s">
        <v>811</v>
      </c>
      <c r="G70" t="s">
        <v>812</v>
      </c>
      <c r="H70" t="s">
        <v>813</v>
      </c>
    </row>
    <row r="71" spans="1:11" s="139" customFormat="1" x14ac:dyDescent="0.25">
      <c r="A71" s="247">
        <v>44927</v>
      </c>
      <c r="B71" s="139">
        <v>286313</v>
      </c>
      <c r="C71" s="139" t="s">
        <v>1293</v>
      </c>
      <c r="D71" s="139" t="s">
        <v>1271</v>
      </c>
      <c r="F71" s="248">
        <v>668</v>
      </c>
      <c r="H71" s="248">
        <v>668444.49</v>
      </c>
      <c r="J71" s="250">
        <f t="shared" ref="J71:J100" si="2">F71/1000</f>
        <v>0.66800000000000004</v>
      </c>
      <c r="K71" s="250">
        <f t="shared" ref="K71:K100" si="3">ROUND(J71,0)</f>
        <v>1</v>
      </c>
    </row>
    <row r="72" spans="1:11" s="250" customFormat="1" x14ac:dyDescent="0.25">
      <c r="A72" s="249">
        <v>44957</v>
      </c>
      <c r="B72" s="250">
        <v>286315</v>
      </c>
      <c r="C72" s="250" t="s">
        <v>1290</v>
      </c>
      <c r="D72" s="250" t="s">
        <v>1271</v>
      </c>
      <c r="F72" s="251">
        <v>7</v>
      </c>
      <c r="H72" s="251">
        <v>675931.07</v>
      </c>
      <c r="J72" s="250">
        <f t="shared" si="2"/>
        <v>7.0000000000000001E-3</v>
      </c>
      <c r="K72" s="250">
        <f t="shared" si="3"/>
        <v>0</v>
      </c>
    </row>
    <row r="73" spans="1:11" s="250" customFormat="1" x14ac:dyDescent="0.25">
      <c r="A73" s="249">
        <v>44985</v>
      </c>
      <c r="B73" s="250">
        <v>288406</v>
      </c>
      <c r="C73" s="250" t="s">
        <v>1291</v>
      </c>
      <c r="D73" s="250" t="s">
        <v>1272</v>
      </c>
      <c r="F73" s="251">
        <v>6</v>
      </c>
      <c r="H73" s="251">
        <v>682080.76</v>
      </c>
      <c r="J73" s="250">
        <f t="shared" si="2"/>
        <v>6.0000000000000001E-3</v>
      </c>
      <c r="K73" s="250">
        <f t="shared" si="3"/>
        <v>0</v>
      </c>
    </row>
    <row r="74" spans="1:11" s="250" customFormat="1" x14ac:dyDescent="0.25">
      <c r="A74" s="249">
        <v>45016</v>
      </c>
      <c r="B74" s="250">
        <v>289422</v>
      </c>
      <c r="C74" s="250" t="s">
        <v>1292</v>
      </c>
      <c r="D74" s="250" t="s">
        <v>1273</v>
      </c>
      <c r="F74" s="251">
        <v>8</v>
      </c>
      <c r="H74" s="251">
        <v>689901.56</v>
      </c>
      <c r="J74" s="250">
        <f t="shared" si="2"/>
        <v>8.0000000000000002E-3</v>
      </c>
      <c r="K74" s="250">
        <f t="shared" si="3"/>
        <v>0</v>
      </c>
    </row>
    <row r="76" spans="1:11" x14ac:dyDescent="0.25">
      <c r="A76" t="s">
        <v>845</v>
      </c>
      <c r="B76" t="s">
        <v>1171</v>
      </c>
      <c r="C76">
        <v>112337</v>
      </c>
      <c r="D76" t="s">
        <v>1172</v>
      </c>
      <c r="E76" t="s">
        <v>846</v>
      </c>
      <c r="F76">
        <v>0</v>
      </c>
    </row>
    <row r="78" spans="1:11" x14ac:dyDescent="0.25">
      <c r="A78" t="s">
        <v>847</v>
      </c>
      <c r="B78" t="s">
        <v>848</v>
      </c>
      <c r="C78" t="s">
        <v>849</v>
      </c>
      <c r="D78" t="s">
        <v>850</v>
      </c>
      <c r="E78" t="s">
        <v>851</v>
      </c>
      <c r="F78" t="s">
        <v>811</v>
      </c>
      <c r="G78" t="s">
        <v>812</v>
      </c>
      <c r="H78" t="s">
        <v>813</v>
      </c>
    </row>
    <row r="79" spans="1:11" s="139" customFormat="1" x14ac:dyDescent="0.25">
      <c r="A79" s="247">
        <v>44927</v>
      </c>
      <c r="B79" s="139">
        <v>286314</v>
      </c>
      <c r="C79" s="139" t="s">
        <v>1293</v>
      </c>
      <c r="D79" s="139" t="s">
        <v>1271</v>
      </c>
      <c r="F79" s="248">
        <v>268</v>
      </c>
      <c r="H79" s="248">
        <v>267519.28000000003</v>
      </c>
      <c r="J79" s="250">
        <f t="shared" si="2"/>
        <v>0.26800000000000002</v>
      </c>
      <c r="K79" s="250">
        <f t="shared" si="3"/>
        <v>0</v>
      </c>
    </row>
    <row r="80" spans="1:11" s="250" customFormat="1" x14ac:dyDescent="0.25">
      <c r="A80" s="249">
        <v>44957</v>
      </c>
      <c r="B80" s="250">
        <v>286316</v>
      </c>
      <c r="C80" s="250" t="s">
        <v>1290</v>
      </c>
      <c r="D80" s="250" t="s">
        <v>1271</v>
      </c>
      <c r="F80" s="251">
        <v>3</v>
      </c>
      <c r="H80" s="251">
        <v>270515.5</v>
      </c>
      <c r="J80" s="250">
        <f t="shared" si="2"/>
        <v>3.0000000000000001E-3</v>
      </c>
      <c r="K80" s="250">
        <f t="shared" si="3"/>
        <v>0</v>
      </c>
    </row>
    <row r="81" spans="1:11" s="250" customFormat="1" x14ac:dyDescent="0.25">
      <c r="A81" s="249">
        <v>44985</v>
      </c>
      <c r="B81" s="250">
        <v>288407</v>
      </c>
      <c r="C81" s="250" t="s">
        <v>1291</v>
      </c>
      <c r="D81" s="250" t="s">
        <v>1272</v>
      </c>
      <c r="F81" s="251">
        <v>2</v>
      </c>
      <c r="H81" s="251">
        <v>272976.67</v>
      </c>
      <c r="J81" s="250">
        <f t="shared" si="2"/>
        <v>2E-3</v>
      </c>
      <c r="K81" s="250">
        <f t="shared" si="3"/>
        <v>0</v>
      </c>
    </row>
    <row r="82" spans="1:11" s="250" customFormat="1" x14ac:dyDescent="0.25">
      <c r="A82" s="249">
        <v>45016</v>
      </c>
      <c r="B82" s="250">
        <v>289423</v>
      </c>
      <c r="C82" s="250" t="s">
        <v>1292</v>
      </c>
      <c r="D82" s="250" t="s">
        <v>1273</v>
      </c>
      <c r="F82" s="251">
        <v>3</v>
      </c>
      <c r="H82" s="251">
        <v>276106.65000000002</v>
      </c>
      <c r="J82" s="250">
        <f t="shared" si="2"/>
        <v>3.0000000000000001E-3</v>
      </c>
      <c r="K82" s="250">
        <f t="shared" si="3"/>
        <v>0</v>
      </c>
    </row>
    <row r="83" spans="1:11" s="253" customFormat="1" x14ac:dyDescent="0.25">
      <c r="A83" s="252"/>
      <c r="F83" s="254"/>
      <c r="H83" s="254"/>
      <c r="J83"/>
      <c r="K83"/>
    </row>
    <row r="84" spans="1:11" x14ac:dyDescent="0.25">
      <c r="A84" t="s">
        <v>845</v>
      </c>
      <c r="B84" t="s">
        <v>544</v>
      </c>
      <c r="C84">
        <v>12131</v>
      </c>
      <c r="D84" t="s">
        <v>114</v>
      </c>
      <c r="E84" t="s">
        <v>846</v>
      </c>
      <c r="F84" s="164">
        <v>21320.17</v>
      </c>
    </row>
    <row r="86" spans="1:11" x14ac:dyDescent="0.25">
      <c r="A86" t="s">
        <v>847</v>
      </c>
      <c r="B86" t="s">
        <v>848</v>
      </c>
      <c r="C86" t="s">
        <v>849</v>
      </c>
      <c r="D86" t="s">
        <v>850</v>
      </c>
      <c r="E86" t="s">
        <v>851</v>
      </c>
      <c r="F86" t="s">
        <v>811</v>
      </c>
      <c r="G86" t="s">
        <v>812</v>
      </c>
      <c r="H86" t="s">
        <v>813</v>
      </c>
    </row>
    <row r="87" spans="1:11" s="250" customFormat="1" x14ac:dyDescent="0.25">
      <c r="A87" s="249">
        <v>44957</v>
      </c>
      <c r="B87" s="250">
        <v>286309</v>
      </c>
      <c r="C87" s="250" t="s">
        <v>1290</v>
      </c>
      <c r="D87" s="250" t="s">
        <v>1271</v>
      </c>
      <c r="F87" s="250">
        <v>0</v>
      </c>
      <c r="H87" s="251">
        <v>21513.99</v>
      </c>
      <c r="J87" s="250">
        <f t="shared" si="2"/>
        <v>0</v>
      </c>
      <c r="K87" s="250">
        <f t="shared" si="3"/>
        <v>0</v>
      </c>
    </row>
    <row r="88" spans="1:11" s="250" customFormat="1" x14ac:dyDescent="0.25">
      <c r="A88" s="249">
        <v>44985</v>
      </c>
      <c r="B88" s="250">
        <v>288402</v>
      </c>
      <c r="C88" s="250" t="s">
        <v>1291</v>
      </c>
      <c r="D88" s="250" t="s">
        <v>1272</v>
      </c>
      <c r="F88" s="250">
        <v>0</v>
      </c>
      <c r="H88" s="251">
        <v>21673.200000000001</v>
      </c>
      <c r="J88" s="250">
        <f t="shared" si="2"/>
        <v>0</v>
      </c>
      <c r="K88" s="250">
        <f t="shared" si="3"/>
        <v>0</v>
      </c>
    </row>
    <row r="89" spans="1:11" s="250" customFormat="1" x14ac:dyDescent="0.25">
      <c r="A89" s="249">
        <v>45016</v>
      </c>
      <c r="B89" s="250">
        <v>289418</v>
      </c>
      <c r="C89" s="250" t="s">
        <v>1292</v>
      </c>
      <c r="D89" s="250" t="s">
        <v>1273</v>
      </c>
      <c r="F89" s="250">
        <v>0</v>
      </c>
      <c r="H89" s="251">
        <v>21875.67</v>
      </c>
      <c r="J89" s="250">
        <f t="shared" si="2"/>
        <v>0</v>
      </c>
      <c r="K89" s="250">
        <f t="shared" si="3"/>
        <v>0</v>
      </c>
    </row>
    <row r="91" spans="1:11" x14ac:dyDescent="0.25">
      <c r="A91" t="s">
        <v>845</v>
      </c>
      <c r="B91" t="s">
        <v>545</v>
      </c>
      <c r="C91">
        <v>12134</v>
      </c>
      <c r="D91" t="s">
        <v>115</v>
      </c>
      <c r="E91" t="s">
        <v>846</v>
      </c>
      <c r="F91" s="164">
        <v>4640.58</v>
      </c>
    </row>
    <row r="93" spans="1:11" x14ac:dyDescent="0.25">
      <c r="A93" t="s">
        <v>847</v>
      </c>
      <c r="B93" t="s">
        <v>848</v>
      </c>
      <c r="C93" t="s">
        <v>849</v>
      </c>
      <c r="D93" t="s">
        <v>850</v>
      </c>
      <c r="E93" t="s">
        <v>851</v>
      </c>
      <c r="F93" t="s">
        <v>811</v>
      </c>
      <c r="G93" t="s">
        <v>812</v>
      </c>
      <c r="H93" t="s">
        <v>813</v>
      </c>
    </row>
    <row r="94" spans="1:11" x14ac:dyDescent="0.25">
      <c r="C94" t="s">
        <v>1297</v>
      </c>
    </row>
    <row r="95" spans="1:11" x14ac:dyDescent="0.25">
      <c r="A95" t="s">
        <v>845</v>
      </c>
      <c r="B95" t="s">
        <v>546</v>
      </c>
      <c r="C95">
        <v>12135</v>
      </c>
      <c r="D95" t="s">
        <v>116</v>
      </c>
      <c r="E95" t="s">
        <v>846</v>
      </c>
      <c r="F95" s="164">
        <v>137775.38</v>
      </c>
    </row>
    <row r="97" spans="1:11" x14ac:dyDescent="0.25">
      <c r="A97" t="s">
        <v>847</v>
      </c>
      <c r="B97" t="s">
        <v>848</v>
      </c>
      <c r="C97" t="s">
        <v>849</v>
      </c>
      <c r="D97" t="s">
        <v>850</v>
      </c>
      <c r="E97" t="s">
        <v>851</v>
      </c>
      <c r="F97" t="s">
        <v>811</v>
      </c>
      <c r="G97" t="s">
        <v>812</v>
      </c>
      <c r="H97" t="s">
        <v>813</v>
      </c>
    </row>
    <row r="98" spans="1:11" s="250" customFormat="1" x14ac:dyDescent="0.25">
      <c r="A98" s="249">
        <v>44957</v>
      </c>
      <c r="B98" s="250">
        <v>286312</v>
      </c>
      <c r="C98" s="250" t="s">
        <v>1290</v>
      </c>
      <c r="D98" s="250" t="s">
        <v>1271</v>
      </c>
      <c r="F98" s="251">
        <v>1</v>
      </c>
      <c r="H98" s="251">
        <v>139094.76</v>
      </c>
      <c r="J98" s="250">
        <f t="shared" si="2"/>
        <v>1E-3</v>
      </c>
      <c r="K98" s="250">
        <f t="shared" si="3"/>
        <v>0</v>
      </c>
    </row>
    <row r="99" spans="1:11" s="250" customFormat="1" x14ac:dyDescent="0.25">
      <c r="A99" s="249">
        <v>44985</v>
      </c>
      <c r="B99" s="250">
        <v>288405</v>
      </c>
      <c r="C99" s="250" t="s">
        <v>1291</v>
      </c>
      <c r="D99" s="250" t="s">
        <v>1272</v>
      </c>
      <c r="F99" s="251">
        <v>1</v>
      </c>
      <c r="H99" s="251">
        <v>140178.54</v>
      </c>
      <c r="J99" s="250">
        <f t="shared" si="2"/>
        <v>1E-3</v>
      </c>
      <c r="K99" s="250">
        <f t="shared" si="3"/>
        <v>0</v>
      </c>
    </row>
    <row r="100" spans="1:11" s="250" customFormat="1" x14ac:dyDescent="0.25">
      <c r="A100" s="249">
        <v>45016</v>
      </c>
      <c r="B100" s="250">
        <v>289421</v>
      </c>
      <c r="C100" s="250" t="s">
        <v>1292</v>
      </c>
      <c r="D100" s="250" t="s">
        <v>1273</v>
      </c>
      <c r="F100" s="251">
        <v>1</v>
      </c>
      <c r="H100" s="251">
        <v>141556.82</v>
      </c>
      <c r="J100" s="250">
        <f t="shared" si="2"/>
        <v>1E-3</v>
      </c>
      <c r="K100" s="250">
        <f t="shared" si="3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1"/>
  <sheetViews>
    <sheetView workbookViewId="0">
      <selection activeCell="D4" sqref="D4:G11"/>
    </sheetView>
  </sheetViews>
  <sheetFormatPr defaultRowHeight="15" x14ac:dyDescent="0.25"/>
  <cols>
    <col min="4" max="4" width="25.42578125" customWidth="1"/>
    <col min="5" max="5" width="15.42578125" customWidth="1"/>
    <col min="6" max="6" width="12.7109375" customWidth="1"/>
    <col min="7" max="7" width="10.5703125" bestFit="1" customWidth="1"/>
  </cols>
  <sheetData>
    <row r="3" spans="4:7" ht="15.75" thickBot="1" x14ac:dyDescent="0.3"/>
    <row r="4" spans="4:7" s="144" customFormat="1" x14ac:dyDescent="0.25">
      <c r="D4" s="266" t="s">
        <v>266</v>
      </c>
      <c r="E4" s="267" t="s">
        <v>1304</v>
      </c>
      <c r="F4" s="267" t="s">
        <v>1305</v>
      </c>
      <c r="G4" s="268" t="s">
        <v>1306</v>
      </c>
    </row>
    <row r="5" spans="4:7" x14ac:dyDescent="0.25">
      <c r="D5" s="269" t="s">
        <v>1302</v>
      </c>
      <c r="E5" s="265">
        <v>40892</v>
      </c>
      <c r="F5" s="265">
        <v>40897</v>
      </c>
      <c r="G5" s="270">
        <f>F5-E5</f>
        <v>5</v>
      </c>
    </row>
    <row r="6" spans="4:7" x14ac:dyDescent="0.25">
      <c r="D6" s="269" t="s">
        <v>112</v>
      </c>
      <c r="E6" s="265">
        <v>14830</v>
      </c>
      <c r="F6" s="265">
        <v>14957</v>
      </c>
      <c r="G6" s="270">
        <f>F6-E6</f>
        <v>127</v>
      </c>
    </row>
    <row r="7" spans="4:7" s="144" customFormat="1" ht="15.75" thickBot="1" x14ac:dyDescent="0.3">
      <c r="D7" s="277" t="s">
        <v>1303</v>
      </c>
      <c r="E7" s="278">
        <f>SUM(E5:E6)</f>
        <v>55722</v>
      </c>
      <c r="F7" s="278">
        <f>SUM(F5:F6)</f>
        <v>55854</v>
      </c>
      <c r="G7" s="279">
        <f>F7-E7</f>
        <v>132</v>
      </c>
    </row>
    <row r="8" spans="4:7" x14ac:dyDescent="0.25">
      <c r="D8" s="274" t="s">
        <v>1307</v>
      </c>
      <c r="E8" s="275">
        <v>20123</v>
      </c>
      <c r="F8" s="275">
        <v>17142</v>
      </c>
      <c r="G8" s="276">
        <f>F8-E8</f>
        <v>-2981</v>
      </c>
    </row>
    <row r="9" spans="4:7" x14ac:dyDescent="0.25">
      <c r="D9" s="269" t="s">
        <v>179</v>
      </c>
      <c r="E9" s="265">
        <v>7074</v>
      </c>
      <c r="F9" s="265">
        <v>11387</v>
      </c>
      <c r="G9" s="280">
        <f t="shared" ref="G9:G11" si="0">F9-E9</f>
        <v>4313</v>
      </c>
    </row>
    <row r="10" spans="4:7" x14ac:dyDescent="0.25">
      <c r="D10" s="269" t="s">
        <v>183</v>
      </c>
      <c r="E10" s="265">
        <v>28525</v>
      </c>
      <c r="F10" s="265">
        <v>27325</v>
      </c>
      <c r="G10" s="280">
        <f t="shared" si="0"/>
        <v>-1200</v>
      </c>
    </row>
    <row r="11" spans="4:7" ht="15.75" thickBot="1" x14ac:dyDescent="0.3">
      <c r="D11" s="271" t="s">
        <v>1303</v>
      </c>
      <c r="E11" s="272">
        <f>SUM(E8:E10)</f>
        <v>55722</v>
      </c>
      <c r="F11" s="272">
        <f>SUM(F8:F10)</f>
        <v>55854</v>
      </c>
      <c r="G11" s="273">
        <f t="shared" si="0"/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0"/>
  <sheetViews>
    <sheetView showGridLines="0" topLeftCell="D166" workbookViewId="0">
      <selection activeCell="L208" sqref="L208"/>
    </sheetView>
  </sheetViews>
  <sheetFormatPr defaultRowHeight="15" x14ac:dyDescent="0.25"/>
  <cols>
    <col min="1" max="1" width="38.140625" bestFit="1" customWidth="1"/>
    <col min="2" max="2" width="22.5703125" bestFit="1" customWidth="1"/>
    <col min="3" max="3" width="65.28515625" customWidth="1"/>
    <col min="4" max="4" width="24.85546875" bestFit="1" customWidth="1"/>
    <col min="5" max="5" width="8.42578125" bestFit="1" customWidth="1"/>
    <col min="6" max="6" width="22.85546875" bestFit="1" customWidth="1"/>
    <col min="7" max="7" width="18.85546875" bestFit="1" customWidth="1"/>
    <col min="8" max="8" width="10.85546875" bestFit="1" customWidth="1"/>
    <col min="9" max="9" width="18.85546875" bestFit="1" customWidth="1"/>
    <col min="10" max="10" width="10.85546875" bestFit="1" customWidth="1"/>
  </cols>
  <sheetData>
    <row r="1" spans="1:9" x14ac:dyDescent="0.25">
      <c r="A1" t="s">
        <v>834</v>
      </c>
      <c r="B1" t="s">
        <v>835</v>
      </c>
      <c r="C1" t="s">
        <v>836</v>
      </c>
      <c r="D1" t="s">
        <v>837</v>
      </c>
      <c r="E1" t="s">
        <v>838</v>
      </c>
      <c r="F1" t="s">
        <v>839</v>
      </c>
      <c r="G1" t="s">
        <v>840</v>
      </c>
      <c r="H1" t="s">
        <v>841</v>
      </c>
      <c r="I1" t="s">
        <v>842</v>
      </c>
    </row>
    <row r="2" spans="1:9" x14ac:dyDescent="0.25">
      <c r="A2" t="s">
        <v>843</v>
      </c>
    </row>
    <row r="4" spans="1:9" ht="15.75" x14ac:dyDescent="0.25">
      <c r="A4" s="708" t="s">
        <v>844</v>
      </c>
      <c r="B4" s="708"/>
      <c r="C4" s="708"/>
      <c r="D4" s="169"/>
      <c r="E4" s="170"/>
      <c r="F4" s="171"/>
      <c r="G4" s="170"/>
      <c r="H4" s="170"/>
      <c r="I4" s="170"/>
    </row>
    <row r="5" spans="1:9" x14ac:dyDescent="0.25">
      <c r="A5" s="173" t="s">
        <v>845</v>
      </c>
      <c r="B5" s="173" t="s">
        <v>529</v>
      </c>
      <c r="C5" s="173">
        <v>11239</v>
      </c>
      <c r="D5" s="174" t="s">
        <v>98</v>
      </c>
      <c r="E5" s="173" t="s">
        <v>846</v>
      </c>
      <c r="F5" s="175">
        <v>1268.54</v>
      </c>
      <c r="G5" s="173"/>
      <c r="H5" s="173"/>
      <c r="I5" s="173"/>
    </row>
    <row r="6" spans="1:9" x14ac:dyDescent="0.25">
      <c r="A6" s="176">
        <v>44217</v>
      </c>
      <c r="B6" s="170">
        <v>264949</v>
      </c>
      <c r="C6" s="170" t="s">
        <v>933</v>
      </c>
      <c r="D6" s="177" t="s">
        <v>934</v>
      </c>
      <c r="E6" s="170"/>
      <c r="F6" s="171" t="s">
        <v>935</v>
      </c>
      <c r="G6" s="170">
        <v>1.9</v>
      </c>
      <c r="H6" s="178"/>
      <c r="I6" s="178">
        <v>1270.44</v>
      </c>
    </row>
    <row r="7" spans="1:9" x14ac:dyDescent="0.25">
      <c r="A7" s="176">
        <v>44255</v>
      </c>
      <c r="B7" s="170">
        <v>266401</v>
      </c>
      <c r="C7" s="170" t="s">
        <v>936</v>
      </c>
      <c r="D7" s="177" t="s">
        <v>937</v>
      </c>
      <c r="E7" s="170"/>
      <c r="F7" s="171" t="s">
        <v>935</v>
      </c>
      <c r="G7" s="170">
        <v>1.71</v>
      </c>
      <c r="H7" s="178"/>
      <c r="I7" s="178">
        <v>1272.1500000000001</v>
      </c>
    </row>
    <row r="8" spans="1:9" x14ac:dyDescent="0.25">
      <c r="A8" s="176">
        <v>44286</v>
      </c>
      <c r="B8" s="170">
        <v>267093</v>
      </c>
      <c r="C8" s="170" t="s">
        <v>938</v>
      </c>
      <c r="D8" s="177" t="s">
        <v>939</v>
      </c>
      <c r="E8" s="170"/>
      <c r="F8" s="171" t="s">
        <v>935</v>
      </c>
      <c r="G8" s="178">
        <v>2.42</v>
      </c>
      <c r="H8" s="170"/>
      <c r="I8" s="178">
        <v>1274.57</v>
      </c>
    </row>
    <row r="9" spans="1:9" x14ac:dyDescent="0.25">
      <c r="A9" s="176">
        <v>44316</v>
      </c>
      <c r="B9" s="170">
        <v>267758</v>
      </c>
      <c r="C9" s="170" t="s">
        <v>940</v>
      </c>
      <c r="D9" s="177" t="s">
        <v>941</v>
      </c>
      <c r="E9" s="170"/>
      <c r="F9" s="171" t="s">
        <v>935</v>
      </c>
      <c r="G9" s="178">
        <v>2.52</v>
      </c>
      <c r="H9" s="170"/>
      <c r="I9" s="178">
        <v>1277.0899999999999</v>
      </c>
    </row>
    <row r="10" spans="1:9" x14ac:dyDescent="0.25">
      <c r="A10" s="176">
        <v>44347</v>
      </c>
      <c r="B10" s="170">
        <v>268258</v>
      </c>
      <c r="C10" s="170" t="s">
        <v>942</v>
      </c>
      <c r="D10" s="177" t="s">
        <v>943</v>
      </c>
      <c r="E10" s="170"/>
      <c r="F10" s="171" t="s">
        <v>935</v>
      </c>
      <c r="G10" s="170">
        <v>3.28</v>
      </c>
      <c r="H10" s="178"/>
      <c r="I10" s="178">
        <v>1280.3699999999999</v>
      </c>
    </row>
    <row r="11" spans="1:9" x14ac:dyDescent="0.25">
      <c r="A11" s="176">
        <v>44377</v>
      </c>
      <c r="B11" s="170">
        <v>268539</v>
      </c>
      <c r="C11" s="170" t="s">
        <v>944</v>
      </c>
      <c r="D11" s="169" t="s">
        <v>860</v>
      </c>
      <c r="E11" s="170"/>
      <c r="F11" s="171" t="s">
        <v>935</v>
      </c>
      <c r="G11" s="170">
        <v>3.73</v>
      </c>
      <c r="H11" s="178"/>
      <c r="I11" s="178">
        <v>1284.0999999999999</v>
      </c>
    </row>
    <row r="12" spans="1:9" x14ac:dyDescent="0.25">
      <c r="A12" s="176">
        <v>44408</v>
      </c>
      <c r="B12" s="170">
        <v>269095</v>
      </c>
      <c r="C12" s="170" t="s">
        <v>945</v>
      </c>
      <c r="D12" s="169" t="s">
        <v>872</v>
      </c>
      <c r="E12" s="170"/>
      <c r="F12" s="171" t="s">
        <v>935</v>
      </c>
      <c r="G12" s="178">
        <v>4.57</v>
      </c>
      <c r="H12" s="170"/>
      <c r="I12" s="178">
        <v>1288.67</v>
      </c>
    </row>
    <row r="13" spans="1:9" x14ac:dyDescent="0.25">
      <c r="A13" s="176">
        <v>44439</v>
      </c>
      <c r="B13" s="170">
        <v>269619</v>
      </c>
      <c r="C13" s="170" t="s">
        <v>946</v>
      </c>
      <c r="D13" s="169" t="s">
        <v>874</v>
      </c>
      <c r="E13" s="170"/>
      <c r="F13" s="171" t="s">
        <v>935</v>
      </c>
      <c r="G13" s="170">
        <v>5.26</v>
      </c>
      <c r="H13" s="178"/>
      <c r="I13" s="178">
        <v>1293.93</v>
      </c>
    </row>
    <row r="14" spans="1:9" x14ac:dyDescent="0.25">
      <c r="A14" s="176">
        <v>44469</v>
      </c>
      <c r="B14" s="170">
        <v>270259</v>
      </c>
      <c r="C14" s="170" t="s">
        <v>947</v>
      </c>
      <c r="D14" s="169" t="s">
        <v>862</v>
      </c>
      <c r="E14" s="170"/>
      <c r="F14" s="171" t="s">
        <v>935</v>
      </c>
      <c r="G14" s="170">
        <v>5.41</v>
      </c>
      <c r="H14" s="178"/>
      <c r="I14" s="178">
        <v>1299.3399999999999</v>
      </c>
    </row>
    <row r="15" spans="1:9" x14ac:dyDescent="0.25">
      <c r="A15" s="176">
        <v>44499</v>
      </c>
      <c r="B15" s="170">
        <v>270601</v>
      </c>
      <c r="C15" s="170" t="s">
        <v>948</v>
      </c>
      <c r="D15" s="169">
        <v>44470</v>
      </c>
      <c r="E15" s="170"/>
      <c r="F15" s="171" t="s">
        <v>935</v>
      </c>
      <c r="G15" s="178">
        <v>6.37</v>
      </c>
      <c r="H15" s="170"/>
      <c r="I15" s="178">
        <v>1305.71</v>
      </c>
    </row>
    <row r="16" spans="1:9" x14ac:dyDescent="0.25">
      <c r="A16" s="176">
        <v>44530</v>
      </c>
      <c r="B16" s="170">
        <v>271393</v>
      </c>
      <c r="C16" s="170" t="s">
        <v>949</v>
      </c>
      <c r="D16" s="169" t="s">
        <v>867</v>
      </c>
      <c r="E16" s="170"/>
      <c r="F16" s="171" t="s">
        <v>935</v>
      </c>
      <c r="G16" s="178">
        <v>7.7</v>
      </c>
      <c r="H16" s="170"/>
      <c r="I16" s="178">
        <v>1313.41</v>
      </c>
    </row>
    <row r="17" spans="1:9" x14ac:dyDescent="0.25">
      <c r="A17" s="176">
        <v>44561</v>
      </c>
      <c r="B17" s="170">
        <v>272090</v>
      </c>
      <c r="C17" s="170" t="s">
        <v>950</v>
      </c>
      <c r="D17" s="177" t="s">
        <v>869</v>
      </c>
      <c r="E17" s="170"/>
      <c r="F17" s="171" t="s">
        <v>935</v>
      </c>
      <c r="G17" s="170">
        <v>10.11</v>
      </c>
      <c r="H17" s="178"/>
      <c r="I17" s="178">
        <v>1323.52</v>
      </c>
    </row>
    <row r="18" spans="1:9" x14ac:dyDescent="0.25">
      <c r="A18" s="173" t="s">
        <v>845</v>
      </c>
      <c r="B18" s="173" t="s">
        <v>313</v>
      </c>
      <c r="C18" s="173">
        <v>112321</v>
      </c>
      <c r="D18" s="174" t="s">
        <v>99</v>
      </c>
      <c r="E18" s="173" t="s">
        <v>846</v>
      </c>
      <c r="F18" s="175">
        <v>104047.9</v>
      </c>
      <c r="G18" s="173"/>
      <c r="H18" s="173"/>
      <c r="I18" s="173"/>
    </row>
    <row r="19" spans="1:9" x14ac:dyDescent="0.25">
      <c r="A19" s="176">
        <v>44197</v>
      </c>
      <c r="B19" s="170">
        <v>264958</v>
      </c>
      <c r="C19" s="170" t="s">
        <v>951</v>
      </c>
      <c r="D19" s="177" t="s">
        <v>952</v>
      </c>
      <c r="E19" s="170"/>
      <c r="F19" s="171" t="s">
        <v>953</v>
      </c>
      <c r="G19" s="170"/>
      <c r="H19" s="170">
        <v>-104047.9</v>
      </c>
      <c r="I19" s="178">
        <v>0</v>
      </c>
    </row>
    <row r="20" spans="1:9" x14ac:dyDescent="0.25">
      <c r="A20" s="176">
        <v>44553</v>
      </c>
      <c r="B20" s="170">
        <v>271990</v>
      </c>
      <c r="C20" s="170" t="s">
        <v>954</v>
      </c>
      <c r="D20" s="177" t="s">
        <v>955</v>
      </c>
      <c r="E20" s="170"/>
      <c r="F20" s="171" t="s">
        <v>956</v>
      </c>
      <c r="G20" s="170">
        <v>52611.32</v>
      </c>
      <c r="H20" s="178"/>
      <c r="I20" s="178">
        <v>52611.32</v>
      </c>
    </row>
    <row r="21" spans="1:9" x14ac:dyDescent="0.25">
      <c r="A21" s="176">
        <v>44559</v>
      </c>
      <c r="B21" s="170">
        <v>272011</v>
      </c>
      <c r="C21" s="170" t="s">
        <v>957</v>
      </c>
      <c r="D21" s="169" t="s">
        <v>958</v>
      </c>
      <c r="E21" s="170"/>
      <c r="F21" s="171" t="s">
        <v>956</v>
      </c>
      <c r="G21" s="170">
        <v>3943.97</v>
      </c>
      <c r="H21" s="178"/>
      <c r="I21" s="178">
        <v>56555.29</v>
      </c>
    </row>
    <row r="22" spans="1:9" x14ac:dyDescent="0.25">
      <c r="A22" s="173" t="s">
        <v>845</v>
      </c>
      <c r="B22" s="173" t="s">
        <v>530</v>
      </c>
      <c r="C22" s="173">
        <v>112323</v>
      </c>
      <c r="D22" s="174" t="s">
        <v>100</v>
      </c>
      <c r="E22" s="173" t="s">
        <v>846</v>
      </c>
      <c r="F22" s="175">
        <v>4925.2299999999996</v>
      </c>
      <c r="G22" s="173"/>
      <c r="H22" s="173"/>
      <c r="I22" s="173"/>
    </row>
    <row r="23" spans="1:9" x14ac:dyDescent="0.25">
      <c r="A23" s="176">
        <v>44217</v>
      </c>
      <c r="B23" s="170">
        <v>264950</v>
      </c>
      <c r="C23" s="170" t="s">
        <v>933</v>
      </c>
      <c r="D23" s="169" t="s">
        <v>934</v>
      </c>
      <c r="E23" s="170"/>
      <c r="F23" s="171" t="s">
        <v>935</v>
      </c>
      <c r="G23" s="178">
        <v>5.67</v>
      </c>
      <c r="H23" s="170"/>
      <c r="I23" s="178">
        <v>4930.8999999999996</v>
      </c>
    </row>
    <row r="24" spans="1:9" x14ac:dyDescent="0.25">
      <c r="A24" s="176">
        <v>44255</v>
      </c>
      <c r="B24" s="170">
        <v>266402</v>
      </c>
      <c r="C24" s="170" t="s">
        <v>936</v>
      </c>
      <c r="D24" s="169" t="s">
        <v>937</v>
      </c>
      <c r="E24" s="170"/>
      <c r="F24" s="171" t="s">
        <v>935</v>
      </c>
      <c r="G24" s="178">
        <v>5.0999999999999996</v>
      </c>
      <c r="H24" s="170"/>
      <c r="I24" s="178">
        <v>4936</v>
      </c>
    </row>
    <row r="25" spans="1:9" x14ac:dyDescent="0.25">
      <c r="A25" s="176">
        <v>44286</v>
      </c>
      <c r="B25" s="170">
        <v>267094</v>
      </c>
      <c r="C25" s="170" t="s">
        <v>938</v>
      </c>
      <c r="D25" s="169" t="s">
        <v>939</v>
      </c>
      <c r="E25" s="170"/>
      <c r="F25" s="171" t="s">
        <v>935</v>
      </c>
      <c r="G25" s="178">
        <v>4.43</v>
      </c>
      <c r="H25" s="170"/>
      <c r="I25" s="178">
        <v>4940.43</v>
      </c>
    </row>
    <row r="26" spans="1:9" x14ac:dyDescent="0.25">
      <c r="A26" s="176">
        <v>44316</v>
      </c>
      <c r="B26" s="170">
        <v>267759</v>
      </c>
      <c r="C26" s="170" t="s">
        <v>959</v>
      </c>
      <c r="D26" s="169" t="s">
        <v>941</v>
      </c>
      <c r="E26" s="170"/>
      <c r="F26" s="171" t="s">
        <v>935</v>
      </c>
      <c r="G26" s="178">
        <v>7.48</v>
      </c>
      <c r="H26" s="170"/>
      <c r="I26" s="178">
        <v>4947.91</v>
      </c>
    </row>
    <row r="27" spans="1:9" x14ac:dyDescent="0.25">
      <c r="A27" s="176">
        <v>44347</v>
      </c>
      <c r="B27" s="170">
        <v>268259</v>
      </c>
      <c r="C27" s="170" t="s">
        <v>942</v>
      </c>
      <c r="D27" s="169" t="s">
        <v>943</v>
      </c>
      <c r="E27" s="170"/>
      <c r="F27" s="171" t="s">
        <v>935</v>
      </c>
      <c r="G27" s="178">
        <v>9.74</v>
      </c>
      <c r="H27" s="170"/>
      <c r="I27" s="178">
        <v>4957.6499999999996</v>
      </c>
    </row>
    <row r="28" spans="1:9" x14ac:dyDescent="0.25">
      <c r="A28" s="176">
        <v>44377</v>
      </c>
      <c r="B28" s="170">
        <v>268540</v>
      </c>
      <c r="C28" s="170" t="s">
        <v>944</v>
      </c>
      <c r="D28" s="169" t="s">
        <v>860</v>
      </c>
      <c r="E28" s="170"/>
      <c r="F28" s="171" t="s">
        <v>935</v>
      </c>
      <c r="G28" s="178">
        <v>11.05</v>
      </c>
      <c r="H28" s="170"/>
      <c r="I28" s="178">
        <v>4968.7</v>
      </c>
    </row>
    <row r="29" spans="1:9" x14ac:dyDescent="0.25">
      <c r="A29" s="176">
        <v>44408</v>
      </c>
      <c r="B29" s="170">
        <v>269096</v>
      </c>
      <c r="C29" s="170" t="s">
        <v>960</v>
      </c>
      <c r="D29" s="169" t="s">
        <v>872</v>
      </c>
      <c r="E29" s="170"/>
      <c r="F29" s="171" t="s">
        <v>935</v>
      </c>
      <c r="G29" s="178">
        <v>13.48</v>
      </c>
      <c r="H29" s="170"/>
      <c r="I29" s="178">
        <v>4982.18</v>
      </c>
    </row>
    <row r="30" spans="1:9" x14ac:dyDescent="0.25">
      <c r="A30" s="176">
        <v>44439</v>
      </c>
      <c r="B30" s="170">
        <v>269620</v>
      </c>
      <c r="C30" s="170" t="s">
        <v>946</v>
      </c>
      <c r="D30" s="169" t="s">
        <v>874</v>
      </c>
      <c r="E30" s="170"/>
      <c r="F30" s="171" t="s">
        <v>935</v>
      </c>
      <c r="G30" s="178">
        <v>15.47</v>
      </c>
      <c r="H30" s="170"/>
      <c r="I30" s="178">
        <v>4997.6499999999996</v>
      </c>
    </row>
    <row r="31" spans="1:9" x14ac:dyDescent="0.25">
      <c r="A31" s="176">
        <v>44469</v>
      </c>
      <c r="B31" s="170">
        <v>270260</v>
      </c>
      <c r="C31" s="170" t="s">
        <v>947</v>
      </c>
      <c r="D31" s="169" t="s">
        <v>862</v>
      </c>
      <c r="E31" s="170"/>
      <c r="F31" s="171" t="s">
        <v>935</v>
      </c>
      <c r="G31" s="178">
        <v>15.85</v>
      </c>
      <c r="H31" s="170"/>
      <c r="I31" s="178">
        <v>5013.5</v>
      </c>
    </row>
    <row r="32" spans="1:9" x14ac:dyDescent="0.25">
      <c r="A32" s="176">
        <v>44499</v>
      </c>
      <c r="B32" s="170">
        <v>270602</v>
      </c>
      <c r="C32" s="170" t="s">
        <v>948</v>
      </c>
      <c r="D32" s="169">
        <v>44470</v>
      </c>
      <c r="E32" s="170"/>
      <c r="F32" s="171" t="s">
        <v>935</v>
      </c>
      <c r="G32" s="178">
        <v>18.579999999999998</v>
      </c>
      <c r="H32" s="170"/>
      <c r="I32" s="178">
        <v>5032.08</v>
      </c>
    </row>
    <row r="33" spans="1:9" x14ac:dyDescent="0.25">
      <c r="A33" s="176">
        <v>44530</v>
      </c>
      <c r="B33" s="170">
        <v>271394</v>
      </c>
      <c r="C33" s="170" t="s">
        <v>949</v>
      </c>
      <c r="D33" s="169" t="s">
        <v>867</v>
      </c>
      <c r="E33" s="170"/>
      <c r="F33" s="171" t="s">
        <v>935</v>
      </c>
      <c r="G33" s="170">
        <v>22.37</v>
      </c>
      <c r="H33" s="170"/>
      <c r="I33" s="178">
        <v>5054.45</v>
      </c>
    </row>
    <row r="34" spans="1:9" x14ac:dyDescent="0.25">
      <c r="A34" s="176">
        <v>44561</v>
      </c>
      <c r="B34" s="170">
        <v>272091</v>
      </c>
      <c r="C34" s="170" t="s">
        <v>961</v>
      </c>
      <c r="D34" s="169" t="s">
        <v>869</v>
      </c>
      <c r="E34" s="170"/>
      <c r="F34" s="171" t="s">
        <v>935</v>
      </c>
      <c r="G34" s="170">
        <v>29.19</v>
      </c>
      <c r="H34" s="170"/>
      <c r="I34" s="178">
        <v>5083.6400000000003</v>
      </c>
    </row>
    <row r="35" spans="1:9" x14ac:dyDescent="0.25">
      <c r="A35" s="173" t="s">
        <v>845</v>
      </c>
      <c r="B35" s="173" t="s">
        <v>316</v>
      </c>
      <c r="C35" s="173">
        <v>112327</v>
      </c>
      <c r="D35" s="174" t="s">
        <v>101</v>
      </c>
      <c r="E35" s="173" t="s">
        <v>846</v>
      </c>
      <c r="F35" s="179">
        <v>206.14</v>
      </c>
      <c r="G35" s="173"/>
      <c r="H35" s="173"/>
      <c r="I35" s="173"/>
    </row>
    <row r="36" spans="1:9" x14ac:dyDescent="0.25">
      <c r="A36" s="176">
        <v>44217</v>
      </c>
      <c r="B36" s="170">
        <v>264953</v>
      </c>
      <c r="C36" s="170" t="s">
        <v>933</v>
      </c>
      <c r="D36" s="169" t="s">
        <v>934</v>
      </c>
      <c r="E36" s="170"/>
      <c r="F36" s="171" t="s">
        <v>935</v>
      </c>
      <c r="G36" s="170">
        <v>0.31</v>
      </c>
      <c r="H36" s="170"/>
      <c r="I36" s="178">
        <v>206.45</v>
      </c>
    </row>
    <row r="37" spans="1:9" x14ac:dyDescent="0.25">
      <c r="A37" s="176">
        <v>44255</v>
      </c>
      <c r="B37" s="170">
        <v>266405</v>
      </c>
      <c r="C37" s="170" t="s">
        <v>936</v>
      </c>
      <c r="D37" s="169" t="s">
        <v>937</v>
      </c>
      <c r="E37" s="170"/>
      <c r="F37" s="171" t="s">
        <v>935</v>
      </c>
      <c r="G37" s="170">
        <v>0.28000000000000003</v>
      </c>
      <c r="H37" s="170"/>
      <c r="I37" s="178">
        <v>206.73</v>
      </c>
    </row>
    <row r="38" spans="1:9" x14ac:dyDescent="0.25">
      <c r="A38" s="176">
        <v>44286</v>
      </c>
      <c r="B38" s="170">
        <v>267097</v>
      </c>
      <c r="C38" s="170" t="s">
        <v>938</v>
      </c>
      <c r="D38" s="177" t="s">
        <v>939</v>
      </c>
      <c r="E38" s="170"/>
      <c r="F38" s="171" t="s">
        <v>935</v>
      </c>
      <c r="G38" s="170">
        <v>0.39</v>
      </c>
      <c r="H38" s="178"/>
      <c r="I38" s="178">
        <v>207.12</v>
      </c>
    </row>
    <row r="39" spans="1:9" x14ac:dyDescent="0.25">
      <c r="A39" s="176">
        <v>44316</v>
      </c>
      <c r="B39" s="170">
        <v>267761</v>
      </c>
      <c r="C39" s="170" t="s">
        <v>959</v>
      </c>
      <c r="D39" s="177" t="s">
        <v>941</v>
      </c>
      <c r="E39" s="170"/>
      <c r="F39" s="171" t="s">
        <v>935</v>
      </c>
      <c r="G39" s="170">
        <v>0.41</v>
      </c>
      <c r="H39" s="178"/>
      <c r="I39" s="178">
        <v>207.53</v>
      </c>
    </row>
    <row r="40" spans="1:9" x14ac:dyDescent="0.25">
      <c r="A40" s="176">
        <v>44347</v>
      </c>
      <c r="B40" s="170">
        <v>268261</v>
      </c>
      <c r="C40" s="170" t="s">
        <v>942</v>
      </c>
      <c r="D40" s="169" t="s">
        <v>943</v>
      </c>
      <c r="E40" s="170"/>
      <c r="F40" s="171" t="s">
        <v>935</v>
      </c>
      <c r="G40" s="170">
        <v>0.53</v>
      </c>
      <c r="H40" s="178"/>
      <c r="I40" s="178">
        <v>208.06</v>
      </c>
    </row>
    <row r="41" spans="1:9" x14ac:dyDescent="0.25">
      <c r="A41" s="176">
        <v>44377</v>
      </c>
      <c r="B41" s="170">
        <v>268542</v>
      </c>
      <c r="C41" s="170" t="s">
        <v>944</v>
      </c>
      <c r="D41" s="169" t="s">
        <v>860</v>
      </c>
      <c r="E41" s="170"/>
      <c r="F41" s="171" t="s">
        <v>935</v>
      </c>
      <c r="G41" s="170">
        <v>0.6</v>
      </c>
      <c r="H41" s="178"/>
      <c r="I41" s="178">
        <v>208.66</v>
      </c>
    </row>
    <row r="42" spans="1:9" x14ac:dyDescent="0.25">
      <c r="A42" s="176">
        <v>44408</v>
      </c>
      <c r="B42" s="170">
        <v>269098</v>
      </c>
      <c r="C42" s="170" t="s">
        <v>960</v>
      </c>
      <c r="D42" s="169" t="s">
        <v>872</v>
      </c>
      <c r="E42" s="170"/>
      <c r="F42" s="171" t="s">
        <v>935</v>
      </c>
      <c r="G42" s="170">
        <v>0.73</v>
      </c>
      <c r="H42" s="170"/>
      <c r="I42" s="178">
        <v>209.39</v>
      </c>
    </row>
    <row r="43" spans="1:9" x14ac:dyDescent="0.25">
      <c r="A43" s="176">
        <v>44439</v>
      </c>
      <c r="B43" s="170">
        <v>269622</v>
      </c>
      <c r="C43" s="170" t="s">
        <v>946</v>
      </c>
      <c r="D43" s="169" t="s">
        <v>874</v>
      </c>
      <c r="E43" s="170"/>
      <c r="F43" s="171" t="s">
        <v>935</v>
      </c>
      <c r="G43" s="170">
        <v>0.84</v>
      </c>
      <c r="H43" s="178"/>
      <c r="I43" s="178">
        <v>210.23</v>
      </c>
    </row>
    <row r="44" spans="1:9" x14ac:dyDescent="0.25">
      <c r="A44" s="176">
        <v>44469</v>
      </c>
      <c r="B44" s="170">
        <v>270262</v>
      </c>
      <c r="C44" s="170" t="s">
        <v>947</v>
      </c>
      <c r="D44" s="169" t="s">
        <v>862</v>
      </c>
      <c r="E44" s="170"/>
      <c r="F44" s="171" t="s">
        <v>935</v>
      </c>
      <c r="G44" s="170">
        <v>0.86</v>
      </c>
      <c r="H44" s="178"/>
      <c r="I44" s="178">
        <v>211.09</v>
      </c>
    </row>
    <row r="45" spans="1:9" x14ac:dyDescent="0.25">
      <c r="A45" s="176">
        <v>44499</v>
      </c>
      <c r="B45" s="170">
        <v>270604</v>
      </c>
      <c r="C45" s="170" t="s">
        <v>948</v>
      </c>
      <c r="D45" s="169">
        <v>44470</v>
      </c>
      <c r="E45" s="170"/>
      <c r="F45" s="171" t="s">
        <v>935</v>
      </c>
      <c r="G45" s="170">
        <v>1.01</v>
      </c>
      <c r="H45" s="178"/>
      <c r="I45" s="178">
        <v>212.1</v>
      </c>
    </row>
    <row r="46" spans="1:9" x14ac:dyDescent="0.25">
      <c r="A46" s="176">
        <v>44530</v>
      </c>
      <c r="B46" s="170">
        <v>271395</v>
      </c>
      <c r="C46" s="170" t="s">
        <v>949</v>
      </c>
      <c r="D46" s="169" t="s">
        <v>867</v>
      </c>
      <c r="E46" s="170"/>
      <c r="F46" s="171" t="s">
        <v>935</v>
      </c>
      <c r="G46" s="170">
        <v>1.21</v>
      </c>
      <c r="H46" s="170"/>
      <c r="I46" s="178">
        <v>213.31</v>
      </c>
    </row>
    <row r="47" spans="1:9" x14ac:dyDescent="0.25">
      <c r="A47" s="176">
        <v>44561</v>
      </c>
      <c r="B47" s="170">
        <v>272092</v>
      </c>
      <c r="C47" s="170" t="s">
        <v>961</v>
      </c>
      <c r="D47" s="169" t="s">
        <v>869</v>
      </c>
      <c r="E47" s="170"/>
      <c r="F47" s="171" t="s">
        <v>935</v>
      </c>
      <c r="G47" s="170">
        <v>1.58</v>
      </c>
      <c r="H47" s="170"/>
      <c r="I47" s="178">
        <v>214.89</v>
      </c>
    </row>
    <row r="48" spans="1:9" x14ac:dyDescent="0.25">
      <c r="A48" s="173" t="s">
        <v>845</v>
      </c>
      <c r="B48" s="173" t="s">
        <v>544</v>
      </c>
      <c r="C48" s="173">
        <v>12131</v>
      </c>
      <c r="D48" s="174" t="s">
        <v>114</v>
      </c>
      <c r="E48" s="173" t="s">
        <v>846</v>
      </c>
      <c r="F48" s="179">
        <v>196678.66</v>
      </c>
      <c r="G48" s="173"/>
      <c r="H48" s="173"/>
      <c r="I48" s="173"/>
    </row>
    <row r="49" spans="1:9" x14ac:dyDescent="0.25">
      <c r="A49" s="176">
        <v>44217</v>
      </c>
      <c r="B49" s="170">
        <v>264955</v>
      </c>
      <c r="C49" s="170" t="s">
        <v>933</v>
      </c>
      <c r="D49" s="169" t="s">
        <v>934</v>
      </c>
      <c r="E49" s="170"/>
      <c r="F49" s="171" t="s">
        <v>935</v>
      </c>
      <c r="G49" s="170">
        <v>217.65</v>
      </c>
      <c r="H49" s="170"/>
      <c r="I49" s="178">
        <v>196896.31</v>
      </c>
    </row>
    <row r="50" spans="1:9" x14ac:dyDescent="0.25">
      <c r="A50" s="176">
        <v>44227</v>
      </c>
      <c r="B50" s="170">
        <v>266178</v>
      </c>
      <c r="C50" s="170" t="s">
        <v>962</v>
      </c>
      <c r="D50" s="169">
        <v>12021</v>
      </c>
      <c r="E50" s="170"/>
      <c r="F50" s="171" t="s">
        <v>963</v>
      </c>
      <c r="G50" s="170"/>
      <c r="H50" s="170">
        <v>-74362.899999999994</v>
      </c>
      <c r="I50" s="178">
        <v>122533.41</v>
      </c>
    </row>
    <row r="51" spans="1:9" x14ac:dyDescent="0.25">
      <c r="A51" s="176">
        <v>44228</v>
      </c>
      <c r="B51" s="170">
        <v>266867</v>
      </c>
      <c r="C51" s="170" t="s">
        <v>964</v>
      </c>
      <c r="D51" s="169" t="s">
        <v>937</v>
      </c>
      <c r="E51" s="170"/>
      <c r="F51" s="171" t="s">
        <v>965</v>
      </c>
      <c r="G51" s="170"/>
      <c r="H51" s="170">
        <v>-145599.25</v>
      </c>
      <c r="I51" s="178">
        <v>-23065.84</v>
      </c>
    </row>
    <row r="52" spans="1:9" x14ac:dyDescent="0.25">
      <c r="A52" s="176">
        <v>44228</v>
      </c>
      <c r="B52" s="170">
        <v>266868</v>
      </c>
      <c r="C52" s="170" t="s">
        <v>966</v>
      </c>
      <c r="D52" s="169" t="s">
        <v>934</v>
      </c>
      <c r="E52" s="170"/>
      <c r="F52" s="171" t="s">
        <v>965</v>
      </c>
      <c r="G52" s="170">
        <v>74362.899999999994</v>
      </c>
      <c r="H52" s="170"/>
      <c r="I52" s="178">
        <v>51297.06</v>
      </c>
    </row>
    <row r="53" spans="1:9" x14ac:dyDescent="0.25">
      <c r="A53" s="176">
        <v>44255</v>
      </c>
      <c r="B53" s="170">
        <v>266407</v>
      </c>
      <c r="C53" s="170" t="s">
        <v>936</v>
      </c>
      <c r="D53" s="169" t="s">
        <v>967</v>
      </c>
      <c r="E53" s="170"/>
      <c r="F53" s="171" t="s">
        <v>935</v>
      </c>
      <c r="G53" s="170">
        <v>63.69</v>
      </c>
      <c r="H53" s="170"/>
      <c r="I53" s="178">
        <v>51360.75</v>
      </c>
    </row>
    <row r="54" spans="1:9" x14ac:dyDescent="0.25">
      <c r="A54" s="176">
        <v>44255</v>
      </c>
      <c r="B54" s="170">
        <v>266869</v>
      </c>
      <c r="C54" s="170" t="s">
        <v>968</v>
      </c>
      <c r="D54" s="169" t="s">
        <v>937</v>
      </c>
      <c r="E54" s="170"/>
      <c r="F54" s="171" t="s">
        <v>253</v>
      </c>
      <c r="G54" s="170"/>
      <c r="H54" s="170">
        <v>-2044.87</v>
      </c>
      <c r="I54" s="178">
        <v>49315.88</v>
      </c>
    </row>
    <row r="55" spans="1:9" x14ac:dyDescent="0.25">
      <c r="A55" s="176">
        <v>44286</v>
      </c>
      <c r="B55" s="170">
        <v>267283</v>
      </c>
      <c r="C55" s="170" t="s">
        <v>969</v>
      </c>
      <c r="D55" s="169">
        <v>32021</v>
      </c>
      <c r="E55" s="170"/>
      <c r="F55" s="171" t="s">
        <v>970</v>
      </c>
      <c r="G55" s="170"/>
      <c r="H55" s="170">
        <v>-579.92999999999995</v>
      </c>
      <c r="I55" s="178">
        <v>48735.95</v>
      </c>
    </row>
    <row r="56" spans="1:9" x14ac:dyDescent="0.25">
      <c r="A56" s="176">
        <v>44286</v>
      </c>
      <c r="B56" s="170">
        <v>267284</v>
      </c>
      <c r="C56" s="170" t="s">
        <v>971</v>
      </c>
      <c r="D56" s="169">
        <v>32021</v>
      </c>
      <c r="E56" s="170"/>
      <c r="F56" s="171" t="s">
        <v>315</v>
      </c>
      <c r="G56" s="170">
        <v>18636.47</v>
      </c>
      <c r="H56" s="170"/>
      <c r="I56" s="178">
        <v>67372.42</v>
      </c>
    </row>
    <row r="57" spans="1:9" x14ac:dyDescent="0.25">
      <c r="A57" s="176">
        <v>44316</v>
      </c>
      <c r="B57" s="170">
        <v>267762</v>
      </c>
      <c r="C57" s="170" t="s">
        <v>959</v>
      </c>
      <c r="D57" s="169" t="s">
        <v>943</v>
      </c>
      <c r="E57" s="170"/>
      <c r="F57" s="171" t="s">
        <v>935</v>
      </c>
      <c r="G57" s="170">
        <v>127.61</v>
      </c>
      <c r="H57" s="170"/>
      <c r="I57" s="178">
        <v>67500.03</v>
      </c>
    </row>
    <row r="58" spans="1:9" x14ac:dyDescent="0.25">
      <c r="A58" s="176">
        <v>44347</v>
      </c>
      <c r="B58" s="170">
        <v>268262</v>
      </c>
      <c r="C58" s="170" t="s">
        <v>942</v>
      </c>
      <c r="D58" s="169" t="s">
        <v>943</v>
      </c>
      <c r="E58" s="170"/>
      <c r="F58" s="171" t="s">
        <v>935</v>
      </c>
      <c r="G58" s="170">
        <v>166.17</v>
      </c>
      <c r="H58" s="170"/>
      <c r="I58" s="178">
        <v>67666.2</v>
      </c>
    </row>
    <row r="59" spans="1:9" x14ac:dyDescent="0.25">
      <c r="A59" s="176">
        <v>44377</v>
      </c>
      <c r="B59" s="170">
        <v>268543</v>
      </c>
      <c r="C59" s="170" t="s">
        <v>944</v>
      </c>
      <c r="D59" s="169" t="s">
        <v>860</v>
      </c>
      <c r="E59" s="170"/>
      <c r="F59" s="171" t="s">
        <v>935</v>
      </c>
      <c r="G59" s="170">
        <v>188.52</v>
      </c>
      <c r="H59" s="170"/>
      <c r="I59" s="178">
        <v>67854.720000000001</v>
      </c>
    </row>
    <row r="60" spans="1:9" x14ac:dyDescent="0.25">
      <c r="A60" s="176">
        <v>44408</v>
      </c>
      <c r="B60" s="170">
        <v>269099</v>
      </c>
      <c r="C60" s="170" t="s">
        <v>960</v>
      </c>
      <c r="D60" s="169" t="s">
        <v>872</v>
      </c>
      <c r="E60" s="170"/>
      <c r="F60" s="171" t="s">
        <v>935</v>
      </c>
      <c r="G60" s="170">
        <v>229.91</v>
      </c>
      <c r="H60" s="170"/>
      <c r="I60" s="178">
        <v>68084.63</v>
      </c>
    </row>
    <row r="61" spans="1:9" x14ac:dyDescent="0.25">
      <c r="A61" s="176">
        <v>44439</v>
      </c>
      <c r="B61" s="170">
        <v>269623</v>
      </c>
      <c r="C61" s="170" t="s">
        <v>946</v>
      </c>
      <c r="D61" s="169" t="s">
        <v>874</v>
      </c>
      <c r="E61" s="170"/>
      <c r="F61" s="171" t="s">
        <v>935</v>
      </c>
      <c r="G61" s="170">
        <v>263.74</v>
      </c>
      <c r="H61" s="170"/>
      <c r="I61" s="178">
        <v>68348.37</v>
      </c>
    </row>
    <row r="62" spans="1:9" x14ac:dyDescent="0.25">
      <c r="A62" s="176">
        <v>44469</v>
      </c>
      <c r="B62" s="170">
        <v>270263</v>
      </c>
      <c r="C62" s="170" t="s">
        <v>947</v>
      </c>
      <c r="D62" s="169" t="s">
        <v>862</v>
      </c>
      <c r="E62" s="170"/>
      <c r="F62" s="171" t="s">
        <v>935</v>
      </c>
      <c r="G62" s="170">
        <v>270.38</v>
      </c>
      <c r="H62" s="170"/>
      <c r="I62" s="178">
        <v>68618.75</v>
      </c>
    </row>
    <row r="63" spans="1:9" x14ac:dyDescent="0.25">
      <c r="A63" s="176">
        <v>44499</v>
      </c>
      <c r="B63" s="170">
        <v>270605</v>
      </c>
      <c r="C63" s="170" t="s">
        <v>948</v>
      </c>
      <c r="D63" s="169">
        <v>44470</v>
      </c>
      <c r="E63" s="170"/>
      <c r="F63" s="171" t="s">
        <v>935</v>
      </c>
      <c r="G63" s="170">
        <v>316.79000000000002</v>
      </c>
      <c r="H63" s="170"/>
      <c r="I63" s="178">
        <v>68935.539999999994</v>
      </c>
    </row>
    <row r="64" spans="1:9" x14ac:dyDescent="0.25">
      <c r="A64" s="176">
        <v>44530</v>
      </c>
      <c r="B64" s="170">
        <v>271396</v>
      </c>
      <c r="C64" s="170" t="s">
        <v>949</v>
      </c>
      <c r="D64" s="169" t="s">
        <v>867</v>
      </c>
      <c r="E64" s="170"/>
      <c r="F64" s="171" t="s">
        <v>935</v>
      </c>
      <c r="G64" s="170">
        <v>381.44</v>
      </c>
      <c r="H64" s="170"/>
      <c r="I64" s="178">
        <v>69316.98</v>
      </c>
    </row>
    <row r="65" spans="1:9" x14ac:dyDescent="0.25">
      <c r="A65" s="176">
        <v>44561</v>
      </c>
      <c r="B65" s="170">
        <v>272093</v>
      </c>
      <c r="C65" s="170" t="s">
        <v>961</v>
      </c>
      <c r="D65" s="169" t="s">
        <v>869</v>
      </c>
      <c r="E65" s="170"/>
      <c r="F65" s="171" t="s">
        <v>935</v>
      </c>
      <c r="G65" s="170">
        <v>497.81</v>
      </c>
      <c r="H65" s="170"/>
      <c r="I65" s="178">
        <v>69814.789999999994</v>
      </c>
    </row>
    <row r="66" spans="1:9" x14ac:dyDescent="0.25">
      <c r="A66" s="173" t="s">
        <v>845</v>
      </c>
      <c r="B66" s="173" t="s">
        <v>546</v>
      </c>
      <c r="C66" s="173">
        <v>12135</v>
      </c>
      <c r="D66" s="174" t="s">
        <v>116</v>
      </c>
      <c r="E66" s="173" t="s">
        <v>846</v>
      </c>
      <c r="F66" s="179">
        <v>120378.03</v>
      </c>
      <c r="G66" s="173"/>
      <c r="H66" s="173"/>
      <c r="I66" s="173"/>
    </row>
    <row r="67" spans="1:9" x14ac:dyDescent="0.25">
      <c r="A67" s="176">
        <v>44217</v>
      </c>
      <c r="B67" s="170">
        <v>264956</v>
      </c>
      <c r="C67" s="170" t="s">
        <v>933</v>
      </c>
      <c r="D67" s="169" t="s">
        <v>934</v>
      </c>
      <c r="E67" s="170"/>
      <c r="F67" s="171" t="s">
        <v>935</v>
      </c>
      <c r="G67" s="170">
        <v>61.71</v>
      </c>
      <c r="H67" s="170"/>
      <c r="I67" s="178">
        <v>120439.74</v>
      </c>
    </row>
    <row r="68" spans="1:9" x14ac:dyDescent="0.25">
      <c r="A68" s="176">
        <v>44255</v>
      </c>
      <c r="B68" s="170">
        <v>266408</v>
      </c>
      <c r="C68" s="170" t="s">
        <v>936</v>
      </c>
      <c r="D68" s="169" t="s">
        <v>937</v>
      </c>
      <c r="E68" s="170"/>
      <c r="F68" s="171" t="s">
        <v>935</v>
      </c>
      <c r="G68" s="170">
        <v>55.5</v>
      </c>
      <c r="H68" s="170"/>
      <c r="I68" s="178">
        <v>120495.24</v>
      </c>
    </row>
    <row r="69" spans="1:9" x14ac:dyDescent="0.25">
      <c r="A69" s="176">
        <v>44286</v>
      </c>
      <c r="B69" s="170">
        <v>267100</v>
      </c>
      <c r="C69" s="170" t="s">
        <v>972</v>
      </c>
      <c r="D69" s="169" t="s">
        <v>939</v>
      </c>
      <c r="E69" s="170"/>
      <c r="F69" s="171" t="s">
        <v>970</v>
      </c>
      <c r="G69" s="170"/>
      <c r="H69" s="170">
        <v>-989.16</v>
      </c>
      <c r="I69" s="178">
        <v>119506.08</v>
      </c>
    </row>
    <row r="70" spans="1:9" x14ac:dyDescent="0.25">
      <c r="A70" s="176">
        <v>44286</v>
      </c>
      <c r="B70" s="170">
        <v>267285</v>
      </c>
      <c r="C70" s="170" t="s">
        <v>973</v>
      </c>
      <c r="D70" s="169">
        <v>32021</v>
      </c>
      <c r="E70" s="170"/>
      <c r="F70" s="171" t="s">
        <v>317</v>
      </c>
      <c r="G70" s="170">
        <v>185.22</v>
      </c>
      <c r="H70" s="170"/>
      <c r="I70" s="178">
        <v>119691.3</v>
      </c>
    </row>
    <row r="71" spans="1:9" x14ac:dyDescent="0.25">
      <c r="A71" s="176">
        <v>44316</v>
      </c>
      <c r="B71" s="170">
        <v>267763</v>
      </c>
      <c r="C71" s="170" t="s">
        <v>959</v>
      </c>
      <c r="D71" s="169" t="s">
        <v>941</v>
      </c>
      <c r="E71" s="170"/>
      <c r="F71" s="171" t="s">
        <v>935</v>
      </c>
      <c r="G71" s="170">
        <v>232.52</v>
      </c>
      <c r="H71" s="170"/>
      <c r="I71" s="178">
        <v>119923.82</v>
      </c>
    </row>
    <row r="72" spans="1:9" x14ac:dyDescent="0.25">
      <c r="A72" s="176">
        <v>44347</v>
      </c>
      <c r="B72" s="170">
        <v>268263</v>
      </c>
      <c r="C72" s="170" t="s">
        <v>942</v>
      </c>
      <c r="D72" s="169" t="s">
        <v>943</v>
      </c>
      <c r="E72" s="170"/>
      <c r="F72" s="171" t="s">
        <v>935</v>
      </c>
      <c r="G72" s="170">
        <v>145.97999999999999</v>
      </c>
      <c r="H72" s="170"/>
      <c r="I72" s="178">
        <v>120069.8</v>
      </c>
    </row>
    <row r="73" spans="1:9" x14ac:dyDescent="0.25">
      <c r="A73" s="176">
        <v>44377</v>
      </c>
      <c r="B73" s="170">
        <v>268538</v>
      </c>
      <c r="C73" s="170" t="s">
        <v>974</v>
      </c>
      <c r="D73" s="169" t="s">
        <v>860</v>
      </c>
      <c r="E73" s="170"/>
      <c r="F73" s="171" t="s">
        <v>935</v>
      </c>
      <c r="G73" s="170">
        <v>315.91000000000003</v>
      </c>
      <c r="H73" s="170"/>
      <c r="I73" s="178">
        <v>120385.71</v>
      </c>
    </row>
    <row r="74" spans="1:9" x14ac:dyDescent="0.25">
      <c r="A74" s="176">
        <v>44408</v>
      </c>
      <c r="B74" s="170">
        <v>269100</v>
      </c>
      <c r="C74" s="170" t="s">
        <v>960</v>
      </c>
      <c r="D74" s="169" t="s">
        <v>872</v>
      </c>
      <c r="E74" s="170"/>
      <c r="F74" s="171" t="s">
        <v>935</v>
      </c>
      <c r="G74" s="170">
        <v>418.92</v>
      </c>
      <c r="H74" s="170"/>
      <c r="I74" s="178">
        <v>120804.63</v>
      </c>
    </row>
    <row r="75" spans="1:9" x14ac:dyDescent="0.25">
      <c r="A75" s="176">
        <v>44439</v>
      </c>
      <c r="B75" s="170">
        <v>269624</v>
      </c>
      <c r="C75" s="170" t="s">
        <v>946</v>
      </c>
      <c r="D75" s="169" t="s">
        <v>874</v>
      </c>
      <c r="E75" s="170"/>
      <c r="F75" s="171" t="s">
        <v>935</v>
      </c>
      <c r="G75" s="170">
        <v>480.56</v>
      </c>
      <c r="H75" s="170"/>
      <c r="I75" s="178">
        <v>121285.19</v>
      </c>
    </row>
    <row r="76" spans="1:9" x14ac:dyDescent="0.25">
      <c r="A76" s="176">
        <v>44469</v>
      </c>
      <c r="B76" s="170">
        <v>270264</v>
      </c>
      <c r="C76" s="170" t="s">
        <v>947</v>
      </c>
      <c r="D76" s="169" t="s">
        <v>862</v>
      </c>
      <c r="E76" s="170"/>
      <c r="F76" s="171" t="s">
        <v>935</v>
      </c>
      <c r="G76" s="170">
        <v>492.66</v>
      </c>
      <c r="H76" s="170"/>
      <c r="I76" s="178">
        <v>121777.85</v>
      </c>
    </row>
    <row r="77" spans="1:9" x14ac:dyDescent="0.25">
      <c r="A77" s="176">
        <v>44499</v>
      </c>
      <c r="B77" s="170">
        <v>270606</v>
      </c>
      <c r="C77" s="170" t="s">
        <v>948</v>
      </c>
      <c r="D77" s="169">
        <v>44470</v>
      </c>
      <c r="E77" s="170"/>
      <c r="F77" s="171" t="s">
        <v>935</v>
      </c>
      <c r="G77" s="170">
        <v>577.23</v>
      </c>
      <c r="H77" s="170"/>
      <c r="I77" s="178">
        <v>122355.08</v>
      </c>
    </row>
    <row r="78" spans="1:9" x14ac:dyDescent="0.25">
      <c r="A78" s="176">
        <v>44530</v>
      </c>
      <c r="B78" s="170">
        <v>271397</v>
      </c>
      <c r="C78" s="170" t="s">
        <v>949</v>
      </c>
      <c r="D78" s="169" t="s">
        <v>867</v>
      </c>
      <c r="E78" s="170"/>
      <c r="F78" s="171" t="s">
        <v>935</v>
      </c>
      <c r="G78" s="170">
        <v>695.03</v>
      </c>
      <c r="H78" s="170"/>
      <c r="I78" s="178">
        <v>123050.11</v>
      </c>
    </row>
    <row r="79" spans="1:9" x14ac:dyDescent="0.25">
      <c r="A79" s="176">
        <v>44561</v>
      </c>
      <c r="B79" s="170">
        <v>272094</v>
      </c>
      <c r="C79" s="170" t="s">
        <v>961</v>
      </c>
      <c r="D79" s="169" t="s">
        <v>869</v>
      </c>
      <c r="E79" s="170"/>
      <c r="F79" s="171" t="s">
        <v>935</v>
      </c>
      <c r="G79" s="170">
        <v>907.08</v>
      </c>
      <c r="H79" s="170"/>
      <c r="I79" s="178">
        <v>123957.19</v>
      </c>
    </row>
    <row r="82" spans="1:9" ht="15.75" x14ac:dyDescent="0.25">
      <c r="A82" s="708" t="s">
        <v>887</v>
      </c>
      <c r="B82" s="708"/>
      <c r="C82" s="708"/>
      <c r="D82" s="169"/>
      <c r="E82" s="170"/>
      <c r="F82" s="171"/>
      <c r="G82" s="170"/>
      <c r="H82" s="170"/>
      <c r="I82" s="170"/>
    </row>
    <row r="83" spans="1:9" x14ac:dyDescent="0.25">
      <c r="A83" s="173" t="s">
        <v>845</v>
      </c>
      <c r="B83" s="173" t="s">
        <v>529</v>
      </c>
      <c r="C83" s="173">
        <v>11239</v>
      </c>
      <c r="D83" s="174" t="s">
        <v>98</v>
      </c>
      <c r="E83" s="173" t="s">
        <v>846</v>
      </c>
      <c r="F83" s="175">
        <v>1323.52</v>
      </c>
      <c r="G83" s="173"/>
      <c r="H83" s="173"/>
      <c r="I83" s="173"/>
    </row>
    <row r="84" spans="1:9" x14ac:dyDescent="0.25">
      <c r="A84" s="176">
        <v>44592</v>
      </c>
      <c r="B84" s="170">
        <v>272632</v>
      </c>
      <c r="C84" s="170" t="s">
        <v>975</v>
      </c>
      <c r="D84" s="177" t="s">
        <v>890</v>
      </c>
      <c r="E84" s="170"/>
      <c r="F84" s="171" t="s">
        <v>935</v>
      </c>
      <c r="G84" s="170">
        <v>9.66</v>
      </c>
      <c r="H84" s="178"/>
      <c r="I84" s="178">
        <v>1333.18</v>
      </c>
    </row>
    <row r="85" spans="1:9" x14ac:dyDescent="0.25">
      <c r="A85" s="176">
        <v>44620</v>
      </c>
      <c r="B85" s="170">
        <v>274745</v>
      </c>
      <c r="C85" s="170" t="s">
        <v>976</v>
      </c>
      <c r="D85" s="177" t="s">
        <v>977</v>
      </c>
      <c r="E85" s="170"/>
      <c r="F85" s="171" t="s">
        <v>935</v>
      </c>
      <c r="G85" s="170">
        <v>10.130000000000001</v>
      </c>
      <c r="H85" s="178"/>
      <c r="I85" s="178">
        <v>1343.31</v>
      </c>
    </row>
    <row r="86" spans="1:9" x14ac:dyDescent="0.25">
      <c r="A86" s="176">
        <v>44651</v>
      </c>
      <c r="B86" s="170">
        <v>277486</v>
      </c>
      <c r="C86" s="170" t="s">
        <v>978</v>
      </c>
      <c r="D86" s="177" t="s">
        <v>893</v>
      </c>
      <c r="E86" s="170"/>
      <c r="F86" s="171" t="s">
        <v>935</v>
      </c>
      <c r="G86" s="178">
        <v>12.49</v>
      </c>
      <c r="H86" s="170"/>
      <c r="I86" s="178">
        <v>1355.8</v>
      </c>
    </row>
    <row r="87" spans="1:9" x14ac:dyDescent="0.25">
      <c r="A87" s="176">
        <v>44681</v>
      </c>
      <c r="B87" s="170">
        <v>278191</v>
      </c>
      <c r="C87" s="170" t="s">
        <v>979</v>
      </c>
      <c r="D87" s="177" t="s">
        <v>895</v>
      </c>
      <c r="E87" s="170"/>
      <c r="F87" s="171" t="s">
        <v>935</v>
      </c>
      <c r="G87" s="178">
        <v>11.25</v>
      </c>
      <c r="H87" s="170"/>
      <c r="I87" s="178">
        <v>1367.05</v>
      </c>
    </row>
    <row r="88" spans="1:9" x14ac:dyDescent="0.25">
      <c r="A88" s="176">
        <v>44712</v>
      </c>
      <c r="B88" s="170">
        <v>278908</v>
      </c>
      <c r="C88" s="170" t="s">
        <v>980</v>
      </c>
      <c r="D88" s="177" t="s">
        <v>897</v>
      </c>
      <c r="E88" s="170"/>
      <c r="F88" s="171" t="s">
        <v>935</v>
      </c>
      <c r="G88" s="170">
        <v>14.08</v>
      </c>
      <c r="H88" s="178"/>
      <c r="I88" s="178">
        <v>1381.13</v>
      </c>
    </row>
    <row r="89" spans="1:9" x14ac:dyDescent="0.25">
      <c r="A89" s="176">
        <v>44742</v>
      </c>
      <c r="B89" s="170">
        <v>279577</v>
      </c>
      <c r="C89" s="170" t="s">
        <v>981</v>
      </c>
      <c r="D89" s="169" t="s">
        <v>898</v>
      </c>
      <c r="E89" s="170"/>
      <c r="F89" s="171" t="s">
        <v>935</v>
      </c>
      <c r="G89" s="170">
        <v>14.1</v>
      </c>
      <c r="H89" s="178"/>
      <c r="I89" s="178">
        <v>1395.23</v>
      </c>
    </row>
    <row r="90" spans="1:9" x14ac:dyDescent="0.25">
      <c r="A90" s="176">
        <v>44773</v>
      </c>
      <c r="B90" s="170">
        <v>280387</v>
      </c>
      <c r="C90" s="170" t="s">
        <v>982</v>
      </c>
      <c r="D90" s="169" t="s">
        <v>900</v>
      </c>
      <c r="E90" s="170"/>
      <c r="F90" s="171" t="s">
        <v>935</v>
      </c>
      <c r="G90" s="178">
        <v>14.37</v>
      </c>
      <c r="H90" s="170"/>
      <c r="I90" s="178">
        <v>1409.6</v>
      </c>
    </row>
    <row r="91" spans="1:9" x14ac:dyDescent="0.25">
      <c r="A91" s="176">
        <v>44804</v>
      </c>
      <c r="B91" s="170">
        <v>281305</v>
      </c>
      <c r="C91" s="170" t="s">
        <v>983</v>
      </c>
      <c r="D91" s="169" t="s">
        <v>901</v>
      </c>
      <c r="E91" s="170"/>
      <c r="F91" s="171" t="s">
        <v>935</v>
      </c>
      <c r="G91" s="170">
        <v>16.489999999999998</v>
      </c>
      <c r="H91" s="178"/>
      <c r="I91" s="178">
        <v>1426.09</v>
      </c>
    </row>
    <row r="92" spans="1:9" x14ac:dyDescent="0.25">
      <c r="A92" s="176">
        <v>44834</v>
      </c>
      <c r="B92" s="170">
        <v>282446</v>
      </c>
      <c r="C92" s="170" t="s">
        <v>984</v>
      </c>
      <c r="D92" s="169">
        <v>92022</v>
      </c>
      <c r="E92" s="170"/>
      <c r="F92" s="171" t="s">
        <v>935</v>
      </c>
      <c r="G92" s="170">
        <v>15.26</v>
      </c>
      <c r="H92" s="178"/>
      <c r="I92" s="178">
        <v>1441.35</v>
      </c>
    </row>
    <row r="93" spans="1:9" x14ac:dyDescent="0.25">
      <c r="A93" s="176">
        <v>44865</v>
      </c>
      <c r="B93" s="170">
        <v>283489</v>
      </c>
      <c r="C93" s="170" t="s">
        <v>1077</v>
      </c>
      <c r="D93" s="169" t="s">
        <v>1078</v>
      </c>
      <c r="E93" s="170"/>
      <c r="F93" s="171" t="s">
        <v>935</v>
      </c>
      <c r="G93" s="171">
        <v>14.7</v>
      </c>
      <c r="H93" s="170"/>
      <c r="I93" s="178">
        <v>1456.05</v>
      </c>
    </row>
    <row r="94" spans="1:9" x14ac:dyDescent="0.25">
      <c r="A94" s="176">
        <v>44895</v>
      </c>
      <c r="B94" s="170">
        <v>284080</v>
      </c>
      <c r="C94" s="170" t="s">
        <v>1079</v>
      </c>
      <c r="D94" s="169" t="s">
        <v>1080</v>
      </c>
      <c r="E94" s="170"/>
      <c r="F94" s="171" t="s">
        <v>935</v>
      </c>
      <c r="G94" s="171">
        <v>14.86</v>
      </c>
      <c r="H94" s="170"/>
      <c r="I94" s="178">
        <v>1470.91</v>
      </c>
    </row>
    <row r="95" spans="1:9" x14ac:dyDescent="0.25">
      <c r="A95" s="176">
        <v>44926</v>
      </c>
      <c r="B95" s="170">
        <v>285122</v>
      </c>
      <c r="C95" s="170" t="s">
        <v>1081</v>
      </c>
      <c r="D95" s="169" t="s">
        <v>1082</v>
      </c>
      <c r="E95" s="170"/>
      <c r="F95" s="171" t="s">
        <v>935</v>
      </c>
      <c r="G95" s="171">
        <v>16.47</v>
      </c>
      <c r="H95" s="170"/>
      <c r="I95" s="178">
        <v>1487.38</v>
      </c>
    </row>
    <row r="96" spans="1:9" x14ac:dyDescent="0.25">
      <c r="A96" s="173" t="s">
        <v>845</v>
      </c>
      <c r="B96" s="173" t="s">
        <v>309</v>
      </c>
      <c r="C96" s="173">
        <v>112316</v>
      </c>
      <c r="D96" s="174" t="s">
        <v>310</v>
      </c>
      <c r="E96" s="173" t="s">
        <v>846</v>
      </c>
      <c r="F96" s="175">
        <v>0</v>
      </c>
      <c r="G96" s="173"/>
      <c r="H96" s="173"/>
      <c r="I96" s="173"/>
    </row>
    <row r="97" spans="1:9" x14ac:dyDescent="0.25">
      <c r="A97" s="176">
        <v>44742</v>
      </c>
      <c r="B97" s="170">
        <v>280585</v>
      </c>
      <c r="C97" s="170" t="s">
        <v>985</v>
      </c>
      <c r="D97" s="169">
        <v>62022</v>
      </c>
      <c r="E97" s="170"/>
      <c r="F97" s="171" t="s">
        <v>243</v>
      </c>
      <c r="G97" s="178">
        <v>597612.79</v>
      </c>
      <c r="H97" s="170"/>
      <c r="I97" s="178">
        <v>597612.79</v>
      </c>
    </row>
    <row r="98" spans="1:9" x14ac:dyDescent="0.25">
      <c r="A98" s="176">
        <v>44773</v>
      </c>
      <c r="B98" s="170">
        <v>280698</v>
      </c>
      <c r="C98" s="170" t="s">
        <v>986</v>
      </c>
      <c r="D98" s="169" t="s">
        <v>900</v>
      </c>
      <c r="E98" s="170"/>
      <c r="F98" s="171" t="s">
        <v>243</v>
      </c>
      <c r="G98" s="170"/>
      <c r="H98" s="178">
        <v>-100127.24</v>
      </c>
      <c r="I98" s="178">
        <v>497485.55</v>
      </c>
    </row>
    <row r="99" spans="1:9" x14ac:dyDescent="0.25">
      <c r="A99" s="176">
        <v>44804</v>
      </c>
      <c r="B99" s="170">
        <v>281728</v>
      </c>
      <c r="C99" s="170" t="s">
        <v>987</v>
      </c>
      <c r="D99" s="169" t="s">
        <v>901</v>
      </c>
      <c r="E99" s="170"/>
      <c r="F99" s="171" t="s">
        <v>243</v>
      </c>
      <c r="G99" s="178">
        <v>67925.95</v>
      </c>
      <c r="H99" s="170"/>
      <c r="I99" s="178">
        <v>565411.5</v>
      </c>
    </row>
    <row r="100" spans="1:9" x14ac:dyDescent="0.25">
      <c r="A100" s="176">
        <v>44834</v>
      </c>
      <c r="B100" s="170">
        <v>282650</v>
      </c>
      <c r="C100" s="170" t="s">
        <v>988</v>
      </c>
      <c r="D100" s="169" t="s">
        <v>903</v>
      </c>
      <c r="E100" s="170"/>
      <c r="F100" s="171" t="s">
        <v>243</v>
      </c>
      <c r="G100" s="170">
        <v>28300.46</v>
      </c>
      <c r="H100" s="170"/>
      <c r="I100" s="178">
        <v>593711.96</v>
      </c>
    </row>
    <row r="101" spans="1:9" x14ac:dyDescent="0.25">
      <c r="A101" s="176">
        <v>44865</v>
      </c>
      <c r="B101">
        <v>283532</v>
      </c>
      <c r="C101" s="170" t="s">
        <v>1083</v>
      </c>
      <c r="D101" s="169" t="s">
        <v>1078</v>
      </c>
      <c r="E101" s="177"/>
      <c r="F101" s="171"/>
      <c r="G101" s="170"/>
      <c r="H101" s="171">
        <v>-141255.18</v>
      </c>
      <c r="I101" s="170">
        <v>452456.78</v>
      </c>
    </row>
    <row r="102" spans="1:9" x14ac:dyDescent="0.25">
      <c r="A102" s="176">
        <v>44895</v>
      </c>
      <c r="B102">
        <v>284234</v>
      </c>
      <c r="C102" s="170" t="s">
        <v>1084</v>
      </c>
      <c r="D102" s="169" t="s">
        <v>1080</v>
      </c>
      <c r="E102" s="177"/>
      <c r="F102" s="171"/>
      <c r="G102" s="170">
        <v>215987.71</v>
      </c>
      <c r="H102" s="171"/>
      <c r="I102" s="170">
        <v>668444.49</v>
      </c>
    </row>
    <row r="103" spans="1:9" x14ac:dyDescent="0.25">
      <c r="A103" s="173" t="s">
        <v>845</v>
      </c>
      <c r="B103" s="173" t="s">
        <v>311</v>
      </c>
      <c r="C103" s="173">
        <v>112317</v>
      </c>
      <c r="D103" s="174" t="s">
        <v>312</v>
      </c>
      <c r="E103" s="173" t="s">
        <v>846</v>
      </c>
      <c r="F103" s="175">
        <v>0</v>
      </c>
      <c r="G103" s="173"/>
      <c r="H103" s="173"/>
      <c r="I103" s="173"/>
    </row>
    <row r="104" spans="1:9" x14ac:dyDescent="0.25">
      <c r="A104" s="176">
        <v>44742</v>
      </c>
      <c r="B104" s="170">
        <v>280586</v>
      </c>
      <c r="C104" s="170" t="s">
        <v>989</v>
      </c>
      <c r="D104" s="169">
        <v>62022</v>
      </c>
      <c r="E104" s="170"/>
      <c r="F104" s="171" t="s">
        <v>244</v>
      </c>
      <c r="G104" s="170">
        <v>202352.27</v>
      </c>
      <c r="H104" s="178"/>
      <c r="I104" s="178">
        <v>202352.27</v>
      </c>
    </row>
    <row r="105" spans="1:9" x14ac:dyDescent="0.25">
      <c r="A105" s="176">
        <v>44773</v>
      </c>
      <c r="B105" s="170">
        <v>280699</v>
      </c>
      <c r="C105" s="170" t="s">
        <v>990</v>
      </c>
      <c r="D105" s="169" t="s">
        <v>900</v>
      </c>
      <c r="E105" s="170"/>
      <c r="F105" s="171" t="s">
        <v>244</v>
      </c>
      <c r="G105" s="170"/>
      <c r="H105" s="178">
        <v>-87235.83</v>
      </c>
      <c r="I105" s="178">
        <v>115116.44</v>
      </c>
    </row>
    <row r="106" spans="1:9" x14ac:dyDescent="0.25">
      <c r="A106" s="176">
        <v>44804</v>
      </c>
      <c r="B106" s="170">
        <v>281729</v>
      </c>
      <c r="C106" s="170" t="s">
        <v>991</v>
      </c>
      <c r="D106" s="169" t="s">
        <v>901</v>
      </c>
      <c r="E106" s="170"/>
      <c r="F106" s="171" t="s">
        <v>244</v>
      </c>
      <c r="G106" s="178">
        <v>6922.2</v>
      </c>
      <c r="H106" s="170"/>
      <c r="I106" s="178">
        <v>122038.64</v>
      </c>
    </row>
    <row r="107" spans="1:9" x14ac:dyDescent="0.25">
      <c r="A107" s="176">
        <v>44834</v>
      </c>
      <c r="B107" s="170">
        <v>282649</v>
      </c>
      <c r="C107" s="170" t="s">
        <v>992</v>
      </c>
      <c r="D107" s="169" t="s">
        <v>903</v>
      </c>
      <c r="E107" s="170"/>
      <c r="F107" s="171" t="s">
        <v>244</v>
      </c>
      <c r="G107" s="178">
        <v>13858.56</v>
      </c>
      <c r="H107" s="170"/>
      <c r="I107" s="178">
        <v>135897.20000000001</v>
      </c>
    </row>
    <row r="108" spans="1:9" x14ac:dyDescent="0.25">
      <c r="A108" s="176">
        <v>44865</v>
      </c>
      <c r="B108" s="170">
        <v>283531</v>
      </c>
      <c r="C108" s="170" t="s">
        <v>1085</v>
      </c>
      <c r="D108" s="169" t="s">
        <v>1078</v>
      </c>
      <c r="E108" s="170"/>
      <c r="F108" s="171"/>
      <c r="G108" s="178"/>
      <c r="H108" s="170">
        <v>-78752.22</v>
      </c>
      <c r="I108" s="178">
        <v>57144.98</v>
      </c>
    </row>
    <row r="109" spans="1:9" x14ac:dyDescent="0.25">
      <c r="A109" s="176">
        <v>44895</v>
      </c>
      <c r="B109" s="170">
        <v>284235</v>
      </c>
      <c r="C109" s="170" t="s">
        <v>1086</v>
      </c>
      <c r="D109" s="169" t="s">
        <v>1080</v>
      </c>
      <c r="E109" s="170"/>
      <c r="F109" s="171"/>
      <c r="G109" s="178">
        <v>210374.3</v>
      </c>
      <c r="H109" s="170"/>
      <c r="I109" s="178">
        <v>267519.28000000003</v>
      </c>
    </row>
    <row r="110" spans="1:9" x14ac:dyDescent="0.25">
      <c r="A110" s="173" t="s">
        <v>845</v>
      </c>
      <c r="B110" s="173" t="s">
        <v>313</v>
      </c>
      <c r="C110" s="173">
        <v>112321</v>
      </c>
      <c r="D110" s="174" t="s">
        <v>99</v>
      </c>
      <c r="E110" s="173" t="s">
        <v>846</v>
      </c>
      <c r="F110" s="175">
        <v>56555.29</v>
      </c>
      <c r="G110" s="173"/>
      <c r="H110" s="173"/>
      <c r="I110" s="173"/>
    </row>
    <row r="111" spans="1:9" x14ac:dyDescent="0.25">
      <c r="A111" s="176">
        <v>44562</v>
      </c>
      <c r="B111" s="170">
        <v>273382</v>
      </c>
      <c r="C111" s="170" t="s">
        <v>993</v>
      </c>
      <c r="D111" s="169" t="s">
        <v>934</v>
      </c>
      <c r="E111" s="170"/>
      <c r="F111" s="171" t="s">
        <v>953</v>
      </c>
      <c r="G111" s="178"/>
      <c r="H111" s="170">
        <v>-56555.29</v>
      </c>
      <c r="I111" s="178">
        <v>0</v>
      </c>
    </row>
    <row r="112" spans="1:9" x14ac:dyDescent="0.25">
      <c r="A112" s="176">
        <v>44592</v>
      </c>
      <c r="B112" s="170">
        <v>272627</v>
      </c>
      <c r="C112" s="170" t="s">
        <v>994</v>
      </c>
      <c r="D112" s="169" t="s">
        <v>995</v>
      </c>
      <c r="E112" s="170"/>
      <c r="F112" s="171" t="s">
        <v>956</v>
      </c>
      <c r="G112" s="178">
        <v>16127.22</v>
      </c>
      <c r="H112" s="170"/>
      <c r="I112" s="178">
        <v>16127.22</v>
      </c>
    </row>
    <row r="113" spans="1:9" x14ac:dyDescent="0.25">
      <c r="A113" s="176">
        <v>44593</v>
      </c>
      <c r="B113" s="170">
        <v>274776</v>
      </c>
      <c r="C113" s="170" t="s">
        <v>996</v>
      </c>
      <c r="D113" s="169">
        <v>22022</v>
      </c>
      <c r="E113" s="170"/>
      <c r="F113" s="171" t="s">
        <v>953</v>
      </c>
      <c r="G113" s="178"/>
      <c r="H113" s="170">
        <v>-16127.22</v>
      </c>
      <c r="I113" s="178">
        <v>0</v>
      </c>
    </row>
    <row r="114" spans="1:9" x14ac:dyDescent="0.25">
      <c r="A114" s="176">
        <v>44706</v>
      </c>
      <c r="B114" s="170">
        <v>278763</v>
      </c>
      <c r="C114" s="170" t="s">
        <v>997</v>
      </c>
      <c r="D114" s="169" t="s">
        <v>998</v>
      </c>
      <c r="E114" s="170"/>
      <c r="F114" s="171" t="s">
        <v>956</v>
      </c>
      <c r="G114" s="178">
        <v>34692.54</v>
      </c>
      <c r="H114" s="170"/>
      <c r="I114" s="178">
        <v>34692.54</v>
      </c>
    </row>
    <row r="115" spans="1:9" x14ac:dyDescent="0.25">
      <c r="A115" s="176">
        <v>44713</v>
      </c>
      <c r="B115" s="170">
        <v>279544</v>
      </c>
      <c r="C115" s="170" t="s">
        <v>999</v>
      </c>
      <c r="D115" s="169" t="s">
        <v>898</v>
      </c>
      <c r="E115" s="170"/>
      <c r="F115" s="171" t="s">
        <v>953</v>
      </c>
      <c r="G115" s="178"/>
      <c r="H115" s="170">
        <v>-34692.54</v>
      </c>
      <c r="I115" s="178">
        <v>0</v>
      </c>
    </row>
    <row r="116" spans="1:9" x14ac:dyDescent="0.25">
      <c r="A116" s="176">
        <v>44768</v>
      </c>
      <c r="B116" s="170">
        <v>280000</v>
      </c>
      <c r="C116" s="170" t="s">
        <v>1000</v>
      </c>
      <c r="D116" s="169" t="s">
        <v>1001</v>
      </c>
      <c r="E116" s="170"/>
      <c r="F116" s="171" t="s">
        <v>956</v>
      </c>
      <c r="G116" s="178">
        <v>26077.279999999999</v>
      </c>
      <c r="H116" s="170"/>
      <c r="I116" s="178">
        <v>26077.279999999999</v>
      </c>
    </row>
    <row r="117" spans="1:9" x14ac:dyDescent="0.25">
      <c r="A117" s="176">
        <v>44774</v>
      </c>
      <c r="B117" s="170">
        <v>280745</v>
      </c>
      <c r="C117" s="170" t="s">
        <v>1000</v>
      </c>
      <c r="D117" s="169">
        <v>82022</v>
      </c>
      <c r="E117" s="170"/>
      <c r="F117" s="171" t="s">
        <v>953</v>
      </c>
      <c r="G117" s="178"/>
      <c r="H117" s="170">
        <v>-26077.279999999999</v>
      </c>
      <c r="I117" s="178">
        <v>0</v>
      </c>
    </row>
    <row r="118" spans="1:9" x14ac:dyDescent="0.25">
      <c r="A118" s="176">
        <v>44924</v>
      </c>
      <c r="B118" s="170">
        <v>285062</v>
      </c>
      <c r="C118" s="170" t="s">
        <v>1087</v>
      </c>
      <c r="D118" s="169" t="s">
        <v>1088</v>
      </c>
      <c r="E118" s="170"/>
      <c r="F118" s="171"/>
      <c r="G118" s="178">
        <v>160515.44</v>
      </c>
      <c r="H118" s="170"/>
      <c r="I118" s="178">
        <v>160515.44</v>
      </c>
    </row>
    <row r="119" spans="1:9" x14ac:dyDescent="0.25">
      <c r="A119" s="173" t="s">
        <v>845</v>
      </c>
      <c r="B119" s="173" t="s">
        <v>530</v>
      </c>
      <c r="C119" s="173">
        <v>112323</v>
      </c>
      <c r="D119" s="174" t="s">
        <v>100</v>
      </c>
      <c r="E119" s="173" t="s">
        <v>846</v>
      </c>
      <c r="F119" s="179">
        <v>5083.6400000000003</v>
      </c>
      <c r="G119" s="173"/>
      <c r="H119" s="173"/>
      <c r="I119" s="173"/>
    </row>
    <row r="120" spans="1:9" x14ac:dyDescent="0.25">
      <c r="A120" s="176">
        <v>44592</v>
      </c>
      <c r="B120" s="170">
        <v>272636</v>
      </c>
      <c r="C120" s="170" t="s">
        <v>975</v>
      </c>
      <c r="D120" s="169" t="s">
        <v>890</v>
      </c>
      <c r="E120" s="170"/>
      <c r="F120" s="171" t="s">
        <v>935</v>
      </c>
      <c r="G120" s="170">
        <v>27.68</v>
      </c>
      <c r="H120" s="170"/>
      <c r="I120" s="178">
        <v>5111.32</v>
      </c>
    </row>
    <row r="121" spans="1:9" x14ac:dyDescent="0.25">
      <c r="A121" s="176">
        <v>44620</v>
      </c>
      <c r="B121" s="170">
        <v>274746</v>
      </c>
      <c r="C121" s="170" t="s">
        <v>976</v>
      </c>
      <c r="D121" s="169">
        <v>22022</v>
      </c>
      <c r="E121" s="170"/>
      <c r="F121" s="171" t="s">
        <v>935</v>
      </c>
      <c r="G121" s="170">
        <v>28.81</v>
      </c>
      <c r="H121" s="170"/>
      <c r="I121" s="178">
        <v>5140.13</v>
      </c>
    </row>
    <row r="122" spans="1:9" x14ac:dyDescent="0.25">
      <c r="A122" s="176">
        <v>44651</v>
      </c>
      <c r="B122" s="170">
        <v>277487</v>
      </c>
      <c r="C122" s="170" t="s">
        <v>978</v>
      </c>
      <c r="D122" s="169" t="s">
        <v>893</v>
      </c>
      <c r="E122" s="170"/>
      <c r="F122" s="171" t="s">
        <v>935</v>
      </c>
      <c r="G122" s="170">
        <v>41</v>
      </c>
      <c r="H122" s="170"/>
      <c r="I122" s="178">
        <v>5181.13</v>
      </c>
    </row>
    <row r="123" spans="1:9" x14ac:dyDescent="0.25">
      <c r="A123" s="176">
        <v>44651</v>
      </c>
      <c r="B123" s="170">
        <v>277751</v>
      </c>
      <c r="C123" s="170" t="s">
        <v>1002</v>
      </c>
      <c r="D123" s="169" t="s">
        <v>893</v>
      </c>
      <c r="E123" s="170"/>
      <c r="F123" s="171" t="s">
        <v>953</v>
      </c>
      <c r="G123" s="170">
        <v>617.96</v>
      </c>
      <c r="H123" s="170"/>
      <c r="I123" s="178">
        <v>5799.09</v>
      </c>
    </row>
    <row r="124" spans="1:9" x14ac:dyDescent="0.25">
      <c r="A124" s="176">
        <v>44681</v>
      </c>
      <c r="B124" s="170">
        <v>278192</v>
      </c>
      <c r="C124" s="170" t="s">
        <v>979</v>
      </c>
      <c r="D124" s="177" t="s">
        <v>895</v>
      </c>
      <c r="E124" s="170"/>
      <c r="F124" s="171" t="s">
        <v>935</v>
      </c>
      <c r="G124" s="170">
        <v>36.6</v>
      </c>
      <c r="H124" s="178"/>
      <c r="I124" s="178">
        <v>5835.69</v>
      </c>
    </row>
    <row r="125" spans="1:9" x14ac:dyDescent="0.25">
      <c r="A125" s="176">
        <v>44712</v>
      </c>
      <c r="B125" s="170">
        <v>278909</v>
      </c>
      <c r="C125" s="170" t="s">
        <v>980</v>
      </c>
      <c r="D125" s="177" t="s">
        <v>897</v>
      </c>
      <c r="E125" s="170"/>
      <c r="F125" s="171" t="s">
        <v>935</v>
      </c>
      <c r="G125" s="170">
        <v>45.41</v>
      </c>
      <c r="H125" s="178"/>
      <c r="I125" s="178">
        <v>5881.1</v>
      </c>
    </row>
    <row r="126" spans="1:9" x14ac:dyDescent="0.25">
      <c r="A126" s="176">
        <v>44742</v>
      </c>
      <c r="B126" s="170">
        <v>279578</v>
      </c>
      <c r="C126" s="170" t="s">
        <v>981</v>
      </c>
      <c r="D126" s="169" t="s">
        <v>898</v>
      </c>
      <c r="E126" s="170"/>
      <c r="F126" s="171" t="s">
        <v>935</v>
      </c>
      <c r="G126" s="170">
        <v>44.98</v>
      </c>
      <c r="H126" s="178"/>
      <c r="I126" s="178">
        <v>5926.08</v>
      </c>
    </row>
    <row r="127" spans="1:9" x14ac:dyDescent="0.25">
      <c r="A127" s="176">
        <v>44773</v>
      </c>
      <c r="B127" s="170">
        <v>280388</v>
      </c>
      <c r="C127" s="170" t="s">
        <v>982</v>
      </c>
      <c r="D127" s="169" t="s">
        <v>900</v>
      </c>
      <c r="E127" s="170"/>
      <c r="F127" s="171" t="s">
        <v>935</v>
      </c>
      <c r="G127" s="170">
        <v>45.42</v>
      </c>
      <c r="H127" s="178"/>
      <c r="I127" s="178">
        <v>5971.5</v>
      </c>
    </row>
    <row r="128" spans="1:9" x14ac:dyDescent="0.25">
      <c r="A128" s="176">
        <v>44804</v>
      </c>
      <c r="B128" s="170">
        <v>281306</v>
      </c>
      <c r="C128" s="170" t="s">
        <v>983</v>
      </c>
      <c r="D128" s="169" t="s">
        <v>901</v>
      </c>
      <c r="E128" s="170"/>
      <c r="F128" s="171" t="s">
        <v>935</v>
      </c>
      <c r="G128" s="170">
        <v>51.59</v>
      </c>
      <c r="H128" s="170"/>
      <c r="I128" s="178">
        <v>6023.09</v>
      </c>
    </row>
    <row r="129" spans="1:9" x14ac:dyDescent="0.25">
      <c r="A129" s="176">
        <v>44834</v>
      </c>
      <c r="B129" s="170">
        <v>282447</v>
      </c>
      <c r="C129" s="170" t="s">
        <v>984</v>
      </c>
      <c r="D129" s="169">
        <v>92022</v>
      </c>
      <c r="E129" s="170"/>
      <c r="F129" s="171" t="s">
        <v>935</v>
      </c>
      <c r="G129" s="170">
        <v>47.18</v>
      </c>
      <c r="H129" s="178"/>
      <c r="I129" s="178">
        <v>6070.27</v>
      </c>
    </row>
    <row r="130" spans="1:9" x14ac:dyDescent="0.25">
      <c r="A130" s="176">
        <v>44865</v>
      </c>
      <c r="B130" s="170">
        <v>283490</v>
      </c>
      <c r="C130" s="170" t="s">
        <v>1077</v>
      </c>
      <c r="D130" s="169" t="s">
        <v>1078</v>
      </c>
      <c r="E130" s="170"/>
      <c r="G130" s="171">
        <v>44.97</v>
      </c>
      <c r="H130" s="170"/>
      <c r="I130" s="178">
        <v>6115.24</v>
      </c>
    </row>
    <row r="131" spans="1:9" x14ac:dyDescent="0.25">
      <c r="A131" s="176">
        <v>44895</v>
      </c>
      <c r="B131" s="170">
        <v>284081</v>
      </c>
      <c r="C131" s="170" t="s">
        <v>1079</v>
      </c>
      <c r="D131" s="169" t="s">
        <v>1080</v>
      </c>
      <c r="E131" s="170"/>
      <c r="G131" s="171">
        <v>44.98</v>
      </c>
      <c r="H131" s="170"/>
      <c r="I131" s="178">
        <v>6160.22</v>
      </c>
    </row>
    <row r="132" spans="1:9" x14ac:dyDescent="0.25">
      <c r="A132" s="176">
        <v>44926</v>
      </c>
      <c r="B132" s="170">
        <v>285123</v>
      </c>
      <c r="C132" s="170" t="s">
        <v>1081</v>
      </c>
      <c r="D132" s="169" t="s">
        <v>1082</v>
      </c>
      <c r="E132" s="170"/>
      <c r="G132" s="171">
        <v>49.37</v>
      </c>
      <c r="H132" s="170"/>
      <c r="I132" s="178">
        <v>6209.59</v>
      </c>
    </row>
    <row r="133" spans="1:9" x14ac:dyDescent="0.25">
      <c r="A133" s="173" t="s">
        <v>845</v>
      </c>
      <c r="B133" s="173" t="s">
        <v>316</v>
      </c>
      <c r="C133" s="173">
        <v>112327</v>
      </c>
      <c r="D133" s="174" t="s">
        <v>101</v>
      </c>
      <c r="E133" s="173" t="s">
        <v>846</v>
      </c>
      <c r="F133" s="179">
        <v>214.89</v>
      </c>
      <c r="G133" s="173"/>
      <c r="H133" s="173"/>
      <c r="I133" s="173"/>
    </row>
    <row r="134" spans="1:9" x14ac:dyDescent="0.25">
      <c r="A134" s="176">
        <v>44592</v>
      </c>
      <c r="B134" s="170">
        <v>272633</v>
      </c>
      <c r="C134" s="170" t="s">
        <v>975</v>
      </c>
      <c r="D134" s="169" t="s">
        <v>890</v>
      </c>
      <c r="E134" s="170"/>
      <c r="F134" s="171" t="s">
        <v>935</v>
      </c>
      <c r="G134" s="170">
        <v>1.5</v>
      </c>
      <c r="H134" s="178"/>
      <c r="I134" s="178">
        <v>216.39</v>
      </c>
    </row>
    <row r="135" spans="1:9" x14ac:dyDescent="0.25">
      <c r="A135" s="176">
        <v>44620</v>
      </c>
      <c r="B135" s="170">
        <v>274747</v>
      </c>
      <c r="C135" s="170" t="s">
        <v>976</v>
      </c>
      <c r="D135" s="169" t="s">
        <v>977</v>
      </c>
      <c r="E135" s="170"/>
      <c r="F135" s="171" t="s">
        <v>935</v>
      </c>
      <c r="G135" s="170">
        <v>1.56</v>
      </c>
      <c r="H135" s="170"/>
      <c r="I135" s="178">
        <v>217.95</v>
      </c>
    </row>
    <row r="136" spans="1:9" x14ac:dyDescent="0.25">
      <c r="A136" s="176">
        <v>44651</v>
      </c>
      <c r="B136" s="170">
        <v>277488</v>
      </c>
      <c r="C136" s="170" t="s">
        <v>978</v>
      </c>
      <c r="D136" s="169" t="s">
        <v>893</v>
      </c>
      <c r="E136" s="170"/>
      <c r="F136" s="171" t="s">
        <v>935</v>
      </c>
      <c r="G136" s="170">
        <v>1.91</v>
      </c>
      <c r="H136" s="170"/>
      <c r="I136" s="178">
        <v>219.86</v>
      </c>
    </row>
    <row r="137" spans="1:9" x14ac:dyDescent="0.25">
      <c r="A137" s="176">
        <v>44681</v>
      </c>
      <c r="B137" s="170">
        <v>278193</v>
      </c>
      <c r="C137" s="170" t="s">
        <v>979</v>
      </c>
      <c r="D137" s="169" t="s">
        <v>895</v>
      </c>
      <c r="E137" s="170"/>
      <c r="F137" s="171" t="s">
        <v>935</v>
      </c>
      <c r="G137" s="170">
        <v>1.71</v>
      </c>
      <c r="H137" s="178"/>
      <c r="I137" s="178">
        <v>221.57</v>
      </c>
    </row>
    <row r="138" spans="1:9" x14ac:dyDescent="0.25">
      <c r="A138" s="176">
        <v>44712</v>
      </c>
      <c r="B138" s="170">
        <v>278910</v>
      </c>
      <c r="C138" s="170" t="s">
        <v>980</v>
      </c>
      <c r="D138" s="169" t="s">
        <v>897</v>
      </c>
      <c r="E138" s="170"/>
      <c r="F138" s="171" t="s">
        <v>935</v>
      </c>
      <c r="G138" s="170">
        <v>2.12</v>
      </c>
      <c r="H138" s="170"/>
      <c r="I138" s="178">
        <v>223.69</v>
      </c>
    </row>
    <row r="139" spans="1:9" x14ac:dyDescent="0.25">
      <c r="A139" s="176">
        <v>44742</v>
      </c>
      <c r="B139" s="170">
        <v>279579</v>
      </c>
      <c r="C139" s="170" t="s">
        <v>981</v>
      </c>
      <c r="D139" s="169" t="s">
        <v>898</v>
      </c>
      <c r="E139" s="170"/>
      <c r="F139" s="171" t="s">
        <v>935</v>
      </c>
      <c r="G139" s="170">
        <v>2.11</v>
      </c>
      <c r="H139" s="170"/>
      <c r="I139" s="178">
        <v>225.8</v>
      </c>
    </row>
    <row r="140" spans="1:9" x14ac:dyDescent="0.25">
      <c r="A140" s="176">
        <v>44773</v>
      </c>
      <c r="B140" s="170">
        <v>280389</v>
      </c>
      <c r="C140" s="170" t="s">
        <v>982</v>
      </c>
      <c r="D140" s="169" t="s">
        <v>900</v>
      </c>
      <c r="E140" s="170"/>
      <c r="F140" s="171" t="s">
        <v>935</v>
      </c>
      <c r="G140" s="170">
        <v>2.12</v>
      </c>
      <c r="H140" s="170"/>
      <c r="I140" s="178">
        <v>227.92</v>
      </c>
    </row>
    <row r="141" spans="1:9" x14ac:dyDescent="0.25">
      <c r="A141" s="176">
        <v>44804</v>
      </c>
      <c r="B141" s="170">
        <v>281307</v>
      </c>
      <c r="C141" s="170" t="s">
        <v>983</v>
      </c>
      <c r="D141" s="169" t="s">
        <v>901</v>
      </c>
      <c r="E141" s="170"/>
      <c r="F141" s="171" t="s">
        <v>935</v>
      </c>
      <c r="G141" s="170">
        <v>2.41</v>
      </c>
      <c r="H141" s="170"/>
      <c r="I141" s="178">
        <v>230.33</v>
      </c>
    </row>
    <row r="142" spans="1:9" x14ac:dyDescent="0.25">
      <c r="A142" s="176">
        <v>44834</v>
      </c>
      <c r="B142" s="170">
        <v>282448</v>
      </c>
      <c r="C142" s="170" t="s">
        <v>984</v>
      </c>
      <c r="D142" s="169">
        <v>92022</v>
      </c>
      <c r="E142" s="170"/>
      <c r="F142" s="171" t="s">
        <v>935</v>
      </c>
      <c r="G142" s="170">
        <v>2.2000000000000002</v>
      </c>
      <c r="H142" s="170"/>
      <c r="I142" s="178">
        <v>232.53</v>
      </c>
    </row>
    <row r="143" spans="1:9" x14ac:dyDescent="0.25">
      <c r="A143" s="176">
        <v>44865</v>
      </c>
      <c r="B143" s="170">
        <v>283492</v>
      </c>
      <c r="C143" s="170" t="s">
        <v>1077</v>
      </c>
      <c r="D143" s="169" t="s">
        <v>1078</v>
      </c>
      <c r="E143" s="170"/>
      <c r="F143" s="171"/>
      <c r="G143" s="170">
        <v>2.1</v>
      </c>
      <c r="H143" s="170"/>
      <c r="I143" s="178">
        <v>234.63</v>
      </c>
    </row>
    <row r="144" spans="1:9" x14ac:dyDescent="0.25">
      <c r="A144" s="176">
        <v>44895</v>
      </c>
      <c r="B144" s="170">
        <v>284083</v>
      </c>
      <c r="C144" s="170" t="s">
        <v>1079</v>
      </c>
      <c r="D144" s="169" t="s">
        <v>1080</v>
      </c>
      <c r="E144" s="170"/>
      <c r="F144" s="171"/>
      <c r="G144" s="170">
        <v>2.1</v>
      </c>
      <c r="H144" s="170"/>
      <c r="I144" s="178">
        <v>236.73</v>
      </c>
    </row>
    <row r="145" spans="1:9" x14ac:dyDescent="0.25">
      <c r="A145" s="176">
        <v>44926</v>
      </c>
      <c r="B145" s="170">
        <v>285125</v>
      </c>
      <c r="C145" s="170" t="s">
        <v>1081</v>
      </c>
      <c r="D145" s="169" t="s">
        <v>1082</v>
      </c>
      <c r="E145" s="170"/>
      <c r="F145" s="171"/>
      <c r="G145" s="170">
        <v>2.2999999999999998</v>
      </c>
      <c r="H145" s="170"/>
      <c r="I145" s="178">
        <v>239.03</v>
      </c>
    </row>
    <row r="146" spans="1:9" x14ac:dyDescent="0.25">
      <c r="A146" s="173" t="s">
        <v>845</v>
      </c>
      <c r="B146" s="173" t="s">
        <v>797</v>
      </c>
      <c r="C146" s="173">
        <v>112332</v>
      </c>
      <c r="D146" s="174" t="s">
        <v>798</v>
      </c>
      <c r="E146" s="173" t="s">
        <v>846</v>
      </c>
      <c r="F146" s="179">
        <v>0</v>
      </c>
      <c r="G146" s="173"/>
      <c r="H146" s="173"/>
      <c r="I146" s="173"/>
    </row>
    <row r="147" spans="1:9" x14ac:dyDescent="0.25">
      <c r="A147" s="176">
        <v>44774</v>
      </c>
      <c r="B147" s="170">
        <v>281725</v>
      </c>
      <c r="C147" s="170" t="s">
        <v>1003</v>
      </c>
      <c r="D147" s="169" t="s">
        <v>890</v>
      </c>
      <c r="E147" s="170"/>
      <c r="F147" s="171" t="s">
        <v>1004</v>
      </c>
      <c r="G147" s="170">
        <v>271598.88</v>
      </c>
      <c r="H147" s="170"/>
      <c r="I147" s="178">
        <v>271598.88</v>
      </c>
    </row>
    <row r="148" spans="1:9" x14ac:dyDescent="0.25">
      <c r="A148" s="176">
        <v>44834</v>
      </c>
      <c r="B148" s="170">
        <v>282452</v>
      </c>
      <c r="C148" s="170" t="s">
        <v>1005</v>
      </c>
      <c r="D148" s="169">
        <v>12022</v>
      </c>
      <c r="E148" s="170"/>
      <c r="F148" s="171" t="s">
        <v>935</v>
      </c>
      <c r="G148" s="170">
        <v>1982.67</v>
      </c>
      <c r="H148" s="170"/>
      <c r="I148" s="178">
        <v>273581.55</v>
      </c>
    </row>
    <row r="149" spans="1:9" x14ac:dyDescent="0.25">
      <c r="A149" s="176">
        <v>44834</v>
      </c>
      <c r="B149" s="170">
        <v>282453</v>
      </c>
      <c r="C149" s="170" t="s">
        <v>1006</v>
      </c>
      <c r="D149" s="169">
        <v>22022</v>
      </c>
      <c r="E149" s="170"/>
      <c r="F149" s="171" t="s">
        <v>935</v>
      </c>
      <c r="G149" s="170">
        <v>2064.15</v>
      </c>
      <c r="H149" s="170"/>
      <c r="I149" s="178">
        <v>275645.7</v>
      </c>
    </row>
    <row r="150" spans="1:9" x14ac:dyDescent="0.25">
      <c r="A150" s="176">
        <v>44834</v>
      </c>
      <c r="B150" s="170">
        <v>282454</v>
      </c>
      <c r="C150" s="170" t="s">
        <v>1007</v>
      </c>
      <c r="D150" s="169">
        <v>32022</v>
      </c>
      <c r="E150" s="170"/>
      <c r="F150" s="171" t="s">
        <v>935</v>
      </c>
      <c r="G150" s="170">
        <v>2525.87</v>
      </c>
      <c r="H150" s="170"/>
      <c r="I150" s="178">
        <v>278171.57</v>
      </c>
    </row>
    <row r="151" spans="1:9" x14ac:dyDescent="0.25">
      <c r="A151" s="176">
        <v>44834</v>
      </c>
      <c r="B151" s="170">
        <v>282455</v>
      </c>
      <c r="C151" s="170" t="s">
        <v>1008</v>
      </c>
      <c r="D151" s="169">
        <v>42022</v>
      </c>
      <c r="E151" s="170"/>
      <c r="F151" s="171" t="s">
        <v>935</v>
      </c>
      <c r="G151" s="170">
        <v>2254.27</v>
      </c>
      <c r="H151" s="170"/>
      <c r="I151" s="178">
        <v>280425.84000000003</v>
      </c>
    </row>
    <row r="152" spans="1:9" x14ac:dyDescent="0.25">
      <c r="A152" s="176">
        <v>44834</v>
      </c>
      <c r="B152" s="170">
        <v>282456</v>
      </c>
      <c r="C152" s="170" t="s">
        <v>1009</v>
      </c>
      <c r="D152" s="169">
        <v>52022</v>
      </c>
      <c r="E152" s="170"/>
      <c r="F152" s="171" t="s">
        <v>935</v>
      </c>
      <c r="G152" s="170">
        <v>2797.47</v>
      </c>
      <c r="H152" s="170"/>
      <c r="I152" s="178">
        <v>283223.31</v>
      </c>
    </row>
    <row r="153" spans="1:9" x14ac:dyDescent="0.25">
      <c r="A153" s="176">
        <v>44834</v>
      </c>
      <c r="B153" s="170">
        <v>282457</v>
      </c>
      <c r="C153" s="170" t="s">
        <v>1010</v>
      </c>
      <c r="D153" s="169">
        <v>62022</v>
      </c>
      <c r="E153" s="170"/>
      <c r="F153" s="171" t="s">
        <v>935</v>
      </c>
      <c r="G153" s="170">
        <v>2770.31</v>
      </c>
      <c r="H153" s="170"/>
      <c r="I153" s="178">
        <v>285993.62</v>
      </c>
    </row>
    <row r="154" spans="1:9" x14ac:dyDescent="0.25">
      <c r="A154" s="176">
        <v>44834</v>
      </c>
      <c r="B154" s="170">
        <v>282458</v>
      </c>
      <c r="C154" s="170" t="s">
        <v>1011</v>
      </c>
      <c r="D154" s="169">
        <v>72022</v>
      </c>
      <c r="E154" s="170"/>
      <c r="F154" s="171" t="s">
        <v>935</v>
      </c>
      <c r="G154" s="170">
        <v>2797.47</v>
      </c>
      <c r="H154" s="170"/>
      <c r="I154" s="178">
        <v>288791.09000000003</v>
      </c>
    </row>
    <row r="155" spans="1:9" x14ac:dyDescent="0.25">
      <c r="A155" s="176">
        <v>44834</v>
      </c>
      <c r="B155" s="170">
        <v>282459</v>
      </c>
      <c r="C155" s="170" t="s">
        <v>1012</v>
      </c>
      <c r="D155" s="169">
        <v>82022</v>
      </c>
      <c r="E155" s="170"/>
      <c r="F155" s="171" t="s">
        <v>935</v>
      </c>
      <c r="G155" s="170">
        <v>3177.71</v>
      </c>
      <c r="H155" s="170"/>
      <c r="I155" s="178">
        <v>291968.8</v>
      </c>
    </row>
    <row r="156" spans="1:9" x14ac:dyDescent="0.25">
      <c r="A156" s="176">
        <v>44834</v>
      </c>
      <c r="B156" s="170">
        <v>282460</v>
      </c>
      <c r="C156" s="170" t="s">
        <v>1013</v>
      </c>
      <c r="D156" s="169">
        <v>92022</v>
      </c>
      <c r="E156" s="170"/>
      <c r="F156" s="171" t="s">
        <v>935</v>
      </c>
      <c r="G156" s="170">
        <v>2906.1</v>
      </c>
      <c r="H156" s="170"/>
      <c r="I156" s="178">
        <v>294874.90000000002</v>
      </c>
    </row>
    <row r="157" spans="1:9" x14ac:dyDescent="0.25">
      <c r="A157" s="173" t="s">
        <v>845</v>
      </c>
      <c r="B157" s="173" t="s">
        <v>799</v>
      </c>
      <c r="C157" s="173">
        <v>112333</v>
      </c>
      <c r="D157" s="174" t="s">
        <v>800</v>
      </c>
      <c r="E157" s="173" t="s">
        <v>846</v>
      </c>
      <c r="F157" s="179">
        <v>0</v>
      </c>
      <c r="G157" s="173"/>
      <c r="H157" s="173"/>
      <c r="I157" s="173"/>
    </row>
    <row r="158" spans="1:9" x14ac:dyDescent="0.25">
      <c r="A158" s="176">
        <v>44774</v>
      </c>
      <c r="B158" s="170">
        <v>281726</v>
      </c>
      <c r="C158" s="170" t="s">
        <v>1003</v>
      </c>
      <c r="D158" s="169" t="s">
        <v>890</v>
      </c>
      <c r="E158" s="170"/>
      <c r="F158" s="171" t="s">
        <v>1004</v>
      </c>
      <c r="G158" s="170">
        <v>104108.06</v>
      </c>
      <c r="H158" s="170"/>
      <c r="I158" s="178">
        <v>104108.06</v>
      </c>
    </row>
    <row r="159" spans="1:9" x14ac:dyDescent="0.25">
      <c r="A159" s="176">
        <v>44834</v>
      </c>
      <c r="B159" s="170">
        <v>282461</v>
      </c>
      <c r="C159" s="170" t="s">
        <v>1014</v>
      </c>
      <c r="D159" s="169">
        <v>12022</v>
      </c>
      <c r="E159" s="170"/>
      <c r="F159" s="171" t="s">
        <v>935</v>
      </c>
      <c r="G159" s="170">
        <v>759.99</v>
      </c>
      <c r="H159" s="170"/>
      <c r="I159" s="178">
        <v>104868.05</v>
      </c>
    </row>
    <row r="160" spans="1:9" x14ac:dyDescent="0.25">
      <c r="A160" s="176">
        <v>44834</v>
      </c>
      <c r="B160" s="170">
        <v>282462</v>
      </c>
      <c r="C160" s="170" t="s">
        <v>1015</v>
      </c>
      <c r="D160" s="169">
        <v>22022</v>
      </c>
      <c r="E160" s="170"/>
      <c r="F160" s="171" t="s">
        <v>935</v>
      </c>
      <c r="G160" s="170">
        <v>791.22</v>
      </c>
      <c r="H160" s="170"/>
      <c r="I160" s="178">
        <v>105659.27</v>
      </c>
    </row>
    <row r="161" spans="1:56" x14ac:dyDescent="0.25">
      <c r="A161" s="176">
        <v>44834</v>
      </c>
      <c r="B161" s="170">
        <v>282463</v>
      </c>
      <c r="C161" s="170" t="s">
        <v>1016</v>
      </c>
      <c r="D161" s="169">
        <v>32022</v>
      </c>
      <c r="E161" s="170"/>
      <c r="F161" s="171" t="s">
        <v>935</v>
      </c>
      <c r="G161" s="170">
        <v>968.2</v>
      </c>
      <c r="H161" s="170"/>
      <c r="I161" s="178">
        <v>106627.47</v>
      </c>
    </row>
    <row r="162" spans="1:56" x14ac:dyDescent="0.25">
      <c r="A162" s="176">
        <v>44834</v>
      </c>
      <c r="B162" s="170">
        <v>282464</v>
      </c>
      <c r="C162" s="170" t="s">
        <v>1017</v>
      </c>
      <c r="D162" s="169">
        <v>42022</v>
      </c>
      <c r="E162" s="170"/>
      <c r="F162" s="171" t="s">
        <v>935</v>
      </c>
      <c r="G162" s="170">
        <v>864.1</v>
      </c>
      <c r="H162" s="170"/>
      <c r="I162" s="178">
        <v>107491.57</v>
      </c>
    </row>
    <row r="163" spans="1:56" x14ac:dyDescent="0.25">
      <c r="A163" s="176">
        <v>44834</v>
      </c>
      <c r="B163" s="170">
        <v>282465</v>
      </c>
      <c r="C163" s="170" t="s">
        <v>1018</v>
      </c>
      <c r="D163" s="169">
        <v>52022</v>
      </c>
      <c r="E163" s="170"/>
      <c r="F163" s="171" t="s">
        <v>935</v>
      </c>
      <c r="G163" s="170">
        <v>1072.31</v>
      </c>
      <c r="H163" s="170"/>
      <c r="I163" s="178">
        <v>108563.88</v>
      </c>
    </row>
    <row r="164" spans="1:56" x14ac:dyDescent="0.25">
      <c r="A164" s="176">
        <v>44834</v>
      </c>
      <c r="B164" s="170">
        <v>282466</v>
      </c>
      <c r="C164" s="170" t="s">
        <v>1019</v>
      </c>
      <c r="D164" s="169">
        <v>62022</v>
      </c>
      <c r="E164" s="170"/>
      <c r="F164" s="171" t="s">
        <v>935</v>
      </c>
      <c r="G164" s="170">
        <v>1061.9000000000001</v>
      </c>
      <c r="H164" s="170"/>
      <c r="I164" s="178">
        <v>109625.78</v>
      </c>
    </row>
    <row r="165" spans="1:56" x14ac:dyDescent="0.25">
      <c r="A165" s="176">
        <v>44834</v>
      </c>
      <c r="B165" s="170">
        <v>282467</v>
      </c>
      <c r="C165" s="170" t="s">
        <v>1020</v>
      </c>
      <c r="D165" s="169">
        <v>72022</v>
      </c>
      <c r="E165" s="170"/>
      <c r="F165" s="171" t="s">
        <v>935</v>
      </c>
      <c r="G165" s="170">
        <v>1072.31</v>
      </c>
      <c r="H165" s="170"/>
      <c r="I165" s="178">
        <v>110698.09</v>
      </c>
    </row>
    <row r="166" spans="1:56" x14ac:dyDescent="0.25">
      <c r="A166" s="176">
        <v>44834</v>
      </c>
      <c r="B166" s="170">
        <v>282468</v>
      </c>
      <c r="C166" s="170" t="s">
        <v>1021</v>
      </c>
      <c r="D166" s="169">
        <v>82022</v>
      </c>
      <c r="E166" s="170"/>
      <c r="F166" s="171" t="s">
        <v>935</v>
      </c>
      <c r="G166" s="170">
        <v>1218.06</v>
      </c>
      <c r="H166" s="170"/>
      <c r="I166" s="178">
        <v>111916.15</v>
      </c>
    </row>
    <row r="167" spans="1:56" x14ac:dyDescent="0.25">
      <c r="A167" s="176">
        <v>44834</v>
      </c>
      <c r="B167" s="170">
        <v>282469</v>
      </c>
      <c r="C167" s="170" t="s">
        <v>1022</v>
      </c>
      <c r="D167" s="169">
        <v>92022</v>
      </c>
      <c r="E167" s="170"/>
      <c r="F167" s="171" t="s">
        <v>935</v>
      </c>
      <c r="G167" s="170">
        <v>1113.97</v>
      </c>
      <c r="H167" s="170"/>
      <c r="I167" s="178">
        <v>113030.12</v>
      </c>
    </row>
    <row r="168" spans="1:56" x14ac:dyDescent="0.25">
      <c r="A168" s="173" t="s">
        <v>845</v>
      </c>
      <c r="B168" s="173" t="s">
        <v>801</v>
      </c>
      <c r="C168" s="173">
        <v>112334</v>
      </c>
      <c r="D168" s="174" t="s">
        <v>802</v>
      </c>
      <c r="E168" s="173" t="s">
        <v>846</v>
      </c>
      <c r="F168" s="179">
        <v>0</v>
      </c>
      <c r="G168" s="173"/>
      <c r="H168" s="173"/>
      <c r="I168" s="173"/>
    </row>
    <row r="169" spans="1:56" s="139" customFormat="1" x14ac:dyDescent="0.25">
      <c r="A169" s="176">
        <v>44782</v>
      </c>
      <c r="B169" s="170">
        <v>280775</v>
      </c>
      <c r="C169" s="170" t="s">
        <v>1023</v>
      </c>
      <c r="D169" s="169" t="s">
        <v>1024</v>
      </c>
      <c r="E169" s="170"/>
      <c r="F169" s="171" t="s">
        <v>1025</v>
      </c>
      <c r="G169" s="170">
        <v>187.79</v>
      </c>
      <c r="H169" s="170"/>
      <c r="I169" s="178">
        <v>187.79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x14ac:dyDescent="0.25">
      <c r="A170" s="176">
        <v>44834</v>
      </c>
      <c r="B170" s="170">
        <v>282532</v>
      </c>
      <c r="C170" s="170" t="s">
        <v>1026</v>
      </c>
      <c r="D170" s="169" t="s">
        <v>903</v>
      </c>
      <c r="E170" s="170"/>
      <c r="F170" s="171" t="s">
        <v>935</v>
      </c>
      <c r="G170" s="170">
        <v>2.0099999999999998</v>
      </c>
      <c r="H170" s="170"/>
      <c r="I170" s="178">
        <v>189.8</v>
      </c>
    </row>
    <row r="171" spans="1:56" x14ac:dyDescent="0.25">
      <c r="A171" s="173" t="s">
        <v>845</v>
      </c>
      <c r="B171" s="173" t="s">
        <v>318</v>
      </c>
      <c r="C171" s="173">
        <v>1123999</v>
      </c>
      <c r="D171" s="174" t="s">
        <v>319</v>
      </c>
      <c r="E171" s="173" t="s">
        <v>846</v>
      </c>
      <c r="F171" s="179">
        <v>0</v>
      </c>
      <c r="G171" s="173"/>
      <c r="H171" s="173"/>
      <c r="I171" s="173"/>
    </row>
    <row r="172" spans="1:56" x14ac:dyDescent="0.25">
      <c r="A172" s="176">
        <v>44593</v>
      </c>
      <c r="B172" s="170">
        <v>274769</v>
      </c>
      <c r="C172" s="170" t="s">
        <v>1027</v>
      </c>
      <c r="D172" s="169" t="s">
        <v>1028</v>
      </c>
      <c r="E172" s="170"/>
      <c r="F172" s="171" t="s">
        <v>1029</v>
      </c>
      <c r="G172" s="170">
        <v>3836.68</v>
      </c>
      <c r="H172" s="170"/>
      <c r="I172" s="178">
        <v>3836.68</v>
      </c>
    </row>
    <row r="173" spans="1:56" x14ac:dyDescent="0.25">
      <c r="A173" s="176">
        <v>44593</v>
      </c>
      <c r="B173" s="170">
        <v>274770</v>
      </c>
      <c r="C173" s="170" t="s">
        <v>1030</v>
      </c>
      <c r="D173" s="169" t="s">
        <v>1028</v>
      </c>
      <c r="E173" s="170"/>
      <c r="F173" s="171" t="s">
        <v>167</v>
      </c>
      <c r="G173" s="170"/>
      <c r="H173" s="170">
        <v>-3836.68</v>
      </c>
      <c r="I173" s="178">
        <v>0</v>
      </c>
    </row>
    <row r="174" spans="1:56" x14ac:dyDescent="0.25">
      <c r="A174" s="173" t="s">
        <v>845</v>
      </c>
      <c r="B174" s="173" t="s">
        <v>544</v>
      </c>
      <c r="C174" s="173">
        <v>12131</v>
      </c>
      <c r="D174" s="174" t="s">
        <v>114</v>
      </c>
      <c r="E174" s="173" t="s">
        <v>846</v>
      </c>
      <c r="F174" s="179">
        <v>69814.789999999994</v>
      </c>
      <c r="G174" s="173"/>
      <c r="H174" s="173"/>
      <c r="I174" s="173"/>
    </row>
    <row r="175" spans="1:56" x14ac:dyDescent="0.25">
      <c r="A175" s="176">
        <v>44592</v>
      </c>
      <c r="B175" s="170">
        <v>272634</v>
      </c>
      <c r="C175" s="170" t="s">
        <v>975</v>
      </c>
      <c r="D175" s="169" t="s">
        <v>890</v>
      </c>
      <c r="E175" s="170"/>
      <c r="F175" s="171" t="s">
        <v>935</v>
      </c>
      <c r="G175" s="170">
        <v>471.95</v>
      </c>
      <c r="H175" s="170"/>
      <c r="I175" s="178">
        <v>70286.740000000005</v>
      </c>
    </row>
    <row r="176" spans="1:56" x14ac:dyDescent="0.25">
      <c r="A176" s="176">
        <v>44620</v>
      </c>
      <c r="B176" s="170">
        <v>274748</v>
      </c>
      <c r="C176" s="170" t="s">
        <v>976</v>
      </c>
      <c r="D176" s="169" t="s">
        <v>977</v>
      </c>
      <c r="E176" s="170"/>
      <c r="F176" s="171" t="s">
        <v>935</v>
      </c>
      <c r="G176" s="170">
        <v>491.35</v>
      </c>
      <c r="H176" s="170"/>
      <c r="I176" s="178">
        <v>70778.09</v>
      </c>
    </row>
    <row r="177" spans="1:9" x14ac:dyDescent="0.25">
      <c r="A177" s="176">
        <v>44651</v>
      </c>
      <c r="B177" s="170">
        <v>277489</v>
      </c>
      <c r="C177" s="170" t="s">
        <v>978</v>
      </c>
      <c r="D177" s="169" t="s">
        <v>893</v>
      </c>
      <c r="E177" s="170"/>
      <c r="F177" s="171" t="s">
        <v>935</v>
      </c>
      <c r="G177" s="170">
        <v>601.25</v>
      </c>
      <c r="H177" s="170"/>
      <c r="I177" s="178">
        <v>71379.34</v>
      </c>
    </row>
    <row r="178" spans="1:9" x14ac:dyDescent="0.25">
      <c r="A178" s="176">
        <v>44681</v>
      </c>
      <c r="B178" s="170">
        <v>278194</v>
      </c>
      <c r="C178" s="170" t="s">
        <v>979</v>
      </c>
      <c r="D178" s="169" t="s">
        <v>895</v>
      </c>
      <c r="E178" s="170"/>
      <c r="F178" s="171" t="s">
        <v>935</v>
      </c>
      <c r="G178" s="170">
        <v>536.6</v>
      </c>
      <c r="H178" s="170"/>
      <c r="I178" s="178">
        <v>71915.94</v>
      </c>
    </row>
    <row r="179" spans="1:9" x14ac:dyDescent="0.25">
      <c r="A179" s="176">
        <v>44690</v>
      </c>
      <c r="B179" s="170">
        <v>278920</v>
      </c>
      <c r="C179" s="170" t="s">
        <v>1031</v>
      </c>
      <c r="D179" s="169" t="s">
        <v>1032</v>
      </c>
      <c r="E179" s="170"/>
      <c r="F179" s="171" t="s">
        <v>1025</v>
      </c>
      <c r="G179" s="170"/>
      <c r="H179" s="170">
        <v>-105415.29</v>
      </c>
      <c r="I179" s="178">
        <v>-33499.35</v>
      </c>
    </row>
    <row r="180" spans="1:9" x14ac:dyDescent="0.25">
      <c r="A180" s="176">
        <v>44690</v>
      </c>
      <c r="B180" s="170">
        <v>278937</v>
      </c>
      <c r="C180" s="170" t="s">
        <v>1033</v>
      </c>
      <c r="D180" s="169">
        <v>32022</v>
      </c>
      <c r="E180" s="170"/>
      <c r="F180" s="171" t="s">
        <v>935</v>
      </c>
      <c r="G180" s="170">
        <v>52864.35</v>
      </c>
      <c r="H180" s="170"/>
      <c r="I180" s="178">
        <v>19365</v>
      </c>
    </row>
    <row r="181" spans="1:9" x14ac:dyDescent="0.25">
      <c r="A181" s="176">
        <v>44712</v>
      </c>
      <c r="B181" s="170">
        <v>278911</v>
      </c>
      <c r="C181" s="170" t="s">
        <v>980</v>
      </c>
      <c r="D181" s="169" t="s">
        <v>897</v>
      </c>
      <c r="E181" s="170"/>
      <c r="F181" s="171" t="s">
        <v>935</v>
      </c>
      <c r="G181" s="170">
        <v>665.9</v>
      </c>
      <c r="H181" s="170"/>
      <c r="I181" s="178">
        <v>20030.900000000001</v>
      </c>
    </row>
    <row r="182" spans="1:9" x14ac:dyDescent="0.25">
      <c r="A182" s="176">
        <v>44742</v>
      </c>
      <c r="B182" s="170">
        <v>279580</v>
      </c>
      <c r="C182" s="170" t="s">
        <v>981</v>
      </c>
      <c r="D182" s="169" t="s">
        <v>898</v>
      </c>
      <c r="E182" s="170"/>
      <c r="F182" s="171" t="s">
        <v>935</v>
      </c>
      <c r="G182" s="170">
        <v>176.52</v>
      </c>
      <c r="H182" s="170"/>
      <c r="I182" s="178">
        <v>20207.419999999998</v>
      </c>
    </row>
    <row r="183" spans="1:9" x14ac:dyDescent="0.25">
      <c r="A183" s="176">
        <v>44773</v>
      </c>
      <c r="B183" s="170">
        <v>280390</v>
      </c>
      <c r="C183" s="170" t="s">
        <v>982</v>
      </c>
      <c r="D183" s="169" t="s">
        <v>900</v>
      </c>
      <c r="E183" s="170"/>
      <c r="F183" s="171" t="s">
        <v>935</v>
      </c>
      <c r="G183" s="170">
        <v>178.25</v>
      </c>
      <c r="H183" s="170"/>
      <c r="I183" s="178">
        <v>20385.669999999998</v>
      </c>
    </row>
    <row r="184" spans="1:9" x14ac:dyDescent="0.25">
      <c r="A184" s="176">
        <v>44804</v>
      </c>
      <c r="B184" s="170">
        <v>281308</v>
      </c>
      <c r="C184" s="170" t="s">
        <v>983</v>
      </c>
      <c r="D184" s="169" t="s">
        <v>901</v>
      </c>
      <c r="E184" s="170"/>
      <c r="F184" s="171" t="s">
        <v>935</v>
      </c>
      <c r="G184" s="170">
        <v>202.47</v>
      </c>
      <c r="H184" s="170"/>
      <c r="I184" s="178">
        <v>20588.14</v>
      </c>
    </row>
    <row r="185" spans="1:9" x14ac:dyDescent="0.25">
      <c r="A185" s="176">
        <v>44834</v>
      </c>
      <c r="B185" s="170">
        <v>282449</v>
      </c>
      <c r="C185" s="170" t="s">
        <v>984</v>
      </c>
      <c r="D185" s="169">
        <v>92022</v>
      </c>
      <c r="E185" s="170"/>
      <c r="F185" s="171" t="s">
        <v>935</v>
      </c>
      <c r="G185" s="170">
        <v>185.17</v>
      </c>
      <c r="H185" s="170"/>
      <c r="I185" s="178">
        <v>20773.310000000001</v>
      </c>
    </row>
    <row r="186" spans="1:9" x14ac:dyDescent="0.25">
      <c r="A186" s="173" t="s">
        <v>845</v>
      </c>
      <c r="B186" s="173" t="s">
        <v>546</v>
      </c>
      <c r="C186" s="173">
        <v>12135</v>
      </c>
      <c r="D186" s="174" t="s">
        <v>116</v>
      </c>
      <c r="E186" s="173" t="s">
        <v>846</v>
      </c>
      <c r="F186" s="179">
        <v>123957.19</v>
      </c>
      <c r="G186" s="173"/>
      <c r="H186" s="173"/>
      <c r="I186" s="173"/>
    </row>
    <row r="187" spans="1:9" x14ac:dyDescent="0.25">
      <c r="A187" s="176">
        <v>44592</v>
      </c>
      <c r="B187" s="170">
        <v>272635</v>
      </c>
      <c r="C187" s="170" t="s">
        <v>975</v>
      </c>
      <c r="D187" s="169" t="s">
        <v>890</v>
      </c>
      <c r="E187" s="170"/>
      <c r="F187" s="171" t="s">
        <v>935</v>
      </c>
      <c r="G187" s="170">
        <v>859.96</v>
      </c>
      <c r="H187" s="170"/>
      <c r="I187" s="178">
        <v>124817.15</v>
      </c>
    </row>
    <row r="188" spans="1:9" x14ac:dyDescent="0.25">
      <c r="A188" s="176">
        <v>44620</v>
      </c>
      <c r="B188" s="170">
        <v>274749</v>
      </c>
      <c r="C188" s="170" t="s">
        <v>976</v>
      </c>
      <c r="D188" s="169" t="s">
        <v>977</v>
      </c>
      <c r="E188" s="170"/>
      <c r="F188" s="171" t="s">
        <v>935</v>
      </c>
      <c r="G188" s="170">
        <v>895.3</v>
      </c>
      <c r="H188" s="170"/>
      <c r="I188" s="178">
        <v>125712.45</v>
      </c>
    </row>
    <row r="189" spans="1:9" x14ac:dyDescent="0.25">
      <c r="A189" s="176">
        <v>44651</v>
      </c>
      <c r="B189" s="170">
        <v>277490</v>
      </c>
      <c r="C189" s="170" t="s">
        <v>978</v>
      </c>
      <c r="D189" s="169" t="s">
        <v>893</v>
      </c>
      <c r="E189" s="170"/>
      <c r="F189" s="171" t="s">
        <v>935</v>
      </c>
      <c r="G189" s="170">
        <v>1095.56</v>
      </c>
      <c r="H189" s="170"/>
      <c r="I189" s="178">
        <v>126808.01</v>
      </c>
    </row>
    <row r="190" spans="1:9" x14ac:dyDescent="0.25">
      <c r="A190" s="176">
        <v>44681</v>
      </c>
      <c r="B190" s="170">
        <v>278195</v>
      </c>
      <c r="C190" s="170" t="s">
        <v>979</v>
      </c>
      <c r="D190" s="169" t="s">
        <v>895</v>
      </c>
      <c r="E190" s="170"/>
      <c r="F190" s="171" t="s">
        <v>935</v>
      </c>
      <c r="G190" s="170">
        <v>977.76</v>
      </c>
      <c r="H190" s="170"/>
      <c r="I190" s="178">
        <v>127785.77</v>
      </c>
    </row>
    <row r="191" spans="1:9" x14ac:dyDescent="0.25">
      <c r="A191" s="176">
        <v>44712</v>
      </c>
      <c r="B191" s="170">
        <v>278912</v>
      </c>
      <c r="C191" s="170" t="s">
        <v>980</v>
      </c>
      <c r="D191" s="169" t="s">
        <v>897</v>
      </c>
      <c r="E191" s="170"/>
      <c r="F191" s="171" t="s">
        <v>935</v>
      </c>
      <c r="G191" s="170">
        <v>1213.3599999999999</v>
      </c>
      <c r="H191" s="170"/>
      <c r="I191" s="178">
        <v>128999.13</v>
      </c>
    </row>
    <row r="192" spans="1:9" x14ac:dyDescent="0.25">
      <c r="A192" s="176">
        <v>44742</v>
      </c>
      <c r="B192" s="170">
        <v>279581</v>
      </c>
      <c r="C192" s="170" t="s">
        <v>981</v>
      </c>
      <c r="D192" s="169" t="s">
        <v>898</v>
      </c>
      <c r="E192" s="170"/>
      <c r="F192" s="171" t="s">
        <v>935</v>
      </c>
      <c r="G192" s="170">
        <v>1201.57</v>
      </c>
      <c r="H192" s="170"/>
      <c r="I192" s="178">
        <v>130200.7</v>
      </c>
    </row>
    <row r="193" spans="1:12" x14ac:dyDescent="0.25">
      <c r="A193" s="176">
        <v>44773</v>
      </c>
      <c r="B193" s="170">
        <v>280391</v>
      </c>
      <c r="C193" s="170" t="s">
        <v>982</v>
      </c>
      <c r="D193" s="169" t="s">
        <v>900</v>
      </c>
      <c r="E193" s="170"/>
      <c r="F193" s="171" t="s">
        <v>935</v>
      </c>
      <c r="G193" s="170">
        <v>1213.3699999999999</v>
      </c>
      <c r="H193" s="170"/>
      <c r="I193" s="178">
        <v>131414.07</v>
      </c>
    </row>
    <row r="194" spans="1:12" x14ac:dyDescent="0.25">
      <c r="A194" s="176">
        <v>44804</v>
      </c>
      <c r="B194" s="170">
        <v>281309</v>
      </c>
      <c r="C194" s="170" t="s">
        <v>983</v>
      </c>
      <c r="D194" s="169" t="s">
        <v>901</v>
      </c>
      <c r="E194" s="170"/>
      <c r="F194" s="171" t="s">
        <v>935</v>
      </c>
      <c r="G194" s="170">
        <v>1378.28</v>
      </c>
      <c r="H194" s="170"/>
      <c r="I194" s="178">
        <v>132792.35</v>
      </c>
    </row>
    <row r="195" spans="1:12" x14ac:dyDescent="0.25">
      <c r="A195" s="176">
        <v>44834</v>
      </c>
      <c r="B195" s="170">
        <v>282450</v>
      </c>
      <c r="C195" s="170" t="s">
        <v>984</v>
      </c>
      <c r="D195" s="169">
        <v>92022</v>
      </c>
      <c r="E195" s="170"/>
      <c r="F195" s="171" t="s">
        <v>935</v>
      </c>
      <c r="G195" s="170">
        <v>1260.48</v>
      </c>
      <c r="H195" s="170"/>
      <c r="I195" s="178">
        <v>134052.82999999999</v>
      </c>
    </row>
    <row r="196" spans="1:12" ht="15.75" thickBot="1" x14ac:dyDescent="0.3"/>
    <row r="197" spans="1:12" x14ac:dyDescent="0.25">
      <c r="B197" s="709">
        <v>2022</v>
      </c>
      <c r="C197" s="710"/>
      <c r="D197" s="710"/>
      <c r="E197" s="710"/>
      <c r="F197" s="710"/>
      <c r="G197" s="710"/>
      <c r="H197" s="710"/>
      <c r="I197" s="710"/>
      <c r="J197" s="180"/>
      <c r="L197" s="144"/>
    </row>
    <row r="198" spans="1:12" x14ac:dyDescent="0.25">
      <c r="B198" s="181"/>
      <c r="C198" s="144"/>
      <c r="D198" s="144"/>
      <c r="E198" s="144"/>
      <c r="F198" s="144"/>
      <c r="G198" s="144"/>
      <c r="H198" s="144" t="s">
        <v>929</v>
      </c>
      <c r="I198" s="144" t="s">
        <v>930</v>
      </c>
      <c r="J198" s="182"/>
      <c r="L198" s="144"/>
    </row>
    <row r="199" spans="1:12" x14ac:dyDescent="0.25">
      <c r="B199" s="183">
        <v>44782</v>
      </c>
      <c r="C199">
        <v>280775</v>
      </c>
      <c r="D199" t="s">
        <v>1023</v>
      </c>
      <c r="E199" t="s">
        <v>1024</v>
      </c>
      <c r="G199" t="s">
        <v>1025</v>
      </c>
      <c r="H199">
        <v>187.79</v>
      </c>
      <c r="J199" s="182">
        <v>187.79</v>
      </c>
    </row>
    <row r="200" spans="1:12" x14ac:dyDescent="0.25">
      <c r="B200" s="183">
        <v>44690</v>
      </c>
      <c r="C200">
        <v>278920</v>
      </c>
      <c r="D200" t="s">
        <v>1031</v>
      </c>
      <c r="E200" t="s">
        <v>1032</v>
      </c>
      <c r="G200" t="s">
        <v>1025</v>
      </c>
      <c r="I200" s="164">
        <v>-105415.29</v>
      </c>
      <c r="J200" s="184">
        <v>-33499.35</v>
      </c>
    </row>
    <row r="201" spans="1:12" ht="15.75" thickBot="1" x14ac:dyDescent="0.3">
      <c r="B201" s="185"/>
      <c r="C201" s="186"/>
      <c r="D201" s="186"/>
      <c r="E201" s="186"/>
      <c r="F201" s="186"/>
      <c r="G201" s="186"/>
      <c r="H201" s="187">
        <f>SUM(H199:H200)</f>
        <v>187.79</v>
      </c>
      <c r="I201" s="187">
        <f>SUM(I199:I200)</f>
        <v>-105415.29</v>
      </c>
      <c r="J201" s="188">
        <f>H201+I201</f>
        <v>-105227.5</v>
      </c>
      <c r="L201" s="189">
        <f>J201/1000</f>
        <v>-105.22750000000001</v>
      </c>
    </row>
    <row r="202" spans="1:12" ht="15.75" thickBot="1" x14ac:dyDescent="0.3">
      <c r="L202" s="144"/>
    </row>
    <row r="203" spans="1:12" x14ac:dyDescent="0.25">
      <c r="B203" s="709">
        <v>2021</v>
      </c>
      <c r="C203" s="710"/>
      <c r="D203" s="710"/>
      <c r="E203" s="710"/>
      <c r="F203" s="710"/>
      <c r="G203" s="710"/>
      <c r="H203" s="710"/>
      <c r="I203" s="710"/>
      <c r="J203" s="180"/>
      <c r="L203" s="144"/>
    </row>
    <row r="204" spans="1:12" x14ac:dyDescent="0.25">
      <c r="B204" s="181"/>
      <c r="C204" s="144"/>
      <c r="D204" s="144"/>
      <c r="E204" s="144"/>
      <c r="F204" s="144"/>
      <c r="G204" s="144"/>
      <c r="H204" s="144" t="s">
        <v>929</v>
      </c>
      <c r="I204" s="144" t="s">
        <v>930</v>
      </c>
      <c r="J204" s="182"/>
      <c r="L204" s="144"/>
    </row>
    <row r="205" spans="1:12" x14ac:dyDescent="0.25">
      <c r="B205" s="181"/>
      <c r="J205" s="182"/>
      <c r="L205" s="144"/>
    </row>
    <row r="206" spans="1:12" ht="15.75" thickBot="1" x14ac:dyDescent="0.3">
      <c r="B206" s="185"/>
      <c r="C206" s="186"/>
      <c r="D206" s="186"/>
      <c r="E206" s="186"/>
      <c r="F206" s="186"/>
      <c r="G206" s="186"/>
      <c r="H206" s="187">
        <f>SUM(H205:H205)</f>
        <v>0</v>
      </c>
      <c r="I206" s="187">
        <f>SUM(I205:I205)</f>
        <v>0</v>
      </c>
      <c r="J206" s="188">
        <f>H206+I206</f>
        <v>0</v>
      </c>
      <c r="L206" s="189">
        <f>-J206/1000</f>
        <v>0</v>
      </c>
    </row>
    <row r="207" spans="1:12" ht="15.75" thickBot="1" x14ac:dyDescent="0.3">
      <c r="H207" s="164"/>
      <c r="I207" s="164"/>
      <c r="J207" s="164"/>
      <c r="L207" s="189"/>
    </row>
    <row r="208" spans="1:12" ht="15.75" thickBot="1" x14ac:dyDescent="0.3">
      <c r="H208" s="164"/>
      <c r="I208" s="237" t="s">
        <v>931</v>
      </c>
      <c r="J208" s="238"/>
      <c r="K208" s="239"/>
      <c r="L208" s="240">
        <f>L206-L201</f>
        <v>105.22750000000001</v>
      </c>
    </row>
    <row r="209" spans="12:12" x14ac:dyDescent="0.25">
      <c r="L209" s="144"/>
    </row>
    <row r="210" spans="12:12" x14ac:dyDescent="0.25">
      <c r="L210" s="189"/>
    </row>
  </sheetData>
  <mergeCells count="4">
    <mergeCell ref="A4:C4"/>
    <mergeCell ref="A82:C82"/>
    <mergeCell ref="B197:I197"/>
    <mergeCell ref="B203:I20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zoomScale="112" zoomScaleNormal="112" workbookViewId="0">
      <selection activeCell="C7" sqref="C7"/>
    </sheetView>
  </sheetViews>
  <sheetFormatPr defaultRowHeight="15" x14ac:dyDescent="0.25"/>
  <cols>
    <col min="1" max="1" width="19.7109375" customWidth="1"/>
    <col min="2" max="2" width="16.42578125" customWidth="1"/>
    <col min="3" max="3" width="93.42578125" bestFit="1" customWidth="1"/>
    <col min="4" max="4" width="28.28515625" customWidth="1"/>
    <col min="5" max="5" width="22.85546875" bestFit="1" customWidth="1"/>
    <col min="6" max="6" width="18.85546875" bestFit="1" customWidth="1"/>
    <col min="7" max="7" width="9.85546875" bestFit="1" customWidth="1"/>
    <col min="8" max="8" width="12.140625" bestFit="1" customWidth="1"/>
    <col min="9" max="9" width="10.5703125" bestFit="1" customWidth="1"/>
  </cols>
  <sheetData>
    <row r="1" spans="1:8" x14ac:dyDescent="0.25">
      <c r="A1" t="s">
        <v>834</v>
      </c>
      <c r="B1" t="s">
        <v>835</v>
      </c>
      <c r="C1" t="s">
        <v>836</v>
      </c>
      <c r="D1" t="s">
        <v>837</v>
      </c>
      <c r="E1" t="s">
        <v>839</v>
      </c>
      <c r="F1" t="s">
        <v>840</v>
      </c>
      <c r="G1" t="s">
        <v>841</v>
      </c>
      <c r="H1" t="s">
        <v>842</v>
      </c>
    </row>
    <row r="2" spans="1:8" x14ac:dyDescent="0.25">
      <c r="A2" t="s">
        <v>843</v>
      </c>
    </row>
    <row r="4" spans="1:8" ht="15.75" x14ac:dyDescent="0.25">
      <c r="A4" s="708" t="s">
        <v>844</v>
      </c>
      <c r="B4" s="708"/>
      <c r="C4" s="708"/>
      <c r="D4" s="169"/>
      <c r="E4" s="171"/>
      <c r="F4" s="170"/>
      <c r="G4" s="170"/>
      <c r="H4" s="170"/>
    </row>
    <row r="5" spans="1:8" x14ac:dyDescent="0.25">
      <c r="A5" s="173" t="s">
        <v>845</v>
      </c>
      <c r="B5" s="173" t="s">
        <v>548</v>
      </c>
      <c r="C5" s="173">
        <v>12181</v>
      </c>
      <c r="D5" s="174" t="s">
        <v>324</v>
      </c>
      <c r="E5" s="175">
        <v>3488417.17</v>
      </c>
      <c r="F5" s="173"/>
      <c r="G5" s="173"/>
      <c r="H5" s="173"/>
    </row>
    <row r="6" spans="1:8" x14ac:dyDescent="0.25">
      <c r="A6" s="176">
        <v>44227</v>
      </c>
      <c r="B6" s="170">
        <v>265007</v>
      </c>
      <c r="C6" s="170" t="s">
        <v>1034</v>
      </c>
      <c r="D6" s="177" t="s">
        <v>934</v>
      </c>
      <c r="E6" s="171" t="s">
        <v>935</v>
      </c>
      <c r="F6" s="170">
        <v>17442.09</v>
      </c>
      <c r="G6" s="178"/>
      <c r="H6" s="178">
        <v>3505859.26</v>
      </c>
    </row>
    <row r="7" spans="1:8" x14ac:dyDescent="0.25">
      <c r="A7" s="176">
        <v>44255</v>
      </c>
      <c r="B7" s="170">
        <v>266409</v>
      </c>
      <c r="C7" s="170" t="s">
        <v>1035</v>
      </c>
      <c r="D7" s="177" t="s">
        <v>937</v>
      </c>
      <c r="E7" s="171" t="s">
        <v>935</v>
      </c>
      <c r="F7" s="170">
        <v>17529.3</v>
      </c>
      <c r="G7" s="178"/>
      <c r="H7" s="178">
        <v>3523388.56</v>
      </c>
    </row>
    <row r="8" spans="1:8" x14ac:dyDescent="0.25">
      <c r="A8" s="176">
        <v>44286</v>
      </c>
      <c r="B8" s="170">
        <v>267116</v>
      </c>
      <c r="C8" s="170" t="s">
        <v>1036</v>
      </c>
      <c r="D8" s="177">
        <v>32021</v>
      </c>
      <c r="E8" s="171" t="s">
        <v>970</v>
      </c>
      <c r="F8" s="178"/>
      <c r="G8" s="170">
        <v>-90008.72</v>
      </c>
      <c r="H8" s="178">
        <v>3433379.8399999999</v>
      </c>
    </row>
    <row r="9" spans="1:8" x14ac:dyDescent="0.25">
      <c r="A9" s="176">
        <v>44377</v>
      </c>
      <c r="B9" s="170">
        <v>268535</v>
      </c>
      <c r="C9" s="170" t="s">
        <v>1037</v>
      </c>
      <c r="D9" s="177" t="s">
        <v>860</v>
      </c>
      <c r="E9" s="171" t="s">
        <v>935</v>
      </c>
      <c r="F9" s="178">
        <v>64592.07</v>
      </c>
      <c r="G9" s="170"/>
      <c r="H9" s="178">
        <v>3497971.91</v>
      </c>
    </row>
    <row r="10" spans="1:8" x14ac:dyDescent="0.25">
      <c r="A10" s="176">
        <v>44469</v>
      </c>
      <c r="B10" s="170">
        <v>270273</v>
      </c>
      <c r="C10" s="170" t="s">
        <v>1038</v>
      </c>
      <c r="D10" s="177" t="s">
        <v>862</v>
      </c>
      <c r="E10" s="171" t="s">
        <v>935</v>
      </c>
      <c r="F10" s="170">
        <v>50814.66</v>
      </c>
      <c r="G10" s="178"/>
      <c r="H10" s="178">
        <v>3548786.57</v>
      </c>
    </row>
    <row r="11" spans="1:8" x14ac:dyDescent="0.25">
      <c r="A11" s="176">
        <v>44500</v>
      </c>
      <c r="B11" s="170">
        <v>270882</v>
      </c>
      <c r="C11" s="170" t="s">
        <v>1039</v>
      </c>
      <c r="D11" s="169" t="s">
        <v>865</v>
      </c>
      <c r="E11" s="171" t="s">
        <v>935</v>
      </c>
      <c r="F11" s="170">
        <v>46248.24</v>
      </c>
      <c r="G11" s="178"/>
      <c r="H11" s="178">
        <v>3595034.81</v>
      </c>
    </row>
    <row r="12" spans="1:8" x14ac:dyDescent="0.25">
      <c r="A12" s="176">
        <v>44530</v>
      </c>
      <c r="B12" s="170">
        <v>271400</v>
      </c>
      <c r="C12" s="170" t="s">
        <v>1040</v>
      </c>
      <c r="D12" s="169" t="s">
        <v>867</v>
      </c>
      <c r="E12" s="171" t="s">
        <v>935</v>
      </c>
      <c r="F12" s="178">
        <v>32354.3</v>
      </c>
      <c r="G12" s="170"/>
      <c r="H12" s="178">
        <v>3627389.11</v>
      </c>
    </row>
    <row r="13" spans="1:8" x14ac:dyDescent="0.25">
      <c r="A13" s="176">
        <v>44561</v>
      </c>
      <c r="B13" s="170">
        <v>272195</v>
      </c>
      <c r="C13" s="170" t="s">
        <v>1040</v>
      </c>
      <c r="D13" s="169" t="s">
        <v>869</v>
      </c>
      <c r="E13" s="171" t="s">
        <v>935</v>
      </c>
      <c r="F13" s="170">
        <v>82062.539999999994</v>
      </c>
      <c r="G13" s="178"/>
      <c r="H13" s="178">
        <v>3709451.65</v>
      </c>
    </row>
    <row r="14" spans="1:8" x14ac:dyDescent="0.25">
      <c r="A14" s="173" t="s">
        <v>845</v>
      </c>
      <c r="B14" s="173" t="s">
        <v>549</v>
      </c>
      <c r="C14" s="173">
        <v>12182</v>
      </c>
      <c r="D14" s="174" t="s">
        <v>325</v>
      </c>
      <c r="E14" s="175">
        <v>220771.6</v>
      </c>
      <c r="F14" s="173"/>
      <c r="G14" s="173"/>
      <c r="H14" s="173"/>
    </row>
    <row r="15" spans="1:8" x14ac:dyDescent="0.25">
      <c r="A15" s="176">
        <v>44227</v>
      </c>
      <c r="B15" s="170">
        <v>265008</v>
      </c>
      <c r="C15" s="170" t="s">
        <v>1041</v>
      </c>
      <c r="D15" s="169" t="s">
        <v>934</v>
      </c>
      <c r="E15" s="171" t="s">
        <v>935</v>
      </c>
      <c r="F15" s="178">
        <v>1103.8599999999999</v>
      </c>
      <c r="G15" s="170"/>
      <c r="H15" s="178">
        <v>221875.46</v>
      </c>
    </row>
    <row r="16" spans="1:8" x14ac:dyDescent="0.25">
      <c r="A16" s="176">
        <v>44255</v>
      </c>
      <c r="B16" s="170">
        <v>266410</v>
      </c>
      <c r="C16" s="170" t="s">
        <v>1042</v>
      </c>
      <c r="D16" s="169" t="s">
        <v>937</v>
      </c>
      <c r="E16" s="171" t="s">
        <v>935</v>
      </c>
      <c r="F16" s="178">
        <v>1109.3800000000001</v>
      </c>
      <c r="G16" s="170"/>
      <c r="H16" s="178">
        <v>222984.84</v>
      </c>
    </row>
    <row r="17" spans="1:8" x14ac:dyDescent="0.25">
      <c r="A17" s="176">
        <v>44286</v>
      </c>
      <c r="B17" s="170">
        <v>267118</v>
      </c>
      <c r="C17" s="170" t="s">
        <v>1043</v>
      </c>
      <c r="D17" s="177">
        <v>32021</v>
      </c>
      <c r="E17" s="171" t="s">
        <v>970</v>
      </c>
      <c r="F17" s="170"/>
      <c r="G17" s="178">
        <v>-47826.58</v>
      </c>
      <c r="H17" s="178">
        <v>175158.26</v>
      </c>
    </row>
    <row r="18" spans="1:8" x14ac:dyDescent="0.25">
      <c r="A18" s="176">
        <v>44316</v>
      </c>
      <c r="B18" s="170">
        <v>267764</v>
      </c>
      <c r="C18" s="170" t="s">
        <v>1044</v>
      </c>
      <c r="D18" s="169" t="s">
        <v>941</v>
      </c>
      <c r="E18" s="171" t="s">
        <v>935</v>
      </c>
      <c r="F18" s="178">
        <v>231.65</v>
      </c>
      <c r="G18" s="170"/>
      <c r="H18" s="178">
        <v>175389.91</v>
      </c>
    </row>
    <row r="19" spans="1:8" x14ac:dyDescent="0.25">
      <c r="A19" s="176">
        <v>44347</v>
      </c>
      <c r="B19" s="170">
        <v>268289</v>
      </c>
      <c r="C19" s="170" t="s">
        <v>1045</v>
      </c>
      <c r="D19" s="177" t="s">
        <v>943</v>
      </c>
      <c r="E19" s="171" t="s">
        <v>935</v>
      </c>
      <c r="F19" s="170">
        <v>278.87</v>
      </c>
      <c r="G19" s="170"/>
      <c r="H19" s="178">
        <v>175668.78</v>
      </c>
    </row>
    <row r="20" spans="1:8" x14ac:dyDescent="0.25">
      <c r="A20" s="176">
        <v>44377</v>
      </c>
      <c r="B20" s="170">
        <v>268536</v>
      </c>
      <c r="C20" s="170" t="s">
        <v>1046</v>
      </c>
      <c r="D20" s="177" t="s">
        <v>860</v>
      </c>
      <c r="E20" s="171" t="s">
        <v>935</v>
      </c>
      <c r="F20" s="170">
        <v>335.18</v>
      </c>
      <c r="G20" s="178"/>
      <c r="H20" s="178">
        <v>176003.96</v>
      </c>
    </row>
    <row r="21" spans="1:8" x14ac:dyDescent="0.25">
      <c r="A21" s="176">
        <v>44408</v>
      </c>
      <c r="B21" s="170">
        <v>269117</v>
      </c>
      <c r="C21" s="170" t="s">
        <v>1047</v>
      </c>
      <c r="D21" s="169" t="s">
        <v>872</v>
      </c>
      <c r="E21" s="171" t="s">
        <v>935</v>
      </c>
      <c r="F21" s="170">
        <v>387.69</v>
      </c>
      <c r="G21" s="178"/>
      <c r="H21" s="178">
        <v>176391.65</v>
      </c>
    </row>
    <row r="22" spans="1:8" x14ac:dyDescent="0.25">
      <c r="A22" s="176">
        <v>44439</v>
      </c>
      <c r="B22" s="170">
        <v>269583</v>
      </c>
      <c r="C22" s="170" t="s">
        <v>1048</v>
      </c>
      <c r="D22" s="177" t="s">
        <v>874</v>
      </c>
      <c r="E22" s="171" t="s">
        <v>935</v>
      </c>
      <c r="F22" s="170">
        <v>431.45</v>
      </c>
      <c r="G22" s="178"/>
      <c r="H22" s="178">
        <v>176823.1</v>
      </c>
    </row>
    <row r="23" spans="1:8" x14ac:dyDescent="0.25">
      <c r="A23" s="176">
        <v>44469</v>
      </c>
      <c r="B23" s="170">
        <v>270274</v>
      </c>
      <c r="C23" s="170" t="s">
        <v>1049</v>
      </c>
      <c r="D23" s="169" t="s">
        <v>862</v>
      </c>
      <c r="E23" s="171" t="s">
        <v>935</v>
      </c>
      <c r="F23" s="178">
        <v>511.75</v>
      </c>
      <c r="G23" s="170"/>
      <c r="H23" s="178">
        <v>177334.85</v>
      </c>
    </row>
    <row r="24" spans="1:8" x14ac:dyDescent="0.25">
      <c r="A24" s="176">
        <v>44500</v>
      </c>
      <c r="B24" s="170">
        <v>270837</v>
      </c>
      <c r="C24" s="170" t="s">
        <v>1049</v>
      </c>
      <c r="D24" s="169" t="s">
        <v>865</v>
      </c>
      <c r="E24" s="171" t="s">
        <v>935</v>
      </c>
      <c r="F24" s="178">
        <v>551.62</v>
      </c>
      <c r="G24" s="170"/>
      <c r="H24" s="178">
        <v>177886.47</v>
      </c>
    </row>
    <row r="25" spans="1:8" x14ac:dyDescent="0.25">
      <c r="A25" s="176">
        <v>44530</v>
      </c>
      <c r="B25" s="170">
        <v>271398</v>
      </c>
      <c r="C25" s="170" t="s">
        <v>1050</v>
      </c>
      <c r="D25" s="169" t="s">
        <v>867</v>
      </c>
      <c r="E25" s="171" t="s">
        <v>935</v>
      </c>
      <c r="F25" s="178">
        <v>635.94000000000005</v>
      </c>
      <c r="G25" s="170"/>
      <c r="H25" s="178">
        <v>178522.41</v>
      </c>
    </row>
    <row r="26" spans="1:8" x14ac:dyDescent="0.25">
      <c r="A26" s="176">
        <v>44561</v>
      </c>
      <c r="B26" s="170">
        <v>272193</v>
      </c>
      <c r="C26" s="170" t="s">
        <v>1050</v>
      </c>
      <c r="D26" s="169" t="s">
        <v>869</v>
      </c>
      <c r="E26" s="171" t="s">
        <v>935</v>
      </c>
      <c r="F26" s="178">
        <v>794.32</v>
      </c>
      <c r="G26" s="170"/>
      <c r="H26" s="178">
        <v>179316.73</v>
      </c>
    </row>
    <row r="27" spans="1:8" x14ac:dyDescent="0.25">
      <c r="A27" s="173" t="s">
        <v>845</v>
      </c>
      <c r="B27" s="173" t="s">
        <v>550</v>
      </c>
      <c r="C27" s="173">
        <v>12183</v>
      </c>
      <c r="D27" s="174" t="s">
        <v>119</v>
      </c>
      <c r="E27" s="175">
        <v>144420.5</v>
      </c>
      <c r="F27" s="173"/>
      <c r="G27" s="173"/>
      <c r="H27" s="173"/>
    </row>
    <row r="28" spans="1:8" x14ac:dyDescent="0.25">
      <c r="A28" s="176">
        <v>44227</v>
      </c>
      <c r="B28" s="170">
        <v>265009</v>
      </c>
      <c r="C28" s="170" t="s">
        <v>1041</v>
      </c>
      <c r="D28" s="169" t="s">
        <v>934</v>
      </c>
      <c r="E28" s="171" t="s">
        <v>935</v>
      </c>
      <c r="F28" s="178">
        <v>722.1</v>
      </c>
      <c r="G28" s="170"/>
      <c r="H28" s="178">
        <v>145142.6</v>
      </c>
    </row>
    <row r="29" spans="1:8" x14ac:dyDescent="0.25">
      <c r="A29" s="176">
        <v>44255</v>
      </c>
      <c r="B29" s="170">
        <v>266411</v>
      </c>
      <c r="C29" s="170" t="s">
        <v>1042</v>
      </c>
      <c r="D29" s="169" t="s">
        <v>937</v>
      </c>
      <c r="E29" s="171" t="s">
        <v>935</v>
      </c>
      <c r="F29" s="178">
        <v>725.71</v>
      </c>
      <c r="G29" s="170"/>
      <c r="H29" s="178">
        <v>145868.31</v>
      </c>
    </row>
    <row r="30" spans="1:8" x14ac:dyDescent="0.25">
      <c r="A30" s="176">
        <v>44286</v>
      </c>
      <c r="B30" s="170">
        <v>267117</v>
      </c>
      <c r="C30" s="170" t="s">
        <v>1051</v>
      </c>
      <c r="D30" s="169">
        <v>32021</v>
      </c>
      <c r="E30" s="171" t="s">
        <v>970</v>
      </c>
      <c r="F30" s="178"/>
      <c r="G30" s="170">
        <v>-4514.33</v>
      </c>
      <c r="H30" s="178">
        <v>141353.98000000001</v>
      </c>
    </row>
    <row r="31" spans="1:8" x14ac:dyDescent="0.25">
      <c r="A31" s="176">
        <v>44316</v>
      </c>
      <c r="B31" s="170">
        <v>267765</v>
      </c>
      <c r="C31" s="170" t="s">
        <v>959</v>
      </c>
      <c r="D31" s="169" t="s">
        <v>941</v>
      </c>
      <c r="E31" s="171" t="s">
        <v>935</v>
      </c>
      <c r="F31" s="178">
        <v>985.91</v>
      </c>
      <c r="G31" s="170"/>
      <c r="H31" s="178">
        <v>142339.89000000001</v>
      </c>
    </row>
    <row r="32" spans="1:8" x14ac:dyDescent="0.25">
      <c r="A32" s="176">
        <v>44347</v>
      </c>
      <c r="B32" s="170">
        <v>268290</v>
      </c>
      <c r="C32" s="170" t="s">
        <v>1052</v>
      </c>
      <c r="D32" s="169" t="s">
        <v>943</v>
      </c>
      <c r="E32" s="171" t="s">
        <v>935</v>
      </c>
      <c r="F32" s="178"/>
      <c r="G32" s="170">
        <v>-11.79</v>
      </c>
      <c r="H32" s="178">
        <v>142328.1</v>
      </c>
    </row>
    <row r="33" spans="1:8" x14ac:dyDescent="0.25">
      <c r="A33" s="176">
        <v>44377</v>
      </c>
      <c r="B33" s="170">
        <v>268537</v>
      </c>
      <c r="C33" s="170" t="s">
        <v>1053</v>
      </c>
      <c r="D33" s="169" t="s">
        <v>860</v>
      </c>
      <c r="E33" s="171" t="s">
        <v>935</v>
      </c>
      <c r="F33" s="170">
        <v>1181.32</v>
      </c>
      <c r="G33" s="170"/>
      <c r="H33" s="178">
        <v>143509.42000000001</v>
      </c>
    </row>
    <row r="34" spans="1:8" x14ac:dyDescent="0.25">
      <c r="A34" s="176">
        <v>44408</v>
      </c>
      <c r="B34" s="170">
        <v>269118</v>
      </c>
      <c r="C34" s="170" t="s">
        <v>1047</v>
      </c>
      <c r="D34" s="169" t="s">
        <v>872</v>
      </c>
      <c r="E34" s="171" t="s">
        <v>935</v>
      </c>
      <c r="F34" s="170">
        <v>760.6</v>
      </c>
      <c r="G34" s="170"/>
      <c r="H34" s="178">
        <v>144270.01999999999</v>
      </c>
    </row>
    <row r="35" spans="1:8" x14ac:dyDescent="0.25">
      <c r="A35" s="176">
        <v>44439</v>
      </c>
      <c r="B35" s="170">
        <v>269584</v>
      </c>
      <c r="C35" s="170" t="s">
        <v>1054</v>
      </c>
      <c r="D35" s="169" t="s">
        <v>874</v>
      </c>
      <c r="E35" s="171" t="s">
        <v>935</v>
      </c>
      <c r="F35" s="170">
        <v>1384.99</v>
      </c>
      <c r="G35" s="170"/>
      <c r="H35" s="178">
        <v>145655.01</v>
      </c>
    </row>
    <row r="36" spans="1:8" x14ac:dyDescent="0.25">
      <c r="A36" s="176">
        <v>44469</v>
      </c>
      <c r="B36" s="170">
        <v>270275</v>
      </c>
      <c r="C36" s="170" t="s">
        <v>1055</v>
      </c>
      <c r="D36" s="169" t="s">
        <v>862</v>
      </c>
      <c r="E36" s="171" t="s">
        <v>935</v>
      </c>
      <c r="F36" s="170">
        <v>1267.19</v>
      </c>
      <c r="G36" s="170"/>
      <c r="H36" s="178">
        <v>146922.20000000001</v>
      </c>
    </row>
    <row r="37" spans="1:8" x14ac:dyDescent="0.25">
      <c r="A37" s="176">
        <v>44500</v>
      </c>
      <c r="B37" s="170">
        <v>270838</v>
      </c>
      <c r="C37" s="170" t="s">
        <v>1055</v>
      </c>
      <c r="D37" s="169" t="s">
        <v>865</v>
      </c>
      <c r="E37" s="171" t="s">
        <v>935</v>
      </c>
      <c r="F37" s="170">
        <v>1704.3</v>
      </c>
      <c r="G37" s="170"/>
      <c r="H37" s="178">
        <v>148626.5</v>
      </c>
    </row>
    <row r="38" spans="1:8" x14ac:dyDescent="0.25">
      <c r="A38" s="176">
        <v>44530</v>
      </c>
      <c r="B38" s="170">
        <v>271399</v>
      </c>
      <c r="C38" s="170" t="s">
        <v>1056</v>
      </c>
      <c r="D38" s="177" t="s">
        <v>867</v>
      </c>
      <c r="E38" s="171" t="s">
        <v>935</v>
      </c>
      <c r="F38" s="170">
        <v>1857.83</v>
      </c>
      <c r="G38" s="178"/>
      <c r="H38" s="178">
        <v>150484.32999999999</v>
      </c>
    </row>
    <row r="39" spans="1:8" x14ac:dyDescent="0.25">
      <c r="A39" s="176">
        <v>44561</v>
      </c>
      <c r="B39" s="170">
        <v>272194</v>
      </c>
      <c r="C39" s="170" t="s">
        <v>1057</v>
      </c>
      <c r="D39" s="177" t="s">
        <v>869</v>
      </c>
      <c r="E39" s="171" t="s">
        <v>935</v>
      </c>
      <c r="F39" s="170">
        <v>1429.61</v>
      </c>
      <c r="G39" s="178"/>
      <c r="H39" s="178">
        <v>151913.94</v>
      </c>
    </row>
    <row r="40" spans="1:8" x14ac:dyDescent="0.25">
      <c r="A40" s="176">
        <v>44561</v>
      </c>
      <c r="B40" s="170">
        <v>272379</v>
      </c>
      <c r="C40" s="170" t="s">
        <v>1058</v>
      </c>
      <c r="D40" s="169" t="s">
        <v>869</v>
      </c>
      <c r="E40" s="171" t="s">
        <v>935</v>
      </c>
      <c r="F40" s="170">
        <v>1108.96</v>
      </c>
      <c r="G40" s="178"/>
      <c r="H40" s="178">
        <v>153022.9</v>
      </c>
    </row>
    <row r="41" spans="1:8" x14ac:dyDescent="0.25">
      <c r="A41" s="190"/>
      <c r="D41" s="167"/>
      <c r="E41" s="168"/>
      <c r="G41" s="164"/>
      <c r="H41" s="164"/>
    </row>
    <row r="42" spans="1:8" ht="15.75" x14ac:dyDescent="0.25">
      <c r="A42" s="708" t="s">
        <v>887</v>
      </c>
      <c r="B42" s="708"/>
      <c r="C42" s="708"/>
      <c r="D42" s="169"/>
      <c r="E42" s="171"/>
      <c r="F42" s="170"/>
      <c r="G42" s="170"/>
      <c r="H42" s="170"/>
    </row>
    <row r="43" spans="1:8" x14ac:dyDescent="0.25">
      <c r="A43" s="173" t="s">
        <v>845</v>
      </c>
      <c r="B43" s="173" t="s">
        <v>548</v>
      </c>
      <c r="C43" s="173">
        <v>12181</v>
      </c>
      <c r="D43" s="174" t="s">
        <v>324</v>
      </c>
      <c r="E43" s="175">
        <v>3709451.65</v>
      </c>
      <c r="F43" s="173"/>
      <c r="G43" s="173"/>
      <c r="H43" s="173"/>
    </row>
    <row r="44" spans="1:8" x14ac:dyDescent="0.25">
      <c r="A44" s="176">
        <v>44592</v>
      </c>
      <c r="B44" s="170">
        <v>273387</v>
      </c>
      <c r="C44" s="170" t="s">
        <v>1040</v>
      </c>
      <c r="D44" s="169" t="s">
        <v>890</v>
      </c>
      <c r="E44" s="171" t="s">
        <v>935</v>
      </c>
      <c r="F44" s="170">
        <v>38138.949999999997</v>
      </c>
      <c r="G44" s="178"/>
      <c r="H44" s="178">
        <v>3747590.6</v>
      </c>
    </row>
    <row r="45" spans="1:8" x14ac:dyDescent="0.25">
      <c r="A45" s="176">
        <v>44620</v>
      </c>
      <c r="B45" s="170">
        <v>274590</v>
      </c>
      <c r="C45" s="170" t="s">
        <v>1059</v>
      </c>
      <c r="D45" s="169" t="s">
        <v>977</v>
      </c>
      <c r="E45" s="171" t="s">
        <v>935</v>
      </c>
      <c r="F45" s="170">
        <v>38138.949999999997</v>
      </c>
      <c r="G45" s="178"/>
      <c r="H45" s="178">
        <v>3785729.55</v>
      </c>
    </row>
    <row r="46" spans="1:8" x14ac:dyDescent="0.25">
      <c r="A46" s="176">
        <v>44651</v>
      </c>
      <c r="B46" s="170">
        <v>277504</v>
      </c>
      <c r="C46" s="170" t="s">
        <v>1059</v>
      </c>
      <c r="D46" s="169" t="s">
        <v>893</v>
      </c>
      <c r="E46" s="171" t="s">
        <v>935</v>
      </c>
      <c r="F46" s="170">
        <v>17968.62</v>
      </c>
      <c r="G46" s="178"/>
      <c r="H46" s="178">
        <v>3803698.17</v>
      </c>
    </row>
    <row r="47" spans="1:8" x14ac:dyDescent="0.25">
      <c r="A47" s="176">
        <v>44681</v>
      </c>
      <c r="B47" s="170">
        <v>278198</v>
      </c>
      <c r="C47" s="170" t="s">
        <v>1059</v>
      </c>
      <c r="D47" s="169" t="s">
        <v>895</v>
      </c>
      <c r="E47" s="171" t="s">
        <v>935</v>
      </c>
      <c r="F47" s="170">
        <v>31415.51</v>
      </c>
      <c r="G47" s="170"/>
      <c r="H47" s="178">
        <v>3835113.68</v>
      </c>
    </row>
    <row r="48" spans="1:8" x14ac:dyDescent="0.25">
      <c r="A48" s="176">
        <v>44712</v>
      </c>
      <c r="B48" s="170">
        <v>278907</v>
      </c>
      <c r="C48" s="170" t="s">
        <v>1059</v>
      </c>
      <c r="D48" s="169" t="s">
        <v>897</v>
      </c>
      <c r="E48" s="171" t="s">
        <v>935</v>
      </c>
      <c r="F48" s="170">
        <v>31415.51</v>
      </c>
      <c r="G48" s="170"/>
      <c r="H48" s="178">
        <v>3866529.19</v>
      </c>
    </row>
    <row r="49" spans="1:8" x14ac:dyDescent="0.25">
      <c r="A49" s="176">
        <v>44742</v>
      </c>
      <c r="B49" s="170">
        <v>279575</v>
      </c>
      <c r="C49" s="170" t="s">
        <v>1059</v>
      </c>
      <c r="D49" s="169" t="s">
        <v>898</v>
      </c>
      <c r="E49" s="171" t="s">
        <v>935</v>
      </c>
      <c r="F49" s="170">
        <v>52660.09</v>
      </c>
      <c r="G49" s="170"/>
      <c r="H49" s="178">
        <v>3919189.28</v>
      </c>
    </row>
    <row r="50" spans="1:8" x14ac:dyDescent="0.25">
      <c r="A50" s="176">
        <v>44773</v>
      </c>
      <c r="B50" s="170">
        <v>280345</v>
      </c>
      <c r="C50" s="170" t="s">
        <v>1059</v>
      </c>
      <c r="D50" s="169" t="s">
        <v>900</v>
      </c>
      <c r="E50" s="171" t="s">
        <v>935</v>
      </c>
      <c r="F50" s="170">
        <v>38497.040000000001</v>
      </c>
      <c r="G50" s="170"/>
      <c r="H50" s="178">
        <v>3957686.32</v>
      </c>
    </row>
    <row r="51" spans="1:8" x14ac:dyDescent="0.25">
      <c r="A51" s="176">
        <v>44804</v>
      </c>
      <c r="B51" s="170">
        <v>281120</v>
      </c>
      <c r="C51" s="170" t="s">
        <v>1059</v>
      </c>
      <c r="D51" s="169" t="s">
        <v>901</v>
      </c>
      <c r="E51" s="171" t="s">
        <v>935</v>
      </c>
      <c r="F51" s="170">
        <v>38497.040000000001</v>
      </c>
      <c r="G51" s="170"/>
      <c r="H51" s="178">
        <v>3996183.36</v>
      </c>
    </row>
    <row r="52" spans="1:8" x14ac:dyDescent="0.25">
      <c r="A52" s="176">
        <v>44834</v>
      </c>
      <c r="B52" s="170">
        <v>282781</v>
      </c>
      <c r="C52" s="170" t="s">
        <v>1059</v>
      </c>
      <c r="D52" s="169" t="s">
        <v>903</v>
      </c>
      <c r="E52" s="171" t="s">
        <v>935</v>
      </c>
      <c r="F52" s="170"/>
      <c r="G52" s="170">
        <v>-114960.25</v>
      </c>
      <c r="H52" s="178">
        <v>3881223.11</v>
      </c>
    </row>
    <row r="53" spans="1:8" x14ac:dyDescent="0.25">
      <c r="A53" s="173" t="s">
        <v>845</v>
      </c>
      <c r="B53" s="173" t="s">
        <v>549</v>
      </c>
      <c r="C53" s="173">
        <v>12182</v>
      </c>
      <c r="D53" s="174" t="s">
        <v>325</v>
      </c>
      <c r="E53" s="175">
        <v>179316.73</v>
      </c>
      <c r="F53" s="173"/>
      <c r="G53" s="173"/>
      <c r="H53" s="173"/>
    </row>
    <row r="54" spans="1:8" x14ac:dyDescent="0.25">
      <c r="A54" s="176">
        <v>44592</v>
      </c>
      <c r="B54" s="170">
        <v>272637</v>
      </c>
      <c r="C54" s="170" t="s">
        <v>1050</v>
      </c>
      <c r="D54" s="169" t="s">
        <v>890</v>
      </c>
      <c r="E54" s="171" t="s">
        <v>935</v>
      </c>
      <c r="F54" s="170">
        <v>1004.75</v>
      </c>
      <c r="G54" s="170"/>
      <c r="H54" s="178">
        <v>180321.48</v>
      </c>
    </row>
    <row r="55" spans="1:8" s="139" customFormat="1" x14ac:dyDescent="0.25">
      <c r="A55" s="176">
        <v>44615</v>
      </c>
      <c r="B55" s="170">
        <v>274593</v>
      </c>
      <c r="C55" s="170" t="s">
        <v>1060</v>
      </c>
      <c r="D55" s="169" t="s">
        <v>1061</v>
      </c>
      <c r="E55" s="171" t="s">
        <v>1025</v>
      </c>
      <c r="F55" s="170">
        <v>21973.599999999999</v>
      </c>
      <c r="G55" s="170"/>
      <c r="H55" s="178">
        <v>202295.08</v>
      </c>
    </row>
    <row r="56" spans="1:8" x14ac:dyDescent="0.25">
      <c r="A56" s="176">
        <v>44620</v>
      </c>
      <c r="B56" s="170">
        <v>274589</v>
      </c>
      <c r="C56" s="170" t="s">
        <v>1050</v>
      </c>
      <c r="D56" s="169" t="s">
        <v>977</v>
      </c>
      <c r="E56" s="171" t="s">
        <v>935</v>
      </c>
      <c r="F56" s="170">
        <v>1105.7</v>
      </c>
      <c r="G56" s="170"/>
      <c r="H56" s="178">
        <v>203400.78</v>
      </c>
    </row>
    <row r="57" spans="1:8" s="139" customFormat="1" x14ac:dyDescent="0.25">
      <c r="A57" s="176">
        <v>44642</v>
      </c>
      <c r="B57" s="170">
        <v>277445</v>
      </c>
      <c r="C57" s="170" t="s">
        <v>1062</v>
      </c>
      <c r="D57" s="169" t="s">
        <v>1063</v>
      </c>
      <c r="E57" s="171" t="s">
        <v>1025</v>
      </c>
      <c r="F57" s="170">
        <v>10986.8</v>
      </c>
      <c r="G57" s="170"/>
      <c r="H57" s="178">
        <v>214387.58</v>
      </c>
    </row>
    <row r="58" spans="1:8" x14ac:dyDescent="0.25">
      <c r="A58" s="176">
        <v>44651</v>
      </c>
      <c r="B58" s="170">
        <v>277501</v>
      </c>
      <c r="C58" s="170" t="s">
        <v>1050</v>
      </c>
      <c r="D58" s="169" t="s">
        <v>893</v>
      </c>
      <c r="E58" s="171" t="s">
        <v>935</v>
      </c>
      <c r="F58" s="170">
        <v>8234.85</v>
      </c>
      <c r="G58" s="170"/>
      <c r="H58" s="178">
        <v>222622.43</v>
      </c>
    </row>
    <row r="59" spans="1:8" x14ac:dyDescent="0.25">
      <c r="A59" s="176">
        <v>44651</v>
      </c>
      <c r="B59" s="170">
        <v>277768</v>
      </c>
      <c r="C59" s="170" t="s">
        <v>1064</v>
      </c>
      <c r="D59" s="169">
        <v>22022</v>
      </c>
      <c r="E59" s="171" t="s">
        <v>935</v>
      </c>
      <c r="F59" s="170">
        <v>2719.68</v>
      </c>
      <c r="G59" s="170"/>
      <c r="H59" s="178">
        <v>225342.11</v>
      </c>
    </row>
    <row r="60" spans="1:8" s="139" customFormat="1" x14ac:dyDescent="0.25">
      <c r="A60" s="176">
        <v>44651</v>
      </c>
      <c r="B60" s="170">
        <v>277769</v>
      </c>
      <c r="C60" s="170" t="s">
        <v>1065</v>
      </c>
      <c r="D60" s="169">
        <v>32022</v>
      </c>
      <c r="E60" s="171" t="s">
        <v>1066</v>
      </c>
      <c r="F60" s="170">
        <v>54245.26</v>
      </c>
      <c r="G60" s="170"/>
      <c r="H60" s="178">
        <v>279587.37</v>
      </c>
    </row>
    <row r="61" spans="1:8" s="139" customFormat="1" x14ac:dyDescent="0.25">
      <c r="A61" s="176">
        <v>44651</v>
      </c>
      <c r="B61" s="170">
        <v>277770</v>
      </c>
      <c r="C61" s="170" t="s">
        <v>1067</v>
      </c>
      <c r="D61" s="169">
        <v>32022</v>
      </c>
      <c r="E61" s="171" t="s">
        <v>970</v>
      </c>
      <c r="F61" s="170"/>
      <c r="G61" s="170">
        <v>-10382.299999999999</v>
      </c>
      <c r="H61" s="178">
        <v>269205.07</v>
      </c>
    </row>
    <row r="62" spans="1:8" x14ac:dyDescent="0.25">
      <c r="A62" s="176">
        <v>44681</v>
      </c>
      <c r="B62" s="170">
        <v>278196</v>
      </c>
      <c r="C62" s="170" t="s">
        <v>1050</v>
      </c>
      <c r="D62" s="169" t="s">
        <v>895</v>
      </c>
      <c r="E62" s="171" t="s">
        <v>935</v>
      </c>
      <c r="F62" s="170">
        <v>1600.29</v>
      </c>
      <c r="G62" s="170"/>
      <c r="H62" s="178">
        <v>270805.36</v>
      </c>
    </row>
    <row r="63" spans="1:8" x14ac:dyDescent="0.25">
      <c r="A63" s="176">
        <v>44712</v>
      </c>
      <c r="B63" s="170">
        <v>278905</v>
      </c>
      <c r="C63" s="170" t="s">
        <v>1050</v>
      </c>
      <c r="D63" s="169" t="s">
        <v>897</v>
      </c>
      <c r="E63" s="171" t="s">
        <v>935</v>
      </c>
      <c r="F63" s="170">
        <v>1668</v>
      </c>
      <c r="G63" s="170"/>
      <c r="H63" s="178">
        <v>272473.36</v>
      </c>
    </row>
    <row r="64" spans="1:8" x14ac:dyDescent="0.25">
      <c r="A64" s="176">
        <v>44742</v>
      </c>
      <c r="B64" s="170">
        <v>279572</v>
      </c>
      <c r="C64" s="170" t="s">
        <v>1050</v>
      </c>
      <c r="D64" s="169" t="s">
        <v>898</v>
      </c>
      <c r="E64" s="171" t="s">
        <v>935</v>
      </c>
      <c r="F64" s="170">
        <v>1777.32</v>
      </c>
      <c r="G64" s="170"/>
      <c r="H64" s="178">
        <v>274250.68</v>
      </c>
    </row>
    <row r="65" spans="1:8" s="139" customFormat="1" x14ac:dyDescent="0.25">
      <c r="A65" s="176">
        <v>44761</v>
      </c>
      <c r="B65" s="170">
        <v>280171</v>
      </c>
      <c r="C65" s="170" t="s">
        <v>1068</v>
      </c>
      <c r="D65" s="169" t="s">
        <v>1069</v>
      </c>
      <c r="E65" s="171" t="s">
        <v>1025</v>
      </c>
      <c r="F65" s="170">
        <v>10986.8</v>
      </c>
      <c r="G65" s="170"/>
      <c r="H65" s="178">
        <v>285237.48</v>
      </c>
    </row>
    <row r="66" spans="1:8" x14ac:dyDescent="0.25">
      <c r="A66" s="176">
        <v>44773</v>
      </c>
      <c r="B66" s="170">
        <v>280343</v>
      </c>
      <c r="C66" s="170" t="s">
        <v>1050</v>
      </c>
      <c r="D66" s="169" t="s">
        <v>900</v>
      </c>
      <c r="E66" s="171" t="s">
        <v>935</v>
      </c>
      <c r="F66" s="170">
        <v>1811.4</v>
      </c>
      <c r="G66" s="170"/>
      <c r="H66" s="178">
        <v>287048.88</v>
      </c>
    </row>
    <row r="67" spans="1:8" x14ac:dyDescent="0.25">
      <c r="A67" s="176">
        <v>44804</v>
      </c>
      <c r="B67" s="170">
        <v>281119</v>
      </c>
      <c r="C67" s="170" t="s">
        <v>1050</v>
      </c>
      <c r="D67" s="169" t="s">
        <v>901</v>
      </c>
      <c r="E67" s="171" t="s">
        <v>935</v>
      </c>
      <c r="F67" s="170">
        <v>2070.11</v>
      </c>
      <c r="G67" s="170"/>
      <c r="H67" s="178">
        <v>289118.99</v>
      </c>
    </row>
    <row r="68" spans="1:8" x14ac:dyDescent="0.25">
      <c r="A68" s="176">
        <v>44834</v>
      </c>
      <c r="B68" s="170">
        <v>282470</v>
      </c>
      <c r="C68" s="170" t="s">
        <v>1050</v>
      </c>
      <c r="D68" s="169" t="s">
        <v>903</v>
      </c>
      <c r="E68" s="171" t="s">
        <v>935</v>
      </c>
      <c r="F68" s="170">
        <v>1988.26</v>
      </c>
      <c r="G68" s="170"/>
      <c r="H68" s="178">
        <v>291107.25</v>
      </c>
    </row>
    <row r="69" spans="1:8" x14ac:dyDescent="0.25">
      <c r="A69" s="173" t="s">
        <v>845</v>
      </c>
      <c r="B69" s="173" t="s">
        <v>550</v>
      </c>
      <c r="C69" s="173">
        <v>12183</v>
      </c>
      <c r="D69" s="174" t="s">
        <v>119</v>
      </c>
      <c r="E69" s="175">
        <v>153022.9</v>
      </c>
      <c r="F69" s="173"/>
      <c r="G69" s="173"/>
      <c r="H69" s="173"/>
    </row>
    <row r="70" spans="1:8" x14ac:dyDescent="0.25">
      <c r="A70" s="176">
        <v>44592</v>
      </c>
      <c r="B70" s="170">
        <v>273386</v>
      </c>
      <c r="C70" s="170" t="s">
        <v>1070</v>
      </c>
      <c r="D70" s="169" t="s">
        <v>890</v>
      </c>
      <c r="E70" s="171" t="s">
        <v>935</v>
      </c>
      <c r="F70" s="170">
        <v>1108.96</v>
      </c>
      <c r="G70" s="170"/>
      <c r="H70" s="178">
        <v>154131.85999999999</v>
      </c>
    </row>
    <row r="71" spans="1:8" x14ac:dyDescent="0.25">
      <c r="A71" s="176">
        <v>44620</v>
      </c>
      <c r="B71" s="170">
        <v>274591</v>
      </c>
      <c r="C71" s="170" t="s">
        <v>1071</v>
      </c>
      <c r="D71" s="169" t="s">
        <v>890</v>
      </c>
      <c r="E71" s="171" t="s">
        <v>935</v>
      </c>
      <c r="F71" s="170"/>
      <c r="G71" s="170">
        <v>-282.62</v>
      </c>
      <c r="H71" s="178">
        <v>153849.24</v>
      </c>
    </row>
    <row r="72" spans="1:8" x14ac:dyDescent="0.25">
      <c r="A72" s="176">
        <v>44620</v>
      </c>
      <c r="B72" s="170">
        <v>274592</v>
      </c>
      <c r="C72" s="170" t="s">
        <v>1072</v>
      </c>
      <c r="D72" s="169" t="s">
        <v>977</v>
      </c>
      <c r="E72" s="171" t="s">
        <v>935</v>
      </c>
      <c r="F72" s="170">
        <v>826.33</v>
      </c>
      <c r="G72" s="170"/>
      <c r="H72" s="178">
        <v>154675.57</v>
      </c>
    </row>
    <row r="73" spans="1:8" x14ac:dyDescent="0.25">
      <c r="A73" s="176">
        <v>44651</v>
      </c>
      <c r="B73" s="170">
        <v>277502</v>
      </c>
      <c r="C73" s="170" t="s">
        <v>1073</v>
      </c>
      <c r="D73" s="169" t="s">
        <v>893</v>
      </c>
      <c r="E73" s="171" t="s">
        <v>935</v>
      </c>
      <c r="F73" s="170">
        <v>727.54</v>
      </c>
      <c r="G73" s="170"/>
      <c r="H73" s="178">
        <v>155403.10999999999</v>
      </c>
    </row>
    <row r="74" spans="1:8" x14ac:dyDescent="0.25">
      <c r="A74" s="176">
        <v>44651</v>
      </c>
      <c r="B74" s="170">
        <v>277503</v>
      </c>
      <c r="C74" s="170" t="s">
        <v>1072</v>
      </c>
      <c r="D74" s="169" t="s">
        <v>893</v>
      </c>
      <c r="E74" s="171" t="s">
        <v>935</v>
      </c>
      <c r="F74" s="170">
        <v>1840.66</v>
      </c>
      <c r="G74" s="170"/>
      <c r="H74" s="178">
        <v>157243.76999999999</v>
      </c>
    </row>
    <row r="75" spans="1:8" x14ac:dyDescent="0.25">
      <c r="A75" s="176">
        <v>44681</v>
      </c>
      <c r="B75" s="170">
        <v>278197</v>
      </c>
      <c r="C75" s="170" t="s">
        <v>1072</v>
      </c>
      <c r="D75" s="169" t="s">
        <v>895</v>
      </c>
      <c r="E75" s="171" t="s">
        <v>935</v>
      </c>
      <c r="F75" s="170">
        <v>1840.66</v>
      </c>
      <c r="G75" s="170"/>
      <c r="H75" s="178">
        <v>159084.43</v>
      </c>
    </row>
    <row r="76" spans="1:8" x14ac:dyDescent="0.25">
      <c r="A76" s="176">
        <v>44712</v>
      </c>
      <c r="B76" s="170">
        <v>278904</v>
      </c>
      <c r="C76" s="170" t="s">
        <v>1074</v>
      </c>
      <c r="D76" s="169" t="s">
        <v>897</v>
      </c>
      <c r="E76" s="171" t="s">
        <v>935</v>
      </c>
      <c r="F76" s="170"/>
      <c r="G76" s="170">
        <v>-173.87</v>
      </c>
      <c r="H76" s="178">
        <v>158910.56</v>
      </c>
    </row>
    <row r="77" spans="1:8" x14ac:dyDescent="0.25">
      <c r="A77" s="176">
        <v>44712</v>
      </c>
      <c r="B77" s="170">
        <v>278906</v>
      </c>
      <c r="C77" s="170" t="s">
        <v>1072</v>
      </c>
      <c r="D77" s="169" t="s">
        <v>897</v>
      </c>
      <c r="E77" s="171" t="s">
        <v>935</v>
      </c>
      <c r="F77" s="170">
        <v>1666.79</v>
      </c>
      <c r="G77" s="170"/>
      <c r="H77" s="178">
        <v>160577.35</v>
      </c>
    </row>
    <row r="78" spans="1:8" x14ac:dyDescent="0.25">
      <c r="A78" s="176">
        <v>44742</v>
      </c>
      <c r="B78" s="170">
        <v>279573</v>
      </c>
      <c r="C78" s="170" t="s">
        <v>1074</v>
      </c>
      <c r="D78" s="169" t="s">
        <v>897</v>
      </c>
      <c r="E78" s="171" t="s">
        <v>935</v>
      </c>
      <c r="F78" s="170"/>
      <c r="G78" s="170">
        <v>-919.91</v>
      </c>
      <c r="H78" s="178">
        <v>159657.44</v>
      </c>
    </row>
    <row r="79" spans="1:8" x14ac:dyDescent="0.25">
      <c r="A79" s="176">
        <v>44742</v>
      </c>
      <c r="B79" s="170">
        <v>279574</v>
      </c>
      <c r="C79" s="170" t="s">
        <v>1072</v>
      </c>
      <c r="D79" s="169" t="s">
        <v>898</v>
      </c>
      <c r="E79" s="171" t="s">
        <v>935</v>
      </c>
      <c r="F79" s="170">
        <v>1069.71</v>
      </c>
      <c r="G79" s="170"/>
      <c r="H79" s="178">
        <v>160727.15</v>
      </c>
    </row>
    <row r="80" spans="1:8" x14ac:dyDescent="0.25">
      <c r="A80" s="176">
        <v>44773</v>
      </c>
      <c r="B80" s="170">
        <v>280344</v>
      </c>
      <c r="C80" s="170" t="s">
        <v>1072</v>
      </c>
      <c r="D80" s="169" t="s">
        <v>900</v>
      </c>
      <c r="E80" s="171" t="s">
        <v>935</v>
      </c>
      <c r="F80" s="170">
        <v>1069.71</v>
      </c>
      <c r="G80" s="170"/>
      <c r="H80" s="178">
        <v>161796.85999999999</v>
      </c>
    </row>
    <row r="81" spans="1:11" x14ac:dyDescent="0.25">
      <c r="A81" s="176">
        <v>44804</v>
      </c>
      <c r="B81" s="170">
        <v>281149</v>
      </c>
      <c r="C81" s="170" t="s">
        <v>1075</v>
      </c>
      <c r="D81" s="169" t="s">
        <v>901</v>
      </c>
      <c r="E81" s="171" t="s">
        <v>935</v>
      </c>
      <c r="F81" s="170"/>
      <c r="G81" s="170">
        <v>-2162.65</v>
      </c>
      <c r="H81" s="178">
        <v>159634.21</v>
      </c>
    </row>
    <row r="82" spans="1:11" x14ac:dyDescent="0.25">
      <c r="A82" s="176">
        <v>44804</v>
      </c>
      <c r="B82" s="170">
        <v>281150</v>
      </c>
      <c r="C82" s="170" t="s">
        <v>1072</v>
      </c>
      <c r="D82" s="169" t="s">
        <v>901</v>
      </c>
      <c r="E82" s="171" t="s">
        <v>935</v>
      </c>
      <c r="F82" s="170">
        <v>746.87</v>
      </c>
      <c r="G82" s="170"/>
      <c r="H82" s="178">
        <v>160381.07999999999</v>
      </c>
    </row>
    <row r="83" spans="1:11" x14ac:dyDescent="0.25">
      <c r="A83" s="176">
        <v>44834</v>
      </c>
      <c r="B83" s="170">
        <v>282501</v>
      </c>
      <c r="C83" s="170" t="s">
        <v>1075</v>
      </c>
      <c r="D83" s="169" t="s">
        <v>903</v>
      </c>
      <c r="E83" s="171" t="s">
        <v>935</v>
      </c>
      <c r="F83" s="170"/>
      <c r="G83" s="170">
        <v>-1321.56</v>
      </c>
      <c r="H83" s="178">
        <v>159059.51999999999</v>
      </c>
    </row>
    <row r="84" spans="1:11" x14ac:dyDescent="0.25">
      <c r="A84" s="176">
        <v>44834</v>
      </c>
      <c r="B84" s="170">
        <v>282502</v>
      </c>
      <c r="C84" s="170" t="s">
        <v>1072</v>
      </c>
      <c r="D84" s="169" t="s">
        <v>903</v>
      </c>
      <c r="E84" s="171" t="s">
        <v>935</v>
      </c>
      <c r="F84" s="170">
        <v>574.67999999999995</v>
      </c>
      <c r="G84" s="170"/>
      <c r="H84" s="178">
        <v>159634.20000000001</v>
      </c>
    </row>
    <row r="85" spans="1:11" x14ac:dyDescent="0.25">
      <c r="A85" s="176"/>
      <c r="B85" s="170"/>
      <c r="C85" s="170"/>
      <c r="D85" s="177"/>
      <c r="E85" s="171"/>
      <c r="F85" s="170"/>
      <c r="G85" s="178"/>
      <c r="H85" s="178"/>
    </row>
    <row r="87" spans="1:11" ht="15.75" thickBot="1" x14ac:dyDescent="0.3"/>
    <row r="88" spans="1:11" x14ac:dyDescent="0.25">
      <c r="A88" s="709">
        <v>2022</v>
      </c>
      <c r="B88" s="710"/>
      <c r="C88" s="710"/>
      <c r="D88" s="710"/>
      <c r="E88" s="710"/>
      <c r="F88" s="710"/>
      <c r="G88" s="710"/>
      <c r="H88" s="710"/>
      <c r="I88" s="180"/>
      <c r="K88" s="144"/>
    </row>
    <row r="89" spans="1:11" x14ac:dyDescent="0.25">
      <c r="A89" s="181"/>
      <c r="B89" s="144"/>
      <c r="C89" s="144"/>
      <c r="D89" s="144"/>
      <c r="E89" s="144"/>
      <c r="F89" s="144"/>
      <c r="G89" s="144" t="s">
        <v>929</v>
      </c>
      <c r="H89" s="144" t="s">
        <v>930</v>
      </c>
      <c r="I89" s="182"/>
      <c r="K89" s="144"/>
    </row>
    <row r="90" spans="1:11" x14ac:dyDescent="0.25">
      <c r="A90" s="183">
        <v>44615</v>
      </c>
      <c r="B90">
        <v>274593</v>
      </c>
      <c r="C90" t="s">
        <v>1060</v>
      </c>
      <c r="D90" s="145" t="s">
        <v>1061</v>
      </c>
      <c r="E90" t="s">
        <v>1025</v>
      </c>
      <c r="G90" s="164">
        <v>21973.599999999999</v>
      </c>
      <c r="I90" s="184">
        <v>202295.08</v>
      </c>
      <c r="K90" s="144"/>
    </row>
    <row r="91" spans="1:11" x14ac:dyDescent="0.25">
      <c r="A91" s="183">
        <v>44642</v>
      </c>
      <c r="B91">
        <v>277445</v>
      </c>
      <c r="C91" t="s">
        <v>1062</v>
      </c>
      <c r="D91" s="145" t="s">
        <v>1063</v>
      </c>
      <c r="E91" t="s">
        <v>1025</v>
      </c>
      <c r="G91" s="164">
        <v>10986.8</v>
      </c>
      <c r="I91" s="184">
        <v>214387.58</v>
      </c>
      <c r="K91" s="144"/>
    </row>
    <row r="92" spans="1:11" x14ac:dyDescent="0.25">
      <c r="A92" s="183">
        <v>44761</v>
      </c>
      <c r="B92">
        <v>280171</v>
      </c>
      <c r="C92" t="s">
        <v>1068</v>
      </c>
      <c r="D92" s="145" t="s">
        <v>1069</v>
      </c>
      <c r="E92" t="s">
        <v>1025</v>
      </c>
      <c r="G92" s="164">
        <v>10986.8</v>
      </c>
      <c r="I92" s="184">
        <v>285237.48</v>
      </c>
      <c r="K92" s="144"/>
    </row>
    <row r="93" spans="1:11" x14ac:dyDescent="0.25">
      <c r="A93" s="181"/>
      <c r="I93" s="182"/>
      <c r="K93" s="144"/>
    </row>
    <row r="94" spans="1:11" ht="15.75" thickBot="1" x14ac:dyDescent="0.3">
      <c r="A94" s="185"/>
      <c r="B94" s="186"/>
      <c r="C94" s="186"/>
      <c r="D94" s="186"/>
      <c r="E94" s="186"/>
      <c r="F94" s="186"/>
      <c r="G94" s="187">
        <f>SUM(G90:G93)</f>
        <v>43947.199999999997</v>
      </c>
      <c r="H94" s="187">
        <f>SUM(H90:H93)</f>
        <v>0</v>
      </c>
      <c r="I94" s="188">
        <f>G94+H94</f>
        <v>43947.199999999997</v>
      </c>
      <c r="K94" s="189">
        <f>I94/1000</f>
        <v>43.947199999999995</v>
      </c>
    </row>
    <row r="95" spans="1:11" ht="15.75" thickBot="1" x14ac:dyDescent="0.3">
      <c r="K95" s="144"/>
    </row>
    <row r="96" spans="1:11" x14ac:dyDescent="0.25">
      <c r="A96" s="709">
        <v>2021</v>
      </c>
      <c r="B96" s="710"/>
      <c r="C96" s="710"/>
      <c r="D96" s="710"/>
      <c r="E96" s="710"/>
      <c r="F96" s="710"/>
      <c r="G96" s="710"/>
      <c r="H96" s="710"/>
      <c r="I96" s="180"/>
      <c r="K96" s="144"/>
    </row>
    <row r="97" spans="1:11" x14ac:dyDescent="0.25">
      <c r="A97" s="181"/>
      <c r="B97" s="144"/>
      <c r="C97" s="144"/>
      <c r="D97" s="144"/>
      <c r="E97" s="144"/>
      <c r="F97" s="144"/>
      <c r="G97" s="144" t="s">
        <v>929</v>
      </c>
      <c r="H97" s="144" t="s">
        <v>930</v>
      </c>
      <c r="I97" s="182"/>
      <c r="K97" s="144"/>
    </row>
    <row r="98" spans="1:11" x14ac:dyDescent="0.25">
      <c r="A98" s="181"/>
      <c r="I98" s="182"/>
      <c r="K98" s="144"/>
    </row>
    <row r="99" spans="1:11" ht="15.75" thickBot="1" x14ac:dyDescent="0.3">
      <c r="A99" s="185"/>
      <c r="B99" s="186"/>
      <c r="C99" s="186"/>
      <c r="D99" s="186"/>
      <c r="E99" s="186"/>
      <c r="F99" s="186"/>
      <c r="G99" s="187">
        <f>SUM(G98:G98)</f>
        <v>0</v>
      </c>
      <c r="H99" s="187">
        <f>SUM(H98:H98)</f>
        <v>0</v>
      </c>
      <c r="I99" s="188">
        <f>G99+H99</f>
        <v>0</v>
      </c>
      <c r="K99" s="189">
        <f>-I99/1000</f>
        <v>0</v>
      </c>
    </row>
    <row r="100" spans="1:11" ht="15.75" thickBot="1" x14ac:dyDescent="0.3">
      <c r="G100" s="164"/>
      <c r="H100" s="164"/>
      <c r="I100" s="164"/>
      <c r="K100" s="189"/>
    </row>
    <row r="101" spans="1:11" ht="15.75" thickBot="1" x14ac:dyDescent="0.3">
      <c r="G101" s="164"/>
      <c r="H101" s="237" t="s">
        <v>931</v>
      </c>
      <c r="I101" s="238"/>
      <c r="J101" s="239"/>
      <c r="K101" s="240">
        <f>K99-K94</f>
        <v>-43.947199999999995</v>
      </c>
    </row>
    <row r="102" spans="1:11" x14ac:dyDescent="0.25">
      <c r="K102" s="144"/>
    </row>
    <row r="103" spans="1:11" x14ac:dyDescent="0.25">
      <c r="K103" s="189"/>
    </row>
  </sheetData>
  <mergeCells count="4">
    <mergeCell ref="A4:C4"/>
    <mergeCell ref="A42:C42"/>
    <mergeCell ref="A88:H88"/>
    <mergeCell ref="A96:H96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workbookViewId="0">
      <selection activeCell="I24" sqref="I24"/>
    </sheetView>
  </sheetViews>
  <sheetFormatPr defaultRowHeight="15" x14ac:dyDescent="0.25"/>
  <cols>
    <col min="1" max="1" width="38.140625" bestFit="1" customWidth="1"/>
    <col min="2" max="2" width="22.5703125" bestFit="1" customWidth="1"/>
    <col min="3" max="3" width="76.85546875" bestFit="1" customWidth="1"/>
    <col min="4" max="4" width="27.5703125" bestFit="1" customWidth="1"/>
    <col min="5" max="5" width="8.42578125" bestFit="1" customWidth="1"/>
    <col min="6" max="6" width="18" bestFit="1" customWidth="1"/>
    <col min="8" max="8" width="8.42578125" bestFit="1" customWidth="1"/>
    <col min="9" max="9" width="12.7109375" bestFit="1" customWidth="1"/>
  </cols>
  <sheetData>
    <row r="1" spans="1:9" x14ac:dyDescent="0.25">
      <c r="A1" t="s">
        <v>834</v>
      </c>
      <c r="B1" t="s">
        <v>835</v>
      </c>
      <c r="C1" t="s">
        <v>836</v>
      </c>
      <c r="D1" t="s">
        <v>837</v>
      </c>
      <c r="E1" t="s">
        <v>838</v>
      </c>
      <c r="F1" t="s">
        <v>839</v>
      </c>
      <c r="G1" t="s">
        <v>840</v>
      </c>
      <c r="H1" t="s">
        <v>841</v>
      </c>
      <c r="I1" t="s">
        <v>842</v>
      </c>
    </row>
    <row r="2" spans="1:9" x14ac:dyDescent="0.25">
      <c r="A2" t="s">
        <v>843</v>
      </c>
    </row>
    <row r="4" spans="1:9" x14ac:dyDescent="0.25">
      <c r="A4" t="s">
        <v>1262</v>
      </c>
    </row>
    <row r="5" spans="1:9" x14ac:dyDescent="0.25">
      <c r="A5" t="s">
        <v>1261</v>
      </c>
    </row>
    <row r="7" spans="1:9" x14ac:dyDescent="0.25">
      <c r="A7" t="s">
        <v>845</v>
      </c>
      <c r="B7" t="s">
        <v>555</v>
      </c>
      <c r="C7">
        <v>12315</v>
      </c>
      <c r="D7" t="s">
        <v>124</v>
      </c>
      <c r="E7" t="s">
        <v>846</v>
      </c>
      <c r="F7" s="164">
        <v>11462174.43</v>
      </c>
    </row>
    <row r="9" spans="1:9" x14ac:dyDescent="0.25">
      <c r="A9" t="s">
        <v>847</v>
      </c>
      <c r="B9" t="s">
        <v>848</v>
      </c>
      <c r="C9" t="s">
        <v>849</v>
      </c>
      <c r="D9" t="s">
        <v>850</v>
      </c>
      <c r="E9" t="s">
        <v>851</v>
      </c>
      <c r="F9" t="s">
        <v>1257</v>
      </c>
      <c r="G9" t="s">
        <v>811</v>
      </c>
      <c r="H9" t="s">
        <v>812</v>
      </c>
      <c r="I9" t="s">
        <v>813</v>
      </c>
    </row>
    <row r="10" spans="1:9" x14ac:dyDescent="0.25">
      <c r="A10" s="190">
        <v>43842</v>
      </c>
      <c r="B10">
        <v>286598</v>
      </c>
      <c r="C10" t="s">
        <v>1260</v>
      </c>
      <c r="D10">
        <v>12741</v>
      </c>
      <c r="E10" t="s">
        <v>1259</v>
      </c>
      <c r="F10" t="s">
        <v>1258</v>
      </c>
      <c r="G10" s="164">
        <v>30000</v>
      </c>
      <c r="I10" s="164">
        <v>11492174.43</v>
      </c>
    </row>
    <row r="12" spans="1:9" x14ac:dyDescent="0.25">
      <c r="A12" t="s">
        <v>845</v>
      </c>
      <c r="B12" t="s">
        <v>556</v>
      </c>
      <c r="C12">
        <v>12317</v>
      </c>
      <c r="D12" t="s">
        <v>125</v>
      </c>
      <c r="E12" t="s">
        <v>846</v>
      </c>
      <c r="F12" s="164">
        <v>2185828.31</v>
      </c>
    </row>
    <row r="14" spans="1:9" x14ac:dyDescent="0.25">
      <c r="A14" t="s">
        <v>847</v>
      </c>
      <c r="B14" t="s">
        <v>848</v>
      </c>
      <c r="C14" t="s">
        <v>849</v>
      </c>
      <c r="D14" t="s">
        <v>850</v>
      </c>
      <c r="E14" t="s">
        <v>851</v>
      </c>
      <c r="F14" t="s">
        <v>1257</v>
      </c>
      <c r="G14" t="s">
        <v>811</v>
      </c>
      <c r="H14" t="s">
        <v>812</v>
      </c>
      <c r="I14" t="s">
        <v>813</v>
      </c>
    </row>
    <row r="15" spans="1:9" x14ac:dyDescent="0.25">
      <c r="A15" s="190">
        <v>43914</v>
      </c>
      <c r="B15">
        <v>289040</v>
      </c>
      <c r="C15" t="s">
        <v>1256</v>
      </c>
      <c r="D15">
        <v>46</v>
      </c>
      <c r="F15" t="s">
        <v>1255</v>
      </c>
      <c r="G15" s="164">
        <v>16370</v>
      </c>
      <c r="I15" s="164">
        <v>2202198.31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showGridLines="0" zoomScaleNormal="100" workbookViewId="0">
      <selection activeCell="I17" sqref="I17"/>
    </sheetView>
  </sheetViews>
  <sheetFormatPr defaultRowHeight="15" x14ac:dyDescent="0.25"/>
  <cols>
    <col min="1" max="1" width="39.28515625" bestFit="1" customWidth="1"/>
    <col min="2" max="2" width="4.42578125" customWidth="1"/>
    <col min="3" max="3" width="15.5703125" customWidth="1"/>
    <col min="4" max="4" width="4" customWidth="1"/>
    <col min="5" max="5" width="15.42578125" customWidth="1"/>
    <col min="6" max="6" width="3" customWidth="1"/>
    <col min="7" max="7" width="15.7109375" bestFit="1" customWidth="1"/>
    <col min="8" max="8" width="4.140625" customWidth="1"/>
    <col min="9" max="9" width="14.7109375" customWidth="1"/>
  </cols>
  <sheetData>
    <row r="2" spans="1:18" ht="26.25" x14ac:dyDescent="0.25">
      <c r="A2" s="226" t="s">
        <v>1141</v>
      </c>
      <c r="B2" s="220"/>
      <c r="C2" s="221" t="s">
        <v>1138</v>
      </c>
      <c r="D2" s="222"/>
      <c r="E2" s="217" t="s">
        <v>1139</v>
      </c>
      <c r="F2" s="220"/>
      <c r="G2" s="221" t="s">
        <v>1140</v>
      </c>
      <c r="L2" s="226"/>
      <c r="M2" s="220"/>
      <c r="N2" s="221"/>
      <c r="O2" s="222"/>
      <c r="P2" s="217"/>
      <c r="Q2" s="220"/>
      <c r="R2" s="221"/>
    </row>
    <row r="3" spans="1:18" x14ac:dyDescent="0.25">
      <c r="A3" s="15"/>
      <c r="B3" s="15"/>
      <c r="C3" s="38"/>
      <c r="D3" s="38"/>
      <c r="E3" s="63"/>
      <c r="F3" s="63"/>
      <c r="G3" s="38"/>
      <c r="L3" s="15"/>
      <c r="M3" s="15"/>
      <c r="N3" s="38"/>
      <c r="O3" s="38"/>
      <c r="P3" s="63"/>
      <c r="Q3" s="63"/>
      <c r="R3" s="38"/>
    </row>
    <row r="4" spans="1:18" x14ac:dyDescent="0.25">
      <c r="A4" s="27" t="s">
        <v>1143</v>
      </c>
      <c r="B4" s="15"/>
      <c r="C4" s="223">
        <v>-3521</v>
      </c>
      <c r="D4" s="215"/>
      <c r="E4" s="216"/>
      <c r="F4" s="216"/>
      <c r="G4" s="223">
        <v>-3521</v>
      </c>
      <c r="L4" s="27"/>
      <c r="M4" s="15"/>
      <c r="N4" s="223"/>
      <c r="O4" s="215"/>
      <c r="P4" s="216"/>
      <c r="Q4" s="216"/>
      <c r="R4" s="223"/>
    </row>
    <row r="5" spans="1:18" x14ac:dyDescent="0.25">
      <c r="A5" s="121"/>
      <c r="B5" s="121"/>
      <c r="C5" s="8"/>
      <c r="D5" s="8"/>
      <c r="E5" s="22"/>
      <c r="F5" s="22"/>
      <c r="G5" s="8"/>
      <c r="L5" s="121"/>
      <c r="M5" s="121"/>
      <c r="N5" s="8"/>
      <c r="O5" s="8"/>
      <c r="P5" s="22"/>
      <c r="Q5" s="22"/>
      <c r="R5" s="8"/>
    </row>
    <row r="6" spans="1:18" x14ac:dyDescent="0.25">
      <c r="A6" s="120" t="s">
        <v>1136</v>
      </c>
      <c r="B6" s="120"/>
      <c r="C6" s="8">
        <v>-104</v>
      </c>
      <c r="D6" s="8"/>
      <c r="E6" s="22">
        <v>104</v>
      </c>
      <c r="F6" s="22"/>
      <c r="G6" s="8">
        <f>C6+E6</f>
        <v>0</v>
      </c>
      <c r="L6" s="120"/>
      <c r="M6" s="120"/>
      <c r="N6" s="8"/>
      <c r="O6" s="8"/>
      <c r="P6" s="22"/>
      <c r="Q6" s="22"/>
      <c r="R6" s="8"/>
    </row>
    <row r="7" spans="1:18" x14ac:dyDescent="0.25">
      <c r="A7" s="120" t="s">
        <v>1137</v>
      </c>
      <c r="B7" s="120"/>
      <c r="C7" s="8">
        <v>-272</v>
      </c>
      <c r="D7" s="8"/>
      <c r="E7" s="18">
        <v>272</v>
      </c>
      <c r="F7" s="18"/>
      <c r="G7" s="8">
        <f t="shared" ref="G7:G8" si="0">C7+E7</f>
        <v>0</v>
      </c>
      <c r="L7" s="120"/>
      <c r="M7" s="120"/>
      <c r="N7" s="8"/>
      <c r="O7" s="8"/>
      <c r="P7" s="18"/>
      <c r="Q7" s="18"/>
      <c r="R7" s="8"/>
    </row>
    <row r="8" spans="1:18" x14ac:dyDescent="0.25">
      <c r="A8" s="121" t="s">
        <v>46</v>
      </c>
      <c r="B8" s="121"/>
      <c r="C8" s="223">
        <f>SUM(C6:C7)</f>
        <v>-376</v>
      </c>
      <c r="D8" s="223"/>
      <c r="E8" s="224">
        <f>SUM(E6:E7)</f>
        <v>376</v>
      </c>
      <c r="F8" s="225"/>
      <c r="G8" s="24">
        <f t="shared" si="0"/>
        <v>0</v>
      </c>
      <c r="L8" s="121"/>
      <c r="M8" s="121"/>
      <c r="N8" s="223"/>
      <c r="O8" s="223"/>
      <c r="P8" s="224"/>
      <c r="Q8" s="225"/>
      <c r="R8" s="24"/>
    </row>
    <row r="9" spans="1:18" x14ac:dyDescent="0.25">
      <c r="A9" s="14"/>
      <c r="B9" s="14"/>
      <c r="C9" s="14"/>
      <c r="D9" s="14"/>
      <c r="E9" s="14"/>
      <c r="F9" s="14"/>
      <c r="G9" s="14"/>
      <c r="L9" s="14"/>
      <c r="M9" s="14"/>
      <c r="N9" s="14"/>
      <c r="O9" s="14"/>
      <c r="P9" s="14"/>
      <c r="Q9" s="14"/>
      <c r="R9" s="14"/>
    </row>
    <row r="10" spans="1:18" x14ac:dyDescent="0.25">
      <c r="A10" s="121" t="s">
        <v>1142</v>
      </c>
      <c r="B10" s="14"/>
      <c r="C10" s="223">
        <f>C4+C8</f>
        <v>-3897</v>
      </c>
      <c r="D10" s="223">
        <f t="shared" ref="D10:G10" si="1">D4+D8</f>
        <v>0</v>
      </c>
      <c r="E10" s="223">
        <f t="shared" si="1"/>
        <v>376</v>
      </c>
      <c r="F10" s="223">
        <f t="shared" si="1"/>
        <v>0</v>
      </c>
      <c r="G10" s="223">
        <f t="shared" si="1"/>
        <v>-3521</v>
      </c>
      <c r="L10" s="121"/>
      <c r="M10" s="14"/>
      <c r="N10" s="223"/>
      <c r="O10" s="223"/>
      <c r="P10" s="223"/>
      <c r="Q10" s="223"/>
      <c r="R10" s="223"/>
    </row>
    <row r="15" spans="1:18" x14ac:dyDescent="0.25">
      <c r="C15" s="226"/>
      <c r="D15" s="220"/>
      <c r="E15" s="222"/>
      <c r="F15" s="222"/>
      <c r="G15" s="220"/>
      <c r="H15" s="220"/>
      <c r="I15" s="222"/>
      <c r="J15" s="214"/>
      <c r="K15" s="227"/>
      <c r="L15" s="227"/>
      <c r="M15" s="214"/>
      <c r="N15" s="214"/>
      <c r="O15" s="227"/>
    </row>
    <row r="16" spans="1:18" x14ac:dyDescent="0.25">
      <c r="C16" s="15"/>
      <c r="D16" s="15"/>
      <c r="E16" s="38"/>
      <c r="F16" s="38"/>
      <c r="G16" s="63"/>
      <c r="H16" s="63"/>
      <c r="I16" s="38"/>
      <c r="J16" s="15"/>
      <c r="K16" s="38"/>
      <c r="L16" s="38"/>
      <c r="M16" s="63"/>
      <c r="N16" s="63"/>
      <c r="O16" s="38"/>
    </row>
    <row r="17" spans="3:15" x14ac:dyDescent="0.25">
      <c r="C17" s="27"/>
      <c r="D17" s="15"/>
      <c r="E17" s="228"/>
      <c r="F17" s="38"/>
      <c r="G17" s="63"/>
      <c r="H17" s="63"/>
      <c r="I17" s="228"/>
      <c r="J17" s="15"/>
      <c r="K17" s="229"/>
      <c r="L17" s="38"/>
      <c r="M17" s="63"/>
      <c r="N17" s="63"/>
      <c r="O17" s="229"/>
    </row>
    <row r="18" spans="3:15" x14ac:dyDescent="0.25">
      <c r="C18" s="121"/>
      <c r="D18" s="121"/>
      <c r="E18" s="21"/>
      <c r="F18" s="21"/>
      <c r="G18" s="22"/>
      <c r="H18" s="22"/>
      <c r="I18" s="21"/>
      <c r="J18" s="121"/>
      <c r="K18" s="21"/>
      <c r="L18" s="21"/>
      <c r="M18" s="22"/>
      <c r="N18" s="22"/>
      <c r="O18" s="21"/>
    </row>
    <row r="19" spans="3:15" x14ac:dyDescent="0.25">
      <c r="C19" s="120"/>
      <c r="D19" s="120"/>
      <c r="E19" s="21"/>
      <c r="F19" s="21"/>
      <c r="G19" s="22"/>
      <c r="H19" s="22"/>
      <c r="I19" s="21"/>
      <c r="J19" s="120"/>
      <c r="K19" s="21"/>
      <c r="L19" s="21"/>
      <c r="M19" s="22"/>
      <c r="N19" s="22"/>
      <c r="O19" s="21"/>
    </row>
    <row r="20" spans="3:15" x14ac:dyDescent="0.25">
      <c r="C20" s="120"/>
      <c r="D20" s="120"/>
      <c r="E20" s="21"/>
      <c r="F20" s="21"/>
      <c r="G20" s="18"/>
      <c r="H20" s="18"/>
      <c r="I20" s="21"/>
      <c r="J20" s="120"/>
      <c r="K20" s="21"/>
      <c r="L20" s="21"/>
      <c r="M20" s="18"/>
      <c r="N20" s="18"/>
      <c r="O20" s="21"/>
    </row>
    <row r="21" spans="3:15" x14ac:dyDescent="0.25">
      <c r="C21" s="121"/>
      <c r="D21" s="121"/>
      <c r="E21" s="228"/>
      <c r="F21" s="228"/>
      <c r="G21" s="230"/>
      <c r="H21" s="14"/>
      <c r="I21" s="7"/>
      <c r="J21" s="121"/>
      <c r="K21" s="229"/>
      <c r="L21" s="229"/>
      <c r="M21" s="231"/>
      <c r="O21" s="7"/>
    </row>
    <row r="22" spans="3:15" x14ac:dyDescent="0.25">
      <c r="C22" s="14"/>
      <c r="D22" s="14"/>
      <c r="E22" s="14"/>
      <c r="F22" s="14"/>
      <c r="G22" s="14"/>
      <c r="H22" s="14"/>
      <c r="I22" s="14"/>
    </row>
    <row r="23" spans="3:15" x14ac:dyDescent="0.25">
      <c r="C23" s="121"/>
      <c r="D23" s="14"/>
      <c r="E23" s="228"/>
      <c r="F23" s="228"/>
      <c r="G23" s="228"/>
      <c r="H23" s="228"/>
      <c r="I23" s="228"/>
      <c r="K23" s="229"/>
      <c r="L23" s="229"/>
      <c r="M23" s="229"/>
      <c r="N23" s="229"/>
      <c r="O23" s="229"/>
    </row>
  </sheetData>
  <pageMargins left="0.511811024" right="0.511811024" top="0.78740157499999996" bottom="0.78740157499999996" header="0.31496062000000002" footer="0.31496062000000002"/>
  <pageSetup paperSize="9" scale="78" orientation="portrait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91FE38EC899440BAAAE7FB8027CE72" ma:contentTypeVersion="1" ma:contentTypeDescription="Crie um novo documento." ma:contentTypeScope="" ma:versionID="49e12c44ef5e81649bdd40f481712a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AA5FEE-A1AA-436C-B4E9-98F7FD96F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48538-BDFE-43FF-92FD-EC8CF6BFBE5F}"/>
</file>

<file path=customXml/itemProps3.xml><?xml version="1.0" encoding="utf-8"?>
<ds:datastoreItem xmlns:ds="http://schemas.openxmlformats.org/officeDocument/2006/customXml" ds:itemID="{68404311-DECD-4CDD-B8C5-1B8EEA675556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bc6e17c5-77a9-42e7-986c-eee86f48c9b0"/>
    <ds:schemaRef ds:uri="http://schemas.microsoft.com/office/2006/metadata/properties"/>
    <ds:schemaRef ds:uri="http://schemas.microsoft.com/office/infopath/2007/PartnerControls"/>
    <ds:schemaRef ds:uri="e2f81712-dae9-4fd9-b489-a0dd402527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8</vt:i4>
      </vt:variant>
    </vt:vector>
  </HeadingPairs>
  <TitlesOfParts>
    <vt:vector size="34" baseType="lpstr">
      <vt:lpstr>BP</vt:lpstr>
      <vt:lpstr>Planilha2</vt:lpstr>
      <vt:lpstr>DRE</vt:lpstr>
      <vt:lpstr>DRA </vt:lpstr>
      <vt:lpstr>DMPL</vt:lpstr>
      <vt:lpstr>DFC </vt:lpstr>
      <vt:lpstr>DVA </vt:lpstr>
      <vt:lpstr>Balancete 3ºtrim</vt:lpstr>
      <vt:lpstr>Balancete 09.2023</vt:lpstr>
      <vt:lpstr>DF's</vt:lpstr>
      <vt:lpstr>impostos a recupera</vt:lpstr>
      <vt:lpstr>Depósito judiciais</vt:lpstr>
      <vt:lpstr>Depósitos judiciais</vt:lpstr>
      <vt:lpstr>Provisão para contigencia</vt:lpstr>
      <vt:lpstr>Planilha5</vt:lpstr>
      <vt:lpstr>IRPJ_CSLL_2023</vt:lpstr>
      <vt:lpstr>IRPJ_CSLL_2022</vt:lpstr>
      <vt:lpstr>Reconciliação IRPJ e CSLL</vt:lpstr>
      <vt:lpstr>Mov imob</vt:lpstr>
      <vt:lpstr>Razão Provisões p. Contigências</vt:lpstr>
      <vt:lpstr>Impostos a recuperar</vt:lpstr>
      <vt:lpstr>Planilha3</vt:lpstr>
      <vt:lpstr>DFC - Impostos a recuperar</vt:lpstr>
      <vt:lpstr>DFC - Depositos judiciais</vt:lpstr>
      <vt:lpstr>RAZÃO IMOBILIZADO</vt:lpstr>
      <vt:lpstr>Planilha1</vt:lpstr>
      <vt:lpstr>BP!Area_de_impressao</vt:lpstr>
      <vt:lpstr>'DFC '!Area_de_impressao</vt:lpstr>
      <vt:lpstr>DMPL!Area_de_impressao</vt:lpstr>
      <vt:lpstr>'DRA '!Area_de_impressao</vt:lpstr>
      <vt:lpstr>DRE!Area_de_impressao</vt:lpstr>
      <vt:lpstr>'DVA '!Area_de_impressao</vt:lpstr>
      <vt:lpstr>IRPJ_CSLL_2022!Area_de_impressao</vt:lpstr>
      <vt:lpstr>IRPJ_CSLL_2023!Area_de_impressao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 Tosta</dc:creator>
  <cp:lastModifiedBy>Natan Pio Pereira</cp:lastModifiedBy>
  <cp:lastPrinted>2023-04-26T13:42:52Z</cp:lastPrinted>
  <dcterms:created xsi:type="dcterms:W3CDTF">2020-11-11T18:13:55Z</dcterms:created>
  <dcterms:modified xsi:type="dcterms:W3CDTF">2023-11-08T13:51:00Z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0x0101004591FE38EC899440BAAAE7FB8027CE72</vt:lpwstr>
  </property>
</Properties>
</file>