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Clientes\Atuais\EPE\2023\Contabil\Demonstrações Financeiras\2 - Trimestral\1º Trimestre 2023\Relatórios contábeis de report\"/>
    </mc:Choice>
  </mc:AlternateContent>
  <bookViews>
    <workbookView xWindow="0" yWindow="0" windowWidth="20490" windowHeight="6420" firstSheet="1" activeTab="1"/>
  </bookViews>
  <sheets>
    <sheet name="Balancete 03.2023" sheetId="21" state="hidden" r:id="rId1"/>
    <sheet name="BP" sheetId="1" r:id="rId2"/>
    <sheet name="Planilha2" sheetId="31" state="hidden" r:id="rId3"/>
    <sheet name="DRE" sheetId="37" r:id="rId4"/>
    <sheet name="DRA " sheetId="38" r:id="rId5"/>
    <sheet name="DMPL" sheetId="20" r:id="rId6"/>
    <sheet name="DMPL (2)" sheetId="39" state="hidden" r:id="rId7"/>
    <sheet name="DFC " sheetId="40" r:id="rId8"/>
    <sheet name="DVA " sheetId="32" r:id="rId9"/>
    <sheet name="IRPJ_CSLL_2022" sheetId="43" state="hidden" r:id="rId10"/>
    <sheet name="IRPJ_CSLL_2023" sheetId="44" state="hidden" r:id="rId11"/>
    <sheet name="IRPJ eCSLL (2)" sheetId="45" state="hidden" r:id="rId12"/>
    <sheet name="DF's" sheetId="22" state="hidden" r:id="rId13"/>
    <sheet name="Instrumentos financeiros " sheetId="23" state="hidden" r:id="rId14"/>
    <sheet name="IRPJ eCSLL" sheetId="42" state="hidden" r:id="rId15"/>
    <sheet name="Mov imob" sheetId="19" state="hidden" r:id="rId16"/>
    <sheet name="Razão Provisões p. Contigências" sheetId="24" state="hidden" r:id="rId17"/>
    <sheet name="Depósitos judiciais" sheetId="34" state="hidden" r:id="rId18"/>
    <sheet name="Impostos a recuperar" sheetId="35" state="hidden" r:id="rId19"/>
    <sheet name="Planilha3" sheetId="41" state="hidden" r:id="rId20"/>
    <sheet name="AFAC" sheetId="36" state="hidden" r:id="rId21"/>
    <sheet name="DFC - Impostos a recuperar" sheetId="25" state="hidden" r:id="rId22"/>
    <sheet name="DFC - Depositos judiciais" sheetId="26" state="hidden" r:id="rId23"/>
    <sheet name="RAZÃO IMOBILIZADO" sheetId="33" state="hidden" r:id="rId24"/>
    <sheet name="Planilha1" sheetId="30" state="hidden" r:id="rId25"/>
  </sheets>
  <externalReferences>
    <externalReference r:id="rId26"/>
    <externalReference r:id="rId27"/>
    <externalReference r:id="rId28"/>
  </externalReferences>
  <definedNames>
    <definedName name="_xlnm._FilterDatabase" localSheetId="0" hidden="1">'Balancete 03.2023'!$A$1:$I$1898</definedName>
    <definedName name="_xlnm._FilterDatabase" localSheetId="22" hidden="1">'DFC - Depositos judiciais'!$A$5:$H$84</definedName>
    <definedName name="_xlnm._FilterDatabase" localSheetId="21" hidden="1">'DFC - Impostos a recuperar'!$A$5:$I$79</definedName>
    <definedName name="_xlnm._FilterDatabase" localSheetId="9" hidden="1">IRPJ_CSLL_2022!$A$6:$I$7</definedName>
    <definedName name="_xlnm._FilterDatabase" localSheetId="10" hidden="1">IRPJ_CSLL_2023!$A$6:$I$7</definedName>
    <definedName name="_xlnm._FilterDatabase" localSheetId="16" hidden="1">'Razão Provisões p. Contigências'!$A$6:$I$45</definedName>
    <definedName name="_xlnm.Print_Area" localSheetId="1">BP!$A$1:$G$54</definedName>
    <definedName name="_xlnm.Print_Area" localSheetId="7">'DFC '!$A$1:$F$46</definedName>
    <definedName name="_xlnm.Print_Area" localSheetId="5">DMPL!$A$1:$O$38</definedName>
    <definedName name="_xlnm.Print_Area" localSheetId="6">'DMPL (2)'!$A$1:$O$35</definedName>
    <definedName name="_xlnm.Print_Area" localSheetId="4">'DRA '!$B$2:$L$15</definedName>
    <definedName name="_xlnm.Print_Area" localSheetId="3">DRE!$B$2:$K$58</definedName>
    <definedName name="_xlnm.Print_Area" localSheetId="8">'DVA '!$A$1:$H$58</definedName>
    <definedName name="_xlnm.Print_Area" localSheetId="9">IRPJ_CSLL_2022!$A$1:$O$115</definedName>
    <definedName name="_xlnm.Print_Area" localSheetId="10">IRPJ_CSLL_2023!$A$1:$O$115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9" i="45" l="1"/>
  <c r="N6" i="45"/>
  <c r="N20" i="45"/>
  <c r="H17" i="45"/>
  <c r="H15" i="45"/>
  <c r="Q8" i="45"/>
  <c r="P8" i="45"/>
  <c r="H27" i="45" l="1"/>
  <c r="P20" i="43" l="1"/>
  <c r="Q16" i="45"/>
  <c r="F21" i="45" l="1"/>
  <c r="F128" i="44"/>
  <c r="O110" i="44"/>
  <c r="N110" i="44"/>
  <c r="M110" i="44"/>
  <c r="L110" i="44"/>
  <c r="K110" i="44"/>
  <c r="J110" i="44"/>
  <c r="I110" i="44"/>
  <c r="H110" i="44"/>
  <c r="G110" i="44"/>
  <c r="F110" i="44"/>
  <c r="E110" i="44"/>
  <c r="D110" i="44"/>
  <c r="O109" i="44"/>
  <c r="O111" i="44" s="1"/>
  <c r="O112" i="44" s="1"/>
  <c r="N109" i="44"/>
  <c r="N111" i="44" s="1"/>
  <c r="N112" i="44" s="1"/>
  <c r="M109" i="44"/>
  <c r="M111" i="44" s="1"/>
  <c r="M112" i="44" s="1"/>
  <c r="L109" i="44"/>
  <c r="L111" i="44" s="1"/>
  <c r="L112" i="44" s="1"/>
  <c r="K109" i="44"/>
  <c r="K111" i="44" s="1"/>
  <c r="K112" i="44" s="1"/>
  <c r="J109" i="44"/>
  <c r="J111" i="44" s="1"/>
  <c r="J112" i="44" s="1"/>
  <c r="I109" i="44"/>
  <c r="I111" i="44" s="1"/>
  <c r="I112" i="44" s="1"/>
  <c r="H109" i="44"/>
  <c r="H111" i="44" s="1"/>
  <c r="H112" i="44" s="1"/>
  <c r="G109" i="44"/>
  <c r="G111" i="44" s="1"/>
  <c r="G112" i="44" s="1"/>
  <c r="F109" i="44"/>
  <c r="F111" i="44" s="1"/>
  <c r="F112" i="44" s="1"/>
  <c r="E109" i="44"/>
  <c r="E111" i="44" s="1"/>
  <c r="E112" i="44" s="1"/>
  <c r="D109" i="44"/>
  <c r="D111" i="44" s="1"/>
  <c r="D112" i="44" s="1"/>
  <c r="C98" i="44"/>
  <c r="C91" i="44"/>
  <c r="O90" i="44"/>
  <c r="N90" i="44"/>
  <c r="M90" i="44"/>
  <c r="L90" i="44"/>
  <c r="K90" i="44"/>
  <c r="E90" i="44"/>
  <c r="C90" i="44"/>
  <c r="O89" i="44"/>
  <c r="N89" i="44"/>
  <c r="M89" i="44"/>
  <c r="L89" i="44"/>
  <c r="K89" i="44"/>
  <c r="I89" i="44"/>
  <c r="H89" i="44"/>
  <c r="C89" i="44"/>
  <c r="O88" i="44"/>
  <c r="N88" i="44"/>
  <c r="M88" i="44"/>
  <c r="L88" i="44"/>
  <c r="K88" i="44"/>
  <c r="I88" i="44"/>
  <c r="H88" i="44"/>
  <c r="C88" i="44"/>
  <c r="C87" i="44"/>
  <c r="C92" i="44" s="1"/>
  <c r="C94" i="44" s="1"/>
  <c r="C100" i="44" s="1"/>
  <c r="D96" i="44" s="1"/>
  <c r="D98" i="44" s="1"/>
  <c r="O83" i="44"/>
  <c r="N83" i="44"/>
  <c r="M83" i="44"/>
  <c r="L83" i="44"/>
  <c r="K83" i="44"/>
  <c r="J83" i="44"/>
  <c r="I83" i="44"/>
  <c r="H83" i="44"/>
  <c r="G83" i="44"/>
  <c r="F83" i="44"/>
  <c r="E83" i="44"/>
  <c r="D83" i="44"/>
  <c r="E76" i="44"/>
  <c r="F75" i="44"/>
  <c r="K74" i="44"/>
  <c r="K76" i="44" s="1"/>
  <c r="J74" i="44"/>
  <c r="J76" i="44" s="1"/>
  <c r="F74" i="44"/>
  <c r="F76" i="44" s="1"/>
  <c r="O69" i="44"/>
  <c r="N69" i="44"/>
  <c r="M69" i="44"/>
  <c r="L69" i="44"/>
  <c r="K69" i="44"/>
  <c r="J69" i="44"/>
  <c r="I69" i="44"/>
  <c r="F69" i="44"/>
  <c r="E69" i="44"/>
  <c r="O68" i="44"/>
  <c r="F66" i="44"/>
  <c r="D66" i="44"/>
  <c r="K65" i="44"/>
  <c r="J65" i="44"/>
  <c r="I65" i="44"/>
  <c r="F65" i="44"/>
  <c r="E65" i="44"/>
  <c r="O64" i="44"/>
  <c r="N64" i="44"/>
  <c r="M64" i="44"/>
  <c r="L64" i="44"/>
  <c r="K64" i="44"/>
  <c r="J64" i="44"/>
  <c r="I64" i="44"/>
  <c r="F64" i="44"/>
  <c r="E64" i="44"/>
  <c r="F63" i="44"/>
  <c r="E63" i="44"/>
  <c r="O61" i="44"/>
  <c r="N61" i="44"/>
  <c r="M61" i="44"/>
  <c r="L61" i="44"/>
  <c r="K61" i="44"/>
  <c r="J61" i="44"/>
  <c r="I61" i="44"/>
  <c r="I91" i="44" s="1"/>
  <c r="E61" i="44"/>
  <c r="O59" i="44"/>
  <c r="N59" i="44"/>
  <c r="M59" i="44"/>
  <c r="L59" i="44"/>
  <c r="K59" i="44"/>
  <c r="J59" i="44"/>
  <c r="I59" i="44"/>
  <c r="E59" i="44"/>
  <c r="E57" i="44"/>
  <c r="D57" i="44"/>
  <c r="D89" i="44" s="1"/>
  <c r="E56" i="44"/>
  <c r="D56" i="44"/>
  <c r="D88" i="44" s="1"/>
  <c r="O53" i="44"/>
  <c r="D53" i="44"/>
  <c r="J51" i="44"/>
  <c r="D42" i="44"/>
  <c r="C42" i="44"/>
  <c r="D39" i="44"/>
  <c r="C36" i="44"/>
  <c r="F32" i="44"/>
  <c r="E32" i="44"/>
  <c r="O31" i="44"/>
  <c r="O75" i="44" s="1"/>
  <c r="H31" i="44"/>
  <c r="G31" i="44"/>
  <c r="G75" i="44" s="1"/>
  <c r="D31" i="44"/>
  <c r="D75" i="44" s="1"/>
  <c r="O30" i="44"/>
  <c r="O74" i="44" s="1"/>
  <c r="N30" i="44"/>
  <c r="N32" i="44" s="1"/>
  <c r="M30" i="44"/>
  <c r="M74" i="44" s="1"/>
  <c r="M76" i="44" s="1"/>
  <c r="L30" i="44"/>
  <c r="L74" i="44" s="1"/>
  <c r="L76" i="44" s="1"/>
  <c r="K30" i="44"/>
  <c r="K32" i="44" s="1"/>
  <c r="J30" i="44"/>
  <c r="J32" i="44" s="1"/>
  <c r="I30" i="44"/>
  <c r="I74" i="44" s="1"/>
  <c r="I76" i="44" s="1"/>
  <c r="H30" i="44"/>
  <c r="H74" i="44" s="1"/>
  <c r="H76" i="44" s="1"/>
  <c r="G30" i="44"/>
  <c r="G74" i="44" s="1"/>
  <c r="D30" i="44"/>
  <c r="D74" i="44" s="1"/>
  <c r="O29" i="44"/>
  <c r="O73" i="44" s="1"/>
  <c r="H29" i="44"/>
  <c r="H32" i="44" s="1"/>
  <c r="G29" i="44"/>
  <c r="G73" i="44" s="1"/>
  <c r="G76" i="44" s="1"/>
  <c r="D29" i="44"/>
  <c r="D73" i="44" s="1"/>
  <c r="H26" i="44"/>
  <c r="H69" i="44" s="1"/>
  <c r="G26" i="44"/>
  <c r="G69" i="44" s="1"/>
  <c r="D26" i="44"/>
  <c r="D69" i="44" s="1"/>
  <c r="O25" i="44"/>
  <c r="N25" i="44"/>
  <c r="N68" i="44" s="1"/>
  <c r="M25" i="44"/>
  <c r="M68" i="44" s="1"/>
  <c r="L25" i="44"/>
  <c r="L68" i="44" s="1"/>
  <c r="K25" i="44"/>
  <c r="K68" i="44" s="1"/>
  <c r="J25" i="44"/>
  <c r="J68" i="44" s="1"/>
  <c r="I25" i="44"/>
  <c r="I68" i="44" s="1"/>
  <c r="H25" i="44"/>
  <c r="H68" i="44" s="1"/>
  <c r="G25" i="44"/>
  <c r="G68" i="44" s="1"/>
  <c r="F25" i="44"/>
  <c r="F68" i="44" s="1"/>
  <c r="E25" i="44"/>
  <c r="E68" i="44" s="1"/>
  <c r="D25" i="44"/>
  <c r="D68" i="44" s="1"/>
  <c r="O24" i="44"/>
  <c r="O67" i="44" s="1"/>
  <c r="N24" i="44"/>
  <c r="N67" i="44" s="1"/>
  <c r="M24" i="44"/>
  <c r="M67" i="44" s="1"/>
  <c r="L24" i="44"/>
  <c r="L67" i="44" s="1"/>
  <c r="K24" i="44"/>
  <c r="K67" i="44" s="1"/>
  <c r="J24" i="44"/>
  <c r="J67" i="44" s="1"/>
  <c r="I24" i="44"/>
  <c r="I67" i="44" s="1"/>
  <c r="H24" i="44"/>
  <c r="H67" i="44" s="1"/>
  <c r="G24" i="44"/>
  <c r="G67" i="44" s="1"/>
  <c r="F24" i="44"/>
  <c r="F17" i="45" s="1"/>
  <c r="E24" i="44"/>
  <c r="E67" i="44" s="1"/>
  <c r="D24" i="44"/>
  <c r="D67" i="44" s="1"/>
  <c r="O23" i="44"/>
  <c r="O66" i="44" s="1"/>
  <c r="N23" i="44"/>
  <c r="N66" i="44" s="1"/>
  <c r="M23" i="44"/>
  <c r="M66" i="44" s="1"/>
  <c r="L23" i="44"/>
  <c r="L66" i="44" s="1"/>
  <c r="O22" i="44"/>
  <c r="O65" i="44" s="1"/>
  <c r="N22" i="44"/>
  <c r="N65" i="44" s="1"/>
  <c r="M22" i="44"/>
  <c r="M65" i="44" s="1"/>
  <c r="L22" i="44"/>
  <c r="L65" i="44" s="1"/>
  <c r="H22" i="44"/>
  <c r="H65" i="44" s="1"/>
  <c r="G22" i="44"/>
  <c r="G65" i="44" s="1"/>
  <c r="D22" i="44"/>
  <c r="D65" i="44" s="1"/>
  <c r="H21" i="44"/>
  <c r="H64" i="44" s="1"/>
  <c r="G21" i="44"/>
  <c r="G64" i="44" s="1"/>
  <c r="D21" i="44"/>
  <c r="D64" i="44" s="1"/>
  <c r="O20" i="44"/>
  <c r="O63" i="44" s="1"/>
  <c r="N20" i="44"/>
  <c r="N63" i="44" s="1"/>
  <c r="M20" i="44"/>
  <c r="M63" i="44" s="1"/>
  <c r="L20" i="44"/>
  <c r="L63" i="44" s="1"/>
  <c r="K20" i="44"/>
  <c r="K63" i="44" s="1"/>
  <c r="J20" i="44"/>
  <c r="J63" i="44" s="1"/>
  <c r="I20" i="44"/>
  <c r="I63" i="44" s="1"/>
  <c r="H20" i="44"/>
  <c r="H63" i="44" s="1"/>
  <c r="G20" i="44"/>
  <c r="G63" i="44" s="1"/>
  <c r="D20" i="44"/>
  <c r="D63" i="44" s="1"/>
  <c r="O19" i="44"/>
  <c r="O62" i="44" s="1"/>
  <c r="N19" i="44"/>
  <c r="N62" i="44" s="1"/>
  <c r="M19" i="44"/>
  <c r="M62" i="44" s="1"/>
  <c r="L19" i="44"/>
  <c r="L62" i="44" s="1"/>
  <c r="K19" i="44"/>
  <c r="K62" i="44" s="1"/>
  <c r="J19" i="44"/>
  <c r="J62" i="44" s="1"/>
  <c r="I19" i="44"/>
  <c r="I62" i="44" s="1"/>
  <c r="H19" i="44"/>
  <c r="H62" i="44" s="1"/>
  <c r="G19" i="44"/>
  <c r="G62" i="44" s="1"/>
  <c r="F19" i="44"/>
  <c r="E19" i="44"/>
  <c r="E62" i="44" s="1"/>
  <c r="D19" i="44"/>
  <c r="D62" i="44" s="1"/>
  <c r="H18" i="44"/>
  <c r="H61" i="44" s="1"/>
  <c r="G18" i="44"/>
  <c r="G61" i="44" s="1"/>
  <c r="G91" i="44" s="1"/>
  <c r="F18" i="44"/>
  <c r="D18" i="44"/>
  <c r="D61" i="44" s="1"/>
  <c r="D91" i="44" s="1"/>
  <c r="O17" i="44"/>
  <c r="O60" i="44" s="1"/>
  <c r="N17" i="44"/>
  <c r="N60" i="44" s="1"/>
  <c r="M17" i="44"/>
  <c r="M60" i="44" s="1"/>
  <c r="L17" i="44"/>
  <c r="L60" i="44" s="1"/>
  <c r="K17" i="44"/>
  <c r="K60" i="44" s="1"/>
  <c r="J17" i="44"/>
  <c r="J60" i="44" s="1"/>
  <c r="I17" i="44"/>
  <c r="I60" i="44" s="1"/>
  <c r="I90" i="44" s="1"/>
  <c r="H17" i="44"/>
  <c r="H60" i="44" s="1"/>
  <c r="H90" i="44" s="1"/>
  <c r="G17" i="44"/>
  <c r="G60" i="44" s="1"/>
  <c r="G90" i="44" s="1"/>
  <c r="F17" i="44"/>
  <c r="E17" i="44"/>
  <c r="E60" i="44" s="1"/>
  <c r="D17" i="44"/>
  <c r="D60" i="44" s="1"/>
  <c r="D90" i="44" s="1"/>
  <c r="H16" i="44"/>
  <c r="H59" i="44" s="1"/>
  <c r="G16" i="44"/>
  <c r="G59" i="44" s="1"/>
  <c r="F16" i="44"/>
  <c r="F59" i="44" s="1"/>
  <c r="D16" i="44"/>
  <c r="D59" i="44" s="1"/>
  <c r="O15" i="44"/>
  <c r="O58" i="44" s="1"/>
  <c r="N15" i="44"/>
  <c r="N58" i="44" s="1"/>
  <c r="M15" i="44"/>
  <c r="M58" i="44" s="1"/>
  <c r="L15" i="44"/>
  <c r="L58" i="44" s="1"/>
  <c r="K15" i="44"/>
  <c r="K58" i="44" s="1"/>
  <c r="J15" i="44"/>
  <c r="J58" i="44" s="1"/>
  <c r="I15" i="44"/>
  <c r="I58" i="44" s="1"/>
  <c r="H15" i="44"/>
  <c r="H58" i="44" s="1"/>
  <c r="G15" i="44"/>
  <c r="G58" i="44" s="1"/>
  <c r="F15" i="44"/>
  <c r="E15" i="44"/>
  <c r="E58" i="44" s="1"/>
  <c r="D15" i="44"/>
  <c r="O14" i="44"/>
  <c r="O57" i="44" s="1"/>
  <c r="N14" i="44"/>
  <c r="N57" i="44" s="1"/>
  <c r="M14" i="44"/>
  <c r="M57" i="44" s="1"/>
  <c r="L14" i="44"/>
  <c r="L57" i="44" s="1"/>
  <c r="K14" i="44"/>
  <c r="K57" i="44" s="1"/>
  <c r="J14" i="44"/>
  <c r="J57" i="44" s="1"/>
  <c r="I14" i="44"/>
  <c r="I57" i="44" s="1"/>
  <c r="H14" i="44"/>
  <c r="H57" i="44" s="1"/>
  <c r="G14" i="44"/>
  <c r="G57" i="44" s="1"/>
  <c r="G89" i="44" s="1"/>
  <c r="F14" i="44"/>
  <c r="O13" i="44"/>
  <c r="O56" i="44" s="1"/>
  <c r="N13" i="44"/>
  <c r="M13" i="44"/>
  <c r="M56" i="44" s="1"/>
  <c r="L13" i="44"/>
  <c r="K13" i="44"/>
  <c r="K56" i="44" s="1"/>
  <c r="K71" i="44" s="1"/>
  <c r="J13" i="44"/>
  <c r="I13" i="44"/>
  <c r="I56" i="44" s="1"/>
  <c r="H13" i="44"/>
  <c r="G13" i="44"/>
  <c r="F13" i="44"/>
  <c r="N10" i="44"/>
  <c r="N53" i="44" s="1"/>
  <c r="M10" i="44"/>
  <c r="M53" i="44" s="1"/>
  <c r="L10" i="44"/>
  <c r="L53" i="44" s="1"/>
  <c r="K10" i="44"/>
  <c r="K53" i="44" s="1"/>
  <c r="I10" i="44"/>
  <c r="I53" i="44" s="1"/>
  <c r="H10" i="44"/>
  <c r="H53" i="44" s="1"/>
  <c r="G10" i="44"/>
  <c r="G53" i="44" s="1"/>
  <c r="F10" i="44"/>
  <c r="F53" i="44" s="1"/>
  <c r="E10" i="44"/>
  <c r="E53" i="44" s="1"/>
  <c r="O8" i="44"/>
  <c r="O51" i="44" s="1"/>
  <c r="N8" i="44"/>
  <c r="N51" i="44" s="1"/>
  <c r="M8" i="44"/>
  <c r="M51" i="44" s="1"/>
  <c r="L8" i="44"/>
  <c r="K8" i="44"/>
  <c r="K51" i="44" s="1"/>
  <c r="I8" i="44"/>
  <c r="I51" i="44" s="1"/>
  <c r="H8" i="44"/>
  <c r="H51" i="44" s="1"/>
  <c r="G8" i="44"/>
  <c r="G51" i="44" s="1"/>
  <c r="F8" i="44"/>
  <c r="F51" i="44" s="1"/>
  <c r="E8" i="44"/>
  <c r="E51" i="44" s="1"/>
  <c r="D8" i="44"/>
  <c r="D51" i="44" s="1"/>
  <c r="O7" i="44"/>
  <c r="O50" i="44" s="1"/>
  <c r="O52" i="44" s="1"/>
  <c r="O54" i="44" s="1"/>
  <c r="N7" i="44"/>
  <c r="N50" i="44" s="1"/>
  <c r="M7" i="44"/>
  <c r="M50" i="44" s="1"/>
  <c r="L7" i="44"/>
  <c r="L50" i="44" s="1"/>
  <c r="K7" i="44"/>
  <c r="K50" i="44" s="1"/>
  <c r="K52" i="44" s="1"/>
  <c r="K54" i="44" s="1"/>
  <c r="K78" i="44" s="1"/>
  <c r="J7" i="44"/>
  <c r="J50" i="44" s="1"/>
  <c r="J52" i="44" s="1"/>
  <c r="I7" i="44"/>
  <c r="I50" i="44" s="1"/>
  <c r="I52" i="44" s="1"/>
  <c r="I54" i="44" s="1"/>
  <c r="H7" i="44"/>
  <c r="H50" i="44" s="1"/>
  <c r="H52" i="44" s="1"/>
  <c r="H54" i="44" s="1"/>
  <c r="G7" i="44"/>
  <c r="G50" i="44" s="1"/>
  <c r="G52" i="44" s="1"/>
  <c r="G54" i="44" s="1"/>
  <c r="F7" i="44"/>
  <c r="F50" i="44" s="1"/>
  <c r="F52" i="44" s="1"/>
  <c r="F54" i="44" s="1"/>
  <c r="E7" i="44"/>
  <c r="E50" i="44" s="1"/>
  <c r="E52" i="44" s="1"/>
  <c r="E54" i="44" s="1"/>
  <c r="D7" i="44"/>
  <c r="D50" i="44" s="1"/>
  <c r="D52" i="44" s="1"/>
  <c r="D54" i="44" s="1"/>
  <c r="F128" i="43"/>
  <c r="O110" i="43"/>
  <c r="N110" i="43"/>
  <c r="M110" i="43"/>
  <c r="L110" i="43"/>
  <c r="K110" i="43"/>
  <c r="J110" i="43"/>
  <c r="I110" i="43"/>
  <c r="H110" i="43"/>
  <c r="G110" i="43"/>
  <c r="F110" i="43"/>
  <c r="E110" i="43"/>
  <c r="D110" i="43"/>
  <c r="O109" i="43"/>
  <c r="O111" i="43" s="1"/>
  <c r="O112" i="43" s="1"/>
  <c r="N109" i="43"/>
  <c r="N111" i="43" s="1"/>
  <c r="N112" i="43" s="1"/>
  <c r="M109" i="43"/>
  <c r="M111" i="43" s="1"/>
  <c r="M112" i="43" s="1"/>
  <c r="L109" i="43"/>
  <c r="L111" i="43" s="1"/>
  <c r="L112" i="43" s="1"/>
  <c r="K109" i="43"/>
  <c r="K111" i="43" s="1"/>
  <c r="K112" i="43" s="1"/>
  <c r="J109" i="43"/>
  <c r="J111" i="43" s="1"/>
  <c r="J112" i="43" s="1"/>
  <c r="I109" i="43"/>
  <c r="H109" i="43"/>
  <c r="H111" i="43" s="1"/>
  <c r="H112" i="43" s="1"/>
  <c r="G109" i="43"/>
  <c r="G111" i="43" s="1"/>
  <c r="G112" i="43" s="1"/>
  <c r="F109" i="43"/>
  <c r="F111" i="43" s="1"/>
  <c r="F112" i="43" s="1"/>
  <c r="E109" i="43"/>
  <c r="E111" i="43" s="1"/>
  <c r="E112" i="43" s="1"/>
  <c r="D109" i="43"/>
  <c r="D111" i="43" s="1"/>
  <c r="D112" i="43" s="1"/>
  <c r="D103" i="43"/>
  <c r="E103" i="43" s="1"/>
  <c r="F103" i="43" s="1"/>
  <c r="G103" i="43" s="1"/>
  <c r="C98" i="43"/>
  <c r="C91" i="43"/>
  <c r="O90" i="43"/>
  <c r="N90" i="43"/>
  <c r="M90" i="43"/>
  <c r="L90" i="43"/>
  <c r="K90" i="43"/>
  <c r="C90" i="43"/>
  <c r="O89" i="43"/>
  <c r="N89" i="43"/>
  <c r="M89" i="43"/>
  <c r="L89" i="43"/>
  <c r="K89" i="43"/>
  <c r="I89" i="43"/>
  <c r="H89" i="43"/>
  <c r="C89" i="43"/>
  <c r="O88" i="43"/>
  <c r="N88" i="43"/>
  <c r="M88" i="43"/>
  <c r="L88" i="43"/>
  <c r="K88" i="43"/>
  <c r="I88" i="43"/>
  <c r="H88" i="43"/>
  <c r="C88" i="43"/>
  <c r="C87" i="43"/>
  <c r="C92" i="43" s="1"/>
  <c r="C94" i="43" s="1"/>
  <c r="C100" i="43" s="1"/>
  <c r="D96" i="43" s="1"/>
  <c r="D98" i="43" s="1"/>
  <c r="O83" i="43"/>
  <c r="N83" i="43"/>
  <c r="M83" i="43"/>
  <c r="L83" i="43"/>
  <c r="K83" i="43"/>
  <c r="J83" i="43"/>
  <c r="I83" i="43"/>
  <c r="H83" i="43"/>
  <c r="G83" i="43"/>
  <c r="F83" i="43"/>
  <c r="E83" i="43"/>
  <c r="D83" i="43"/>
  <c r="E76" i="43"/>
  <c r="D76" i="43"/>
  <c r="E75" i="43"/>
  <c r="D75" i="43"/>
  <c r="K74" i="43"/>
  <c r="K76" i="43" s="1"/>
  <c r="O69" i="43"/>
  <c r="N69" i="43"/>
  <c r="M69" i="43"/>
  <c r="L69" i="43"/>
  <c r="K69" i="43"/>
  <c r="J69" i="43"/>
  <c r="I69" i="43"/>
  <c r="K65" i="43"/>
  <c r="J65" i="43"/>
  <c r="I65" i="43"/>
  <c r="O64" i="43"/>
  <c r="N64" i="43"/>
  <c r="M64" i="43"/>
  <c r="L64" i="43"/>
  <c r="K64" i="43"/>
  <c r="J64" i="43"/>
  <c r="I64" i="43"/>
  <c r="O61" i="43"/>
  <c r="N61" i="43"/>
  <c r="M61" i="43"/>
  <c r="L61" i="43"/>
  <c r="K61" i="43"/>
  <c r="J61" i="43"/>
  <c r="I61" i="43"/>
  <c r="I91" i="43" s="1"/>
  <c r="O59" i="43"/>
  <c r="N59" i="43"/>
  <c r="M59" i="43"/>
  <c r="L59" i="43"/>
  <c r="K59" i="43"/>
  <c r="J59" i="43"/>
  <c r="I59" i="43"/>
  <c r="O53" i="43"/>
  <c r="E53" i="43"/>
  <c r="E96" i="43" s="1"/>
  <c r="E98" i="43" s="1"/>
  <c r="D53" i="43"/>
  <c r="J51" i="43"/>
  <c r="C42" i="43"/>
  <c r="D39" i="43"/>
  <c r="D42" i="43" s="1"/>
  <c r="C36" i="43"/>
  <c r="O31" i="43"/>
  <c r="O75" i="43" s="1"/>
  <c r="H31" i="43"/>
  <c r="G31" i="43"/>
  <c r="G75" i="43" s="1"/>
  <c r="F31" i="43"/>
  <c r="F75" i="43" s="1"/>
  <c r="E31" i="43"/>
  <c r="D31" i="43"/>
  <c r="O30" i="43"/>
  <c r="O74" i="43" s="1"/>
  <c r="N30" i="43"/>
  <c r="N32" i="43" s="1"/>
  <c r="M30" i="43"/>
  <c r="M74" i="43" s="1"/>
  <c r="M76" i="43" s="1"/>
  <c r="L30" i="43"/>
  <c r="L74" i="43" s="1"/>
  <c r="L76" i="43" s="1"/>
  <c r="K30" i="43"/>
  <c r="K32" i="43" s="1"/>
  <c r="J30" i="43"/>
  <c r="J74" i="43" s="1"/>
  <c r="J76" i="43" s="1"/>
  <c r="I30" i="43"/>
  <c r="I74" i="43" s="1"/>
  <c r="I76" i="43" s="1"/>
  <c r="H30" i="43"/>
  <c r="H74" i="43" s="1"/>
  <c r="H76" i="43" s="1"/>
  <c r="G30" i="43"/>
  <c r="G74" i="43" s="1"/>
  <c r="F30" i="43"/>
  <c r="F74" i="43" s="1"/>
  <c r="F76" i="43" s="1"/>
  <c r="E30" i="43"/>
  <c r="D30" i="43"/>
  <c r="O29" i="43"/>
  <c r="O73" i="43" s="1"/>
  <c r="H29" i="43"/>
  <c r="H32" i="43" s="1"/>
  <c r="G29" i="43"/>
  <c r="G73" i="43" s="1"/>
  <c r="F29" i="43"/>
  <c r="E29" i="43"/>
  <c r="E32" i="43" s="1"/>
  <c r="D29" i="43"/>
  <c r="D32" i="43" s="1"/>
  <c r="H26" i="43"/>
  <c r="H69" i="43" s="1"/>
  <c r="G26" i="43"/>
  <c r="G69" i="43" s="1"/>
  <c r="F26" i="43"/>
  <c r="F69" i="43" s="1"/>
  <c r="E26" i="43"/>
  <c r="E69" i="43" s="1"/>
  <c r="D26" i="43"/>
  <c r="D69" i="43" s="1"/>
  <c r="O25" i="43"/>
  <c r="O68" i="43" s="1"/>
  <c r="N25" i="43"/>
  <c r="N68" i="43" s="1"/>
  <c r="M25" i="43"/>
  <c r="M68" i="43" s="1"/>
  <c r="L25" i="43"/>
  <c r="L68" i="43" s="1"/>
  <c r="K25" i="43"/>
  <c r="K68" i="43" s="1"/>
  <c r="J25" i="43"/>
  <c r="J68" i="43" s="1"/>
  <c r="I25" i="43"/>
  <c r="I68" i="43" s="1"/>
  <c r="H25" i="43"/>
  <c r="H68" i="43" s="1"/>
  <c r="G25" i="43"/>
  <c r="G68" i="43" s="1"/>
  <c r="F25" i="43"/>
  <c r="F68" i="43" s="1"/>
  <c r="E25" i="43"/>
  <c r="E68" i="43" s="1"/>
  <c r="D25" i="43"/>
  <c r="D68" i="43" s="1"/>
  <c r="O24" i="43"/>
  <c r="O67" i="43" s="1"/>
  <c r="N24" i="43"/>
  <c r="N67" i="43" s="1"/>
  <c r="M24" i="43"/>
  <c r="M67" i="43" s="1"/>
  <c r="L24" i="43"/>
  <c r="L67" i="43" s="1"/>
  <c r="K24" i="43"/>
  <c r="K67" i="43" s="1"/>
  <c r="J24" i="43"/>
  <c r="J67" i="43" s="1"/>
  <c r="I24" i="43"/>
  <c r="I67" i="43" s="1"/>
  <c r="H24" i="43"/>
  <c r="H67" i="43" s="1"/>
  <c r="G24" i="43"/>
  <c r="G67" i="43" s="1"/>
  <c r="F24" i="43"/>
  <c r="E24" i="43"/>
  <c r="E67" i="43" s="1"/>
  <c r="D24" i="43"/>
  <c r="D67" i="43" s="1"/>
  <c r="O23" i="43"/>
  <c r="O66" i="43" s="1"/>
  <c r="N23" i="43"/>
  <c r="N66" i="43" s="1"/>
  <c r="M23" i="43"/>
  <c r="M66" i="43" s="1"/>
  <c r="L23" i="43"/>
  <c r="L66" i="43" s="1"/>
  <c r="O22" i="43"/>
  <c r="O65" i="43" s="1"/>
  <c r="N22" i="43"/>
  <c r="N65" i="43" s="1"/>
  <c r="M22" i="43"/>
  <c r="M65" i="43" s="1"/>
  <c r="L22" i="43"/>
  <c r="L65" i="43" s="1"/>
  <c r="H22" i="43"/>
  <c r="H65" i="43" s="1"/>
  <c r="G22" i="43"/>
  <c r="G65" i="43" s="1"/>
  <c r="F22" i="43"/>
  <c r="F65" i="43" s="1"/>
  <c r="E22" i="43"/>
  <c r="E65" i="43" s="1"/>
  <c r="D22" i="43"/>
  <c r="D65" i="43" s="1"/>
  <c r="H21" i="43"/>
  <c r="H64" i="43" s="1"/>
  <c r="G21" i="43"/>
  <c r="G64" i="43" s="1"/>
  <c r="F21" i="43"/>
  <c r="E21" i="43"/>
  <c r="E64" i="43" s="1"/>
  <c r="D21" i="43"/>
  <c r="D64" i="43" s="1"/>
  <c r="O20" i="43"/>
  <c r="O63" i="43" s="1"/>
  <c r="N20" i="43"/>
  <c r="N63" i="43" s="1"/>
  <c r="M20" i="43"/>
  <c r="M63" i="43" s="1"/>
  <c r="L20" i="43"/>
  <c r="L63" i="43" s="1"/>
  <c r="K20" i="43"/>
  <c r="K63" i="43" s="1"/>
  <c r="J20" i="43"/>
  <c r="J63" i="43" s="1"/>
  <c r="I20" i="43"/>
  <c r="I63" i="43" s="1"/>
  <c r="H20" i="43"/>
  <c r="H63" i="43" s="1"/>
  <c r="G20" i="43"/>
  <c r="G63" i="43" s="1"/>
  <c r="E20" i="43"/>
  <c r="E63" i="43" s="1"/>
  <c r="D20" i="43"/>
  <c r="D63" i="43" s="1"/>
  <c r="O19" i="43"/>
  <c r="O62" i="43" s="1"/>
  <c r="N19" i="43"/>
  <c r="N62" i="43" s="1"/>
  <c r="M19" i="43"/>
  <c r="M62" i="43" s="1"/>
  <c r="L19" i="43"/>
  <c r="L62" i="43" s="1"/>
  <c r="K19" i="43"/>
  <c r="K62" i="43" s="1"/>
  <c r="J19" i="43"/>
  <c r="J62" i="43" s="1"/>
  <c r="I19" i="43"/>
  <c r="I62" i="43" s="1"/>
  <c r="H19" i="43"/>
  <c r="H62" i="43" s="1"/>
  <c r="G19" i="43"/>
  <c r="G62" i="43" s="1"/>
  <c r="F19" i="43"/>
  <c r="F62" i="43" s="1"/>
  <c r="E19" i="43"/>
  <c r="E62" i="43" s="1"/>
  <c r="D19" i="43"/>
  <c r="D62" i="43" s="1"/>
  <c r="H18" i="43"/>
  <c r="H61" i="43" s="1"/>
  <c r="G18" i="43"/>
  <c r="G61" i="43" s="1"/>
  <c r="G91" i="43" s="1"/>
  <c r="F18" i="43"/>
  <c r="E18" i="43"/>
  <c r="E61" i="43" s="1"/>
  <c r="E91" i="43" s="1"/>
  <c r="D18" i="43"/>
  <c r="D61" i="43" s="1"/>
  <c r="O17" i="43"/>
  <c r="O60" i="43" s="1"/>
  <c r="N17" i="43"/>
  <c r="N60" i="43" s="1"/>
  <c r="M17" i="43"/>
  <c r="M60" i="43" s="1"/>
  <c r="L17" i="43"/>
  <c r="L60" i="43" s="1"/>
  <c r="K17" i="43"/>
  <c r="K60" i="43" s="1"/>
  <c r="J17" i="43"/>
  <c r="J60" i="43" s="1"/>
  <c r="I17" i="43"/>
  <c r="I60" i="43" s="1"/>
  <c r="I90" i="43" s="1"/>
  <c r="H17" i="43"/>
  <c r="H60" i="43" s="1"/>
  <c r="H90" i="43" s="1"/>
  <c r="G17" i="43"/>
  <c r="G60" i="43" s="1"/>
  <c r="G90" i="43" s="1"/>
  <c r="F17" i="43"/>
  <c r="E17" i="43"/>
  <c r="E60" i="43" s="1"/>
  <c r="D17" i="43"/>
  <c r="D60" i="43" s="1"/>
  <c r="H16" i="43"/>
  <c r="H59" i="43" s="1"/>
  <c r="G16" i="43"/>
  <c r="G59" i="43" s="1"/>
  <c r="F16" i="43"/>
  <c r="F59" i="43" s="1"/>
  <c r="E16" i="43"/>
  <c r="E59" i="43" s="1"/>
  <c r="D16" i="43"/>
  <c r="D59" i="43" s="1"/>
  <c r="O15" i="43"/>
  <c r="O58" i="43" s="1"/>
  <c r="N15" i="43"/>
  <c r="N58" i="43" s="1"/>
  <c r="M15" i="43"/>
  <c r="M58" i="43" s="1"/>
  <c r="L15" i="43"/>
  <c r="L58" i="43" s="1"/>
  <c r="K15" i="43"/>
  <c r="K58" i="43" s="1"/>
  <c r="J15" i="43"/>
  <c r="J58" i="43" s="1"/>
  <c r="I15" i="43"/>
  <c r="I58" i="43" s="1"/>
  <c r="H15" i="43"/>
  <c r="H58" i="43" s="1"/>
  <c r="G15" i="43"/>
  <c r="G58" i="43" s="1"/>
  <c r="F15" i="43"/>
  <c r="E15" i="43"/>
  <c r="E58" i="43" s="1"/>
  <c r="D15" i="43"/>
  <c r="D58" i="43" s="1"/>
  <c r="O14" i="43"/>
  <c r="O57" i="43" s="1"/>
  <c r="N14" i="43"/>
  <c r="N57" i="43" s="1"/>
  <c r="M14" i="43"/>
  <c r="M57" i="43" s="1"/>
  <c r="L14" i="43"/>
  <c r="L57" i="43" s="1"/>
  <c r="K14" i="43"/>
  <c r="K57" i="43" s="1"/>
  <c r="J14" i="43"/>
  <c r="J57" i="43" s="1"/>
  <c r="I14" i="43"/>
  <c r="I57" i="43" s="1"/>
  <c r="H14" i="43"/>
  <c r="H57" i="43" s="1"/>
  <c r="G14" i="43"/>
  <c r="G57" i="43" s="1"/>
  <c r="G89" i="43" s="1"/>
  <c r="F14" i="43"/>
  <c r="E14" i="43"/>
  <c r="E57" i="43" s="1"/>
  <c r="E89" i="43" s="1"/>
  <c r="D14" i="43"/>
  <c r="D57" i="43" s="1"/>
  <c r="D89" i="43" s="1"/>
  <c r="O13" i="43"/>
  <c r="O56" i="43" s="1"/>
  <c r="N13" i="43"/>
  <c r="N56" i="43" s="1"/>
  <c r="M13" i="43"/>
  <c r="L13" i="43"/>
  <c r="L56" i="43" s="1"/>
  <c r="L71" i="43" s="1"/>
  <c r="K13" i="43"/>
  <c r="K56" i="43" s="1"/>
  <c r="J13" i="43"/>
  <c r="J56" i="43" s="1"/>
  <c r="I13" i="43"/>
  <c r="I56" i="43" s="1"/>
  <c r="H13" i="43"/>
  <c r="H56" i="43" s="1"/>
  <c r="H71" i="43" s="1"/>
  <c r="G13" i="43"/>
  <c r="F13" i="43"/>
  <c r="E13" i="43"/>
  <c r="D13" i="43"/>
  <c r="D56" i="43" s="1"/>
  <c r="N10" i="43"/>
  <c r="N53" i="43" s="1"/>
  <c r="M10" i="43"/>
  <c r="M53" i="43" s="1"/>
  <c r="L10" i="43"/>
  <c r="L53" i="43" s="1"/>
  <c r="K10" i="43"/>
  <c r="K53" i="43" s="1"/>
  <c r="I10" i="43"/>
  <c r="I53" i="43" s="1"/>
  <c r="H10" i="43"/>
  <c r="H53" i="43" s="1"/>
  <c r="G10" i="43"/>
  <c r="G53" i="43" s="1"/>
  <c r="F10" i="43"/>
  <c r="F53" i="43" s="1"/>
  <c r="E10" i="43"/>
  <c r="J9" i="43"/>
  <c r="F9" i="43"/>
  <c r="F11" i="43" s="1"/>
  <c r="P6" i="45" s="1"/>
  <c r="O8" i="43"/>
  <c r="O51" i="43" s="1"/>
  <c r="N8" i="43"/>
  <c r="N51" i="43" s="1"/>
  <c r="M8" i="43"/>
  <c r="M51" i="43" s="1"/>
  <c r="L8" i="43"/>
  <c r="L51" i="43" s="1"/>
  <c r="K8" i="43"/>
  <c r="K51" i="43" s="1"/>
  <c r="I8" i="43"/>
  <c r="I51" i="43" s="1"/>
  <c r="H8" i="43"/>
  <c r="H51" i="43" s="1"/>
  <c r="G8" i="43"/>
  <c r="G51" i="43" s="1"/>
  <c r="F51" i="43"/>
  <c r="E8" i="43"/>
  <c r="E51" i="43" s="1"/>
  <c r="D8" i="43"/>
  <c r="D51" i="43" s="1"/>
  <c r="O7" i="43"/>
  <c r="O50" i="43" s="1"/>
  <c r="O52" i="43" s="1"/>
  <c r="O54" i="43" s="1"/>
  <c r="N7" i="43"/>
  <c r="N50" i="43" s="1"/>
  <c r="M7" i="43"/>
  <c r="L7" i="43"/>
  <c r="L50" i="43" s="1"/>
  <c r="K7" i="43"/>
  <c r="K50" i="43" s="1"/>
  <c r="K52" i="43" s="1"/>
  <c r="J7" i="43"/>
  <c r="J50" i="43" s="1"/>
  <c r="J52" i="43" s="1"/>
  <c r="I7" i="43"/>
  <c r="I9" i="43" s="1"/>
  <c r="I11" i="43" s="1"/>
  <c r="H7" i="43"/>
  <c r="H9" i="43" s="1"/>
  <c r="H11" i="43" s="1"/>
  <c r="G7" i="43"/>
  <c r="G50" i="43" s="1"/>
  <c r="G52" i="43" s="1"/>
  <c r="F7" i="43"/>
  <c r="F50" i="43" s="1"/>
  <c r="F52" i="43" s="1"/>
  <c r="F54" i="43" s="1"/>
  <c r="E7" i="43"/>
  <c r="E9" i="43" s="1"/>
  <c r="E11" i="43" s="1"/>
  <c r="D7" i="43"/>
  <c r="D50" i="43" s="1"/>
  <c r="D52" i="43" s="1"/>
  <c r="D54" i="43" s="1"/>
  <c r="Q6" i="45" l="1"/>
  <c r="M52" i="44"/>
  <c r="M54" i="44" s="1"/>
  <c r="I71" i="44"/>
  <c r="I78" i="44" s="1"/>
  <c r="D76" i="44"/>
  <c r="L32" i="44"/>
  <c r="N52" i="44"/>
  <c r="N54" i="44" s="1"/>
  <c r="F15" i="45"/>
  <c r="R13" i="44"/>
  <c r="J27" i="44"/>
  <c r="N27" i="44"/>
  <c r="M32" i="44"/>
  <c r="N74" i="44"/>
  <c r="N76" i="44" s="1"/>
  <c r="I111" i="43"/>
  <c r="I112" i="43" s="1"/>
  <c r="H9" i="44"/>
  <c r="H11" i="44" s="1"/>
  <c r="F57" i="44"/>
  <c r="F89" i="44" s="1"/>
  <c r="R14" i="44"/>
  <c r="F60" i="44"/>
  <c r="F90" i="44" s="1"/>
  <c r="R17" i="44"/>
  <c r="F62" i="44"/>
  <c r="F18" i="45"/>
  <c r="L52" i="43"/>
  <c r="L54" i="43" s="1"/>
  <c r="L78" i="43" s="1"/>
  <c r="E27" i="43"/>
  <c r="E33" i="43" s="1"/>
  <c r="I71" i="43"/>
  <c r="M27" i="43"/>
  <c r="M9" i="43"/>
  <c r="M11" i="43" s="1"/>
  <c r="P13" i="43"/>
  <c r="J71" i="43"/>
  <c r="F57" i="43"/>
  <c r="F89" i="43" s="1"/>
  <c r="P14" i="43"/>
  <c r="H18" i="45"/>
  <c r="J10" i="43"/>
  <c r="J53" i="43" s="1"/>
  <c r="J54" i="43" s="1"/>
  <c r="J78" i="43" s="1"/>
  <c r="G27" i="43"/>
  <c r="K71" i="43"/>
  <c r="F60" i="43"/>
  <c r="P17" i="43"/>
  <c r="F61" i="43"/>
  <c r="P18" i="43"/>
  <c r="F64" i="43"/>
  <c r="H16" i="45"/>
  <c r="L9" i="44"/>
  <c r="L11" i="44" s="1"/>
  <c r="D9" i="44"/>
  <c r="D11" i="44" s="1"/>
  <c r="F61" i="44"/>
  <c r="F91" i="44" s="1"/>
  <c r="R18" i="44"/>
  <c r="S18" i="44" s="1"/>
  <c r="T18" i="44" s="1"/>
  <c r="L79" i="43"/>
  <c r="L104" i="43" s="1"/>
  <c r="M104" i="43" s="1"/>
  <c r="N104" i="43" s="1"/>
  <c r="O104" i="43" s="1"/>
  <c r="H8" i="45"/>
  <c r="H10" i="45" s="1"/>
  <c r="D88" i="43"/>
  <c r="D71" i="43"/>
  <c r="D78" i="43" s="1"/>
  <c r="N9" i="43"/>
  <c r="N11" i="43" s="1"/>
  <c r="F63" i="43"/>
  <c r="K27" i="43"/>
  <c r="O27" i="43"/>
  <c r="G76" i="43"/>
  <c r="G32" i="43"/>
  <c r="O32" i="43"/>
  <c r="E50" i="43"/>
  <c r="E52" i="43" s="1"/>
  <c r="E54" i="43" s="1"/>
  <c r="M50" i="43"/>
  <c r="M52" i="43" s="1"/>
  <c r="M54" i="43" s="1"/>
  <c r="M78" i="43" s="1"/>
  <c r="E56" i="43"/>
  <c r="M56" i="43"/>
  <c r="M71" i="43" s="1"/>
  <c r="N52" i="43"/>
  <c r="N54" i="43" s="1"/>
  <c r="G9" i="43"/>
  <c r="G11" i="43" s="1"/>
  <c r="G33" i="43" s="1"/>
  <c r="K9" i="43"/>
  <c r="K11" i="43" s="1"/>
  <c r="O9" i="43"/>
  <c r="O11" i="43" s="1"/>
  <c r="O33" i="43" s="1"/>
  <c r="D27" i="43"/>
  <c r="H27" i="43"/>
  <c r="H33" i="43" s="1"/>
  <c r="L27" i="43"/>
  <c r="L32" i="43"/>
  <c r="H50" i="43"/>
  <c r="H52" i="43" s="1"/>
  <c r="H54" i="43" s="1"/>
  <c r="H78" i="43" s="1"/>
  <c r="N74" i="43"/>
  <c r="N76" i="43" s="1"/>
  <c r="G54" i="43"/>
  <c r="K54" i="43"/>
  <c r="K78" i="43" s="1"/>
  <c r="D9" i="43"/>
  <c r="D11" i="43" s="1"/>
  <c r="D33" i="43" s="1"/>
  <c r="L9" i="43"/>
  <c r="L11" i="43" s="1"/>
  <c r="L33" i="43" s="1"/>
  <c r="F56" i="43"/>
  <c r="F58" i="43"/>
  <c r="F67" i="43"/>
  <c r="I27" i="43"/>
  <c r="I33" i="43" s="1"/>
  <c r="O76" i="43"/>
  <c r="I32" i="43"/>
  <c r="M32" i="43"/>
  <c r="I50" i="43"/>
  <c r="I52" i="43" s="1"/>
  <c r="I54" i="43" s="1"/>
  <c r="I78" i="43" s="1"/>
  <c r="G88" i="43"/>
  <c r="G56" i="43"/>
  <c r="G71" i="43" s="1"/>
  <c r="F27" i="43"/>
  <c r="J27" i="43"/>
  <c r="N27" i="43"/>
  <c r="F32" i="43"/>
  <c r="J32" i="43"/>
  <c r="H103" i="43"/>
  <c r="P54" i="44"/>
  <c r="F9" i="44"/>
  <c r="F11" i="44" s="1"/>
  <c r="J9" i="44"/>
  <c r="N9" i="44"/>
  <c r="N11" i="44" s="1"/>
  <c r="N33" i="44" s="1"/>
  <c r="D58" i="44"/>
  <c r="D71" i="44" s="1"/>
  <c r="D27" i="44"/>
  <c r="D33" i="44" s="1"/>
  <c r="F27" i="44"/>
  <c r="K27" i="44"/>
  <c r="J56" i="44"/>
  <c r="J71" i="44" s="1"/>
  <c r="F8" i="45"/>
  <c r="F10" i="45" s="1"/>
  <c r="G9" i="44"/>
  <c r="G11" i="44" s="1"/>
  <c r="K9" i="44"/>
  <c r="K11" i="44" s="1"/>
  <c r="O9" i="44"/>
  <c r="O11" i="44" s="1"/>
  <c r="G56" i="44"/>
  <c r="G71" i="44" s="1"/>
  <c r="G78" i="44" s="1"/>
  <c r="G88" i="44"/>
  <c r="G27" i="44"/>
  <c r="M27" i="44"/>
  <c r="G32" i="44"/>
  <c r="L51" i="44"/>
  <c r="L52" i="44" s="1"/>
  <c r="L54" i="44" s="1"/>
  <c r="N56" i="44"/>
  <c r="H56" i="44"/>
  <c r="H71" i="44" s="1"/>
  <c r="H78" i="44" s="1"/>
  <c r="H27" i="44"/>
  <c r="H33" i="44" s="1"/>
  <c r="L56" i="44"/>
  <c r="L71" i="44" s="1"/>
  <c r="L27" i="44"/>
  <c r="L33" i="44" s="1"/>
  <c r="F67" i="44"/>
  <c r="I27" i="44"/>
  <c r="D32" i="44"/>
  <c r="P76" i="44" s="1"/>
  <c r="E71" i="44"/>
  <c r="E78" i="44" s="1"/>
  <c r="E9" i="44"/>
  <c r="E11" i="44" s="1"/>
  <c r="E33" i="44" s="1"/>
  <c r="I9" i="44"/>
  <c r="I11" i="44" s="1"/>
  <c r="M9" i="44"/>
  <c r="M11" i="44" s="1"/>
  <c r="J10" i="44"/>
  <c r="J53" i="44" s="1"/>
  <c r="J54" i="44" s="1"/>
  <c r="J78" i="44" s="1"/>
  <c r="M71" i="44"/>
  <c r="M78" i="44" s="1"/>
  <c r="E27" i="44"/>
  <c r="O27" i="44"/>
  <c r="O76" i="44"/>
  <c r="I32" i="44"/>
  <c r="O32" i="44"/>
  <c r="F56" i="44"/>
  <c r="F58" i="44"/>
  <c r="K79" i="44"/>
  <c r="K104" i="44" s="1"/>
  <c r="E34" i="43" l="1"/>
  <c r="E35" i="43" s="1"/>
  <c r="E36" i="43" s="1"/>
  <c r="O6" i="45"/>
  <c r="K33" i="44"/>
  <c r="F33" i="43"/>
  <c r="P7" i="45"/>
  <c r="M33" i="43"/>
  <c r="M36" i="43" s="1"/>
  <c r="J11" i="43"/>
  <c r="J33" i="43"/>
  <c r="M33" i="44"/>
  <c r="H21" i="45"/>
  <c r="H30" i="45" s="1"/>
  <c r="H33" i="45" s="1"/>
  <c r="L78" i="44"/>
  <c r="R54" i="44"/>
  <c r="N7" i="45"/>
  <c r="O7" i="45" s="1"/>
  <c r="R27" i="44"/>
  <c r="S27" i="44" s="1"/>
  <c r="J11" i="44"/>
  <c r="J33" i="44" s="1"/>
  <c r="K33" i="43"/>
  <c r="L79" i="44"/>
  <c r="L104" i="44" s="1"/>
  <c r="M104" i="44" s="1"/>
  <c r="N104" i="44" s="1"/>
  <c r="O104" i="44" s="1"/>
  <c r="M34" i="43"/>
  <c r="M35" i="43" s="1"/>
  <c r="D79" i="43"/>
  <c r="D104" i="43" s="1"/>
  <c r="D105" i="43" s="1"/>
  <c r="I34" i="43"/>
  <c r="I35" i="43" s="1"/>
  <c r="I36" i="43" s="1"/>
  <c r="F34" i="43"/>
  <c r="F35" i="43" s="1"/>
  <c r="F36" i="43" s="1"/>
  <c r="M79" i="44"/>
  <c r="M80" i="44" s="1"/>
  <c r="H34" i="44"/>
  <c r="H35" i="44" s="1"/>
  <c r="H36" i="44" s="1"/>
  <c r="G79" i="44"/>
  <c r="G104" i="44" s="1"/>
  <c r="L34" i="44"/>
  <c r="L35" i="44" s="1"/>
  <c r="L36" i="44"/>
  <c r="J34" i="43"/>
  <c r="J36" i="43"/>
  <c r="J35" i="43"/>
  <c r="J79" i="44"/>
  <c r="J104" i="44" s="1"/>
  <c r="H79" i="44"/>
  <c r="H104" i="44" s="1"/>
  <c r="D35" i="44"/>
  <c r="D36" i="44" s="1"/>
  <c r="D44" i="44" s="1"/>
  <c r="E39" i="44" s="1"/>
  <c r="E42" i="44" s="1"/>
  <c r="D34" i="44"/>
  <c r="H34" i="43"/>
  <c r="H35" i="43" s="1"/>
  <c r="H36" i="43" s="1"/>
  <c r="M36" i="44"/>
  <c r="M34" i="44"/>
  <c r="M35" i="44" s="1"/>
  <c r="I79" i="43"/>
  <c r="I104" i="43" s="1"/>
  <c r="M79" i="43"/>
  <c r="M80" i="43" s="1"/>
  <c r="G33" i="44"/>
  <c r="N36" i="44"/>
  <c r="N35" i="44"/>
  <c r="I79" i="44"/>
  <c r="I104" i="44" s="1"/>
  <c r="L34" i="43"/>
  <c r="L35" i="43" s="1"/>
  <c r="L36" i="43"/>
  <c r="G78" i="43"/>
  <c r="K36" i="43"/>
  <c r="K34" i="43"/>
  <c r="K35" i="43" s="1"/>
  <c r="E88" i="43"/>
  <c r="E71" i="43"/>
  <c r="E78" i="43" s="1"/>
  <c r="J79" i="43"/>
  <c r="J104" i="43" s="1"/>
  <c r="E79" i="44"/>
  <c r="E80" i="44" s="1"/>
  <c r="D34" i="43"/>
  <c r="D35" i="43" s="1"/>
  <c r="D36" i="43" s="1"/>
  <c r="D44" i="43" s="1"/>
  <c r="E39" i="43" s="1"/>
  <c r="E42" i="43" s="1"/>
  <c r="G34" i="43"/>
  <c r="G35" i="43" s="1"/>
  <c r="G36" i="43" s="1"/>
  <c r="I33" i="44"/>
  <c r="K80" i="44"/>
  <c r="O33" i="44"/>
  <c r="P71" i="44"/>
  <c r="F33" i="44"/>
  <c r="D78" i="44"/>
  <c r="F88" i="43"/>
  <c r="F71" i="43"/>
  <c r="F78" i="43" s="1"/>
  <c r="H79" i="43"/>
  <c r="H104" i="43" s="1"/>
  <c r="N33" i="43"/>
  <c r="L80" i="43"/>
  <c r="F88" i="44"/>
  <c r="F71" i="44"/>
  <c r="F78" i="44" s="1"/>
  <c r="J34" i="44"/>
  <c r="J35" i="44" s="1"/>
  <c r="J36" i="44"/>
  <c r="I103" i="43"/>
  <c r="H105" i="43"/>
  <c r="E34" i="44"/>
  <c r="E35" i="44"/>
  <c r="E36" i="44" s="1"/>
  <c r="K36" i="44"/>
  <c r="K34" i="44"/>
  <c r="K35" i="44" s="1"/>
  <c r="K79" i="43"/>
  <c r="K104" i="43" s="1"/>
  <c r="K80" i="43"/>
  <c r="O36" i="43"/>
  <c r="O35" i="43"/>
  <c r="I80" i="44" l="1"/>
  <c r="Q7" i="45"/>
  <c r="P9" i="45"/>
  <c r="P11" i="45" s="1"/>
  <c r="O9" i="45"/>
  <c r="O11" i="45" s="1"/>
  <c r="N11" i="45"/>
  <c r="J80" i="43"/>
  <c r="H80" i="44"/>
  <c r="G80" i="44"/>
  <c r="G82" i="44" s="1"/>
  <c r="E79" i="43"/>
  <c r="E104" i="43" s="1"/>
  <c r="E105" i="43" s="1"/>
  <c r="F127" i="43"/>
  <c r="F129" i="43" s="1"/>
  <c r="E82" i="44"/>
  <c r="E81" i="44"/>
  <c r="M82" i="43"/>
  <c r="M81" i="43"/>
  <c r="N36" i="43"/>
  <c r="N35" i="43"/>
  <c r="F34" i="44"/>
  <c r="F35" i="44" s="1"/>
  <c r="F36" i="44" s="1"/>
  <c r="O16" i="45" s="1"/>
  <c r="O20" i="45" s="1"/>
  <c r="I34" i="44"/>
  <c r="I35" i="44"/>
  <c r="I36" i="44" s="1"/>
  <c r="F39" i="44"/>
  <c r="F42" i="44" s="1"/>
  <c r="M81" i="44"/>
  <c r="M82" i="44"/>
  <c r="I105" i="43"/>
  <c r="J103" i="43"/>
  <c r="F79" i="44"/>
  <c r="F104" i="44" s="1"/>
  <c r="F80" i="44"/>
  <c r="F79" i="43"/>
  <c r="F104" i="43" s="1"/>
  <c r="F105" i="43" s="1"/>
  <c r="G79" i="43"/>
  <c r="G104" i="43" s="1"/>
  <c r="G105" i="43" s="1"/>
  <c r="G34" i="44"/>
  <c r="G35" i="44" s="1"/>
  <c r="G36" i="44" s="1"/>
  <c r="I80" i="43"/>
  <c r="D80" i="43"/>
  <c r="E44" i="44"/>
  <c r="J82" i="43"/>
  <c r="J81" i="43"/>
  <c r="I82" i="44"/>
  <c r="I81" i="44"/>
  <c r="H81" i="44"/>
  <c r="H82" i="44"/>
  <c r="K81" i="43"/>
  <c r="K82" i="43"/>
  <c r="E44" i="43"/>
  <c r="F39" i="43" s="1"/>
  <c r="F42" i="43" s="1"/>
  <c r="N70" i="44"/>
  <c r="N71" i="44" s="1"/>
  <c r="N78" i="44" s="1"/>
  <c r="N80" i="44" s="1"/>
  <c r="O36" i="44"/>
  <c r="O35" i="44"/>
  <c r="P79" i="44"/>
  <c r="E104" i="44"/>
  <c r="O70" i="43"/>
  <c r="O71" i="43" s="1"/>
  <c r="O78" i="43" s="1"/>
  <c r="O80" i="43" s="1"/>
  <c r="L81" i="43"/>
  <c r="L82" i="43"/>
  <c r="H80" i="43"/>
  <c r="D79" i="44"/>
  <c r="D104" i="44" s="1"/>
  <c r="K82" i="44"/>
  <c r="K81" i="44"/>
  <c r="J80" i="44"/>
  <c r="L80" i="44"/>
  <c r="G39" i="43" l="1"/>
  <c r="G42" i="43" s="1"/>
  <c r="G44" i="43" s="1"/>
  <c r="Q18" i="45"/>
  <c r="Q20" i="45" s="1"/>
  <c r="G81" i="44"/>
  <c r="G84" i="44" s="1"/>
  <c r="Q9" i="45"/>
  <c r="Q11" i="45" s="1"/>
  <c r="G80" i="43"/>
  <c r="F44" i="44"/>
  <c r="G39" i="44" s="1"/>
  <c r="G42" i="44" s="1"/>
  <c r="O70" i="44"/>
  <c r="O71" i="44" s="1"/>
  <c r="O78" i="44" s="1"/>
  <c r="O80" i="44" s="1"/>
  <c r="M113" i="43"/>
  <c r="M84" i="43"/>
  <c r="G113" i="44"/>
  <c r="I82" i="43"/>
  <c r="I81" i="43"/>
  <c r="I113" i="44"/>
  <c r="I84" i="44"/>
  <c r="F81" i="44"/>
  <c r="F82" i="44"/>
  <c r="N82" i="44"/>
  <c r="N81" i="44"/>
  <c r="D80" i="44"/>
  <c r="K113" i="43"/>
  <c r="K84" i="43"/>
  <c r="K103" i="43"/>
  <c r="J105" i="43"/>
  <c r="M113" i="44"/>
  <c r="M84" i="44"/>
  <c r="N70" i="43"/>
  <c r="N71" i="43" s="1"/>
  <c r="N78" i="43" s="1"/>
  <c r="N80" i="43" s="1"/>
  <c r="E113" i="44"/>
  <c r="E84" i="44"/>
  <c r="H39" i="43"/>
  <c r="H42" i="43" s="1"/>
  <c r="D81" i="43"/>
  <c r="D82" i="43"/>
  <c r="G82" i="43"/>
  <c r="G81" i="43"/>
  <c r="F44" i="43"/>
  <c r="L81" i="44"/>
  <c r="L82" i="44"/>
  <c r="L113" i="43"/>
  <c r="L84" i="43"/>
  <c r="J82" i="44"/>
  <c r="J81" i="44"/>
  <c r="H113" i="44"/>
  <c r="H84" i="44"/>
  <c r="K113" i="44"/>
  <c r="K84" i="44"/>
  <c r="H82" i="43"/>
  <c r="H81" i="43"/>
  <c r="O82" i="43"/>
  <c r="F27" i="45" s="1"/>
  <c r="O81" i="43"/>
  <c r="J113" i="43"/>
  <c r="J84" i="43"/>
  <c r="F80" i="43"/>
  <c r="E80" i="43"/>
  <c r="F33" i="45" l="1"/>
  <c r="F30" i="45"/>
  <c r="N82" i="43"/>
  <c r="N81" i="43"/>
  <c r="I113" i="43"/>
  <c r="I84" i="43"/>
  <c r="O82" i="44"/>
  <c r="O81" i="44"/>
  <c r="J115" i="43"/>
  <c r="J87" i="43"/>
  <c r="J92" i="43" s="1"/>
  <c r="J94" i="43" s="1"/>
  <c r="H115" i="44"/>
  <c r="H87" i="44"/>
  <c r="H92" i="44" s="1"/>
  <c r="H94" i="44" s="1"/>
  <c r="L115" i="43"/>
  <c r="L87" i="43"/>
  <c r="L92" i="43" s="1"/>
  <c r="G113" i="43"/>
  <c r="G84" i="43"/>
  <c r="H44" i="43"/>
  <c r="I39" i="43" s="1"/>
  <c r="I42" i="43" s="1"/>
  <c r="K105" i="43"/>
  <c r="L103" i="43"/>
  <c r="N113" i="44"/>
  <c r="N84" i="44"/>
  <c r="M115" i="43"/>
  <c r="M87" i="43"/>
  <c r="M92" i="43" s="1"/>
  <c r="M94" i="43" s="1"/>
  <c r="D82" i="44"/>
  <c r="D81" i="44"/>
  <c r="O113" i="43"/>
  <c r="O84" i="43"/>
  <c r="J113" i="44"/>
  <c r="J84" i="44"/>
  <c r="I115" i="44"/>
  <c r="I87" i="44"/>
  <c r="I92" i="44" s="1"/>
  <c r="I94" i="44" s="1"/>
  <c r="H113" i="43"/>
  <c r="H84" i="43"/>
  <c r="L94" i="43"/>
  <c r="D113" i="43"/>
  <c r="D115" i="43" s="1"/>
  <c r="D87" i="43"/>
  <c r="D92" i="43" s="1"/>
  <c r="D84" i="43"/>
  <c r="D94" i="43" s="1"/>
  <c r="D100" i="43" s="1"/>
  <c r="F113" i="44"/>
  <c r="F84" i="44"/>
  <c r="E82" i="43"/>
  <c r="E81" i="43"/>
  <c r="F82" i="43"/>
  <c r="F81" i="43"/>
  <c r="K115" i="44"/>
  <c r="K87" i="44"/>
  <c r="K92" i="44" s="1"/>
  <c r="K94" i="44" s="1"/>
  <c r="L113" i="44"/>
  <c r="L84" i="44"/>
  <c r="E115" i="44"/>
  <c r="E87" i="44"/>
  <c r="E92" i="44" s="1"/>
  <c r="E94" i="44" s="1"/>
  <c r="M115" i="44"/>
  <c r="M87" i="44"/>
  <c r="M92" i="44" s="1"/>
  <c r="M94" i="44" s="1"/>
  <c r="K115" i="43"/>
  <c r="K87" i="43"/>
  <c r="K92" i="43" s="1"/>
  <c r="K94" i="43" s="1"/>
  <c r="G115" i="44"/>
  <c r="G87" i="44"/>
  <c r="G92" i="44" s="1"/>
  <c r="G94" i="44" s="1"/>
  <c r="G44" i="44"/>
  <c r="H39" i="44" s="1"/>
  <c r="H42" i="44" s="1"/>
  <c r="H44" i="44" l="1"/>
  <c r="I39" i="44" s="1"/>
  <c r="I42" i="44" s="1"/>
  <c r="H115" i="43"/>
  <c r="H87" i="43"/>
  <c r="H92" i="43" s="1"/>
  <c r="H94" i="43" s="1"/>
  <c r="J87" i="44"/>
  <c r="J92" i="44" s="1"/>
  <c r="J94" i="44" s="1"/>
  <c r="J115" i="44"/>
  <c r="M103" i="43"/>
  <c r="N103" i="43" s="1"/>
  <c r="O103" i="43" s="1"/>
  <c r="D103" i="44" s="1"/>
  <c r="L105" i="43"/>
  <c r="M105" i="43" s="1"/>
  <c r="N105" i="43" s="1"/>
  <c r="O105" i="43" s="1"/>
  <c r="O113" i="44"/>
  <c r="O84" i="44"/>
  <c r="I115" i="43"/>
  <c r="I87" i="43"/>
  <c r="I92" i="43" s="1"/>
  <c r="I94" i="43" s="1"/>
  <c r="F113" i="43"/>
  <c r="F115" i="43" s="1"/>
  <c r="F84" i="43"/>
  <c r="F87" i="43"/>
  <c r="F92" i="43" s="1"/>
  <c r="P14" i="45" s="1"/>
  <c r="D113" i="44"/>
  <c r="D84" i="44"/>
  <c r="J39" i="43"/>
  <c r="J42" i="43" s="1"/>
  <c r="I44" i="43"/>
  <c r="G115" i="43"/>
  <c r="G87" i="43"/>
  <c r="G92" i="43" s="1"/>
  <c r="G94" i="43" s="1"/>
  <c r="N113" i="43"/>
  <c r="N84" i="43"/>
  <c r="E113" i="43"/>
  <c r="E115" i="43" s="1"/>
  <c r="E84" i="43"/>
  <c r="E87" i="43"/>
  <c r="E92" i="43" s="1"/>
  <c r="N87" i="44"/>
  <c r="N92" i="44" s="1"/>
  <c r="N94" i="44" s="1"/>
  <c r="N115" i="44"/>
  <c r="L115" i="44"/>
  <c r="L87" i="44"/>
  <c r="L92" i="44" s="1"/>
  <c r="L94" i="44" s="1"/>
  <c r="F87" i="44"/>
  <c r="F92" i="44" s="1"/>
  <c r="F115" i="44"/>
  <c r="O115" i="43"/>
  <c r="O87" i="43"/>
  <c r="O92" i="43" s="1"/>
  <c r="O94" i="43" s="1"/>
  <c r="F94" i="44" l="1"/>
  <c r="N16" i="45" s="1"/>
  <c r="N14" i="45"/>
  <c r="F127" i="44"/>
  <c r="F129" i="44" s="1"/>
  <c r="I44" i="44"/>
  <c r="J39" i="44" s="1"/>
  <c r="J42" i="44" s="1"/>
  <c r="N115" i="43"/>
  <c r="N87" i="43"/>
  <c r="N92" i="43" s="1"/>
  <c r="N94" i="43" s="1"/>
  <c r="E103" i="44"/>
  <c r="D105" i="44"/>
  <c r="E94" i="43"/>
  <c r="D115" i="44"/>
  <c r="D87" i="44"/>
  <c r="D92" i="44" s="1"/>
  <c r="D94" i="44" s="1"/>
  <c r="D100" i="44" s="1"/>
  <c r="E96" i="44" s="1"/>
  <c r="E98" i="44" s="1"/>
  <c r="O115" i="44"/>
  <c r="O87" i="44"/>
  <c r="O92" i="44" s="1"/>
  <c r="O94" i="44" s="1"/>
  <c r="K39" i="43"/>
  <c r="K42" i="43" s="1"/>
  <c r="J44" i="43"/>
  <c r="J44" i="44" l="1"/>
  <c r="K39" i="44" s="1"/>
  <c r="K42" i="44" s="1"/>
  <c r="E100" i="44"/>
  <c r="F96" i="44" s="1"/>
  <c r="F98" i="44" s="1"/>
  <c r="N18" i="45" s="1"/>
  <c r="L39" i="43"/>
  <c r="L42" i="43" s="1"/>
  <c r="K44" i="43"/>
  <c r="E100" i="43"/>
  <c r="F96" i="43" s="1"/>
  <c r="F98" i="43" s="1"/>
  <c r="P18" i="45" s="1"/>
  <c r="P20" i="45" s="1"/>
  <c r="E2" i="43"/>
  <c r="E105" i="44"/>
  <c r="F103" i="44"/>
  <c r="G96" i="44" l="1"/>
  <c r="G98" i="44" s="1"/>
  <c r="F100" i="44"/>
  <c r="K44" i="44"/>
  <c r="L39" i="44" s="1"/>
  <c r="L42" i="44" s="1"/>
  <c r="G103" i="44"/>
  <c r="F105" i="44"/>
  <c r="M39" i="43"/>
  <c r="M42" i="43" s="1"/>
  <c r="L44" i="43"/>
  <c r="G96" i="43"/>
  <c r="G98" i="43" s="1"/>
  <c r="F100" i="43"/>
  <c r="L44" i="44" l="1"/>
  <c r="M39" i="44" s="1"/>
  <c r="M42" i="44" s="1"/>
  <c r="N39" i="43"/>
  <c r="N42" i="43" s="1"/>
  <c r="M44" i="43"/>
  <c r="G100" i="43"/>
  <c r="H96" i="43" s="1"/>
  <c r="H98" i="43" s="1"/>
  <c r="G105" i="44"/>
  <c r="H103" i="44"/>
  <c r="G100" i="44"/>
  <c r="H96" i="44" s="1"/>
  <c r="H98" i="44" s="1"/>
  <c r="I96" i="43" l="1"/>
  <c r="I98" i="43" s="1"/>
  <c r="H100" i="43"/>
  <c r="I96" i="44"/>
  <c r="I98" i="44" s="1"/>
  <c r="H100" i="44"/>
  <c r="M44" i="44"/>
  <c r="N39" i="44" s="1"/>
  <c r="N42" i="44" s="1"/>
  <c r="O39" i="43"/>
  <c r="O42" i="43" s="1"/>
  <c r="O44" i="43" s="1"/>
  <c r="N44" i="43"/>
  <c r="I103" i="44"/>
  <c r="H105" i="44"/>
  <c r="N44" i="44" l="1"/>
  <c r="O39" i="44" s="1"/>
  <c r="O42" i="44" s="1"/>
  <c r="O44" i="44" s="1"/>
  <c r="J96" i="44"/>
  <c r="J98" i="44" s="1"/>
  <c r="I100" i="44"/>
  <c r="I105" i="44"/>
  <c r="J103" i="44"/>
  <c r="J96" i="43"/>
  <c r="J98" i="43" s="1"/>
  <c r="I100" i="43"/>
  <c r="K96" i="43" l="1"/>
  <c r="K98" i="43" s="1"/>
  <c r="J100" i="43"/>
  <c r="K103" i="44"/>
  <c r="J105" i="44"/>
  <c r="K96" i="44"/>
  <c r="K98" i="44" s="1"/>
  <c r="J100" i="44"/>
  <c r="K105" i="44" l="1"/>
  <c r="L103" i="44"/>
  <c r="L96" i="44"/>
  <c r="L98" i="44" s="1"/>
  <c r="K100" i="44"/>
  <c r="L96" i="43"/>
  <c r="L98" i="43" s="1"/>
  <c r="K100" i="43"/>
  <c r="M103" i="44" l="1"/>
  <c r="N103" i="44" s="1"/>
  <c r="O103" i="44" s="1"/>
  <c r="L105" i="44"/>
  <c r="M105" i="44" s="1"/>
  <c r="N105" i="44" s="1"/>
  <c r="O105" i="44" s="1"/>
  <c r="M96" i="44"/>
  <c r="M98" i="44" s="1"/>
  <c r="L100" i="44"/>
  <c r="M96" i="43"/>
  <c r="M98" i="43" s="1"/>
  <c r="L100" i="43"/>
  <c r="N96" i="44" l="1"/>
  <c r="N98" i="44" s="1"/>
  <c r="M100" i="44"/>
  <c r="N96" i="43"/>
  <c r="N98" i="43" s="1"/>
  <c r="M100" i="43"/>
  <c r="O96" i="43" l="1"/>
  <c r="O98" i="43" s="1"/>
  <c r="O100" i="43" s="1"/>
  <c r="N100" i="43"/>
  <c r="O96" i="44"/>
  <c r="O98" i="44" s="1"/>
  <c r="O100" i="44" s="1"/>
  <c r="N100" i="44"/>
  <c r="L28" i="42" l="1"/>
  <c r="J11" i="42"/>
  <c r="J12" i="42"/>
  <c r="J13" i="42"/>
  <c r="J14" i="42"/>
  <c r="J15" i="42"/>
  <c r="J16" i="42"/>
  <c r="J17" i="42"/>
  <c r="J18" i="42"/>
  <c r="J19" i="42"/>
  <c r="J20" i="42"/>
  <c r="J21" i="42"/>
  <c r="J10" i="42"/>
  <c r="H21" i="42"/>
  <c r="J26" i="42"/>
  <c r="H17" i="42"/>
  <c r="P11" i="42"/>
  <c r="O20" i="42"/>
  <c r="P20" i="42"/>
  <c r="H15" i="42"/>
  <c r="P9" i="42"/>
  <c r="F23" i="42"/>
  <c r="F22" i="42"/>
  <c r="F21" i="42"/>
  <c r="H18" i="42"/>
  <c r="F18" i="42"/>
  <c r="F17" i="42"/>
  <c r="H16" i="42"/>
  <c r="F16" i="42"/>
  <c r="F15" i="42"/>
  <c r="O9" i="42"/>
  <c r="O11" i="42" s="1"/>
  <c r="N9" i="42"/>
  <c r="N11" i="42" s="1"/>
  <c r="M9" i="42"/>
  <c r="M11" i="42" s="1"/>
  <c r="H8" i="42"/>
  <c r="H10" i="42" s="1"/>
  <c r="F8" i="42"/>
  <c r="F10" i="42" s="1"/>
  <c r="H27" i="42" l="1"/>
  <c r="F27" i="42"/>
  <c r="F30" i="42" s="1"/>
  <c r="H30" i="42"/>
  <c r="H33" i="42" s="1"/>
  <c r="F33" i="42"/>
  <c r="E15" i="32"/>
  <c r="E33" i="32"/>
  <c r="E48" i="32"/>
  <c r="E11" i="32"/>
  <c r="H8" i="23" l="1"/>
  <c r="H4" i="23"/>
  <c r="E39" i="37" l="1"/>
  <c r="E41" i="37"/>
  <c r="D10" i="1"/>
  <c r="G9" i="41"/>
  <c r="G10" i="41"/>
  <c r="G11" i="41"/>
  <c r="G8" i="41"/>
  <c r="F11" i="41"/>
  <c r="G7" i="41"/>
  <c r="G6" i="41"/>
  <c r="G5" i="41"/>
  <c r="E11" i="41"/>
  <c r="F7" i="41"/>
  <c r="E7" i="41"/>
  <c r="C12" i="40"/>
  <c r="I4" i="36"/>
  <c r="C19" i="40"/>
  <c r="J72" i="35" l="1"/>
  <c r="K72" i="35" s="1"/>
  <c r="J71" i="35"/>
  <c r="K71" i="35" s="1"/>
  <c r="J37" i="35"/>
  <c r="K37" i="35" s="1"/>
  <c r="J22" i="35"/>
  <c r="K22" i="35" s="1"/>
  <c r="J21" i="35"/>
  <c r="J16" i="35"/>
  <c r="J11" i="35"/>
  <c r="K11" i="35" s="1"/>
  <c r="K16" i="35"/>
  <c r="K21" i="35"/>
  <c r="K28" i="35"/>
  <c r="K43" i="35"/>
  <c r="K45" i="35"/>
  <c r="K50" i="35"/>
  <c r="K52" i="35"/>
  <c r="K57" i="35"/>
  <c r="K59" i="35"/>
  <c r="K64" i="35"/>
  <c r="K66" i="35"/>
  <c r="K79" i="35"/>
  <c r="K5" i="35"/>
  <c r="K6" i="35"/>
  <c r="J6" i="35"/>
  <c r="J27" i="35"/>
  <c r="K27" i="35" s="1"/>
  <c r="J28" i="35"/>
  <c r="J29" i="35"/>
  <c r="K29" i="35" s="1"/>
  <c r="J34" i="35"/>
  <c r="K34" i="35" s="1"/>
  <c r="J36" i="35"/>
  <c r="K36" i="35" s="1"/>
  <c r="J38" i="35"/>
  <c r="K38" i="35" s="1"/>
  <c r="J43" i="35"/>
  <c r="J44" i="35"/>
  <c r="K44" i="35" s="1"/>
  <c r="J45" i="35"/>
  <c r="J50" i="35"/>
  <c r="J51" i="35"/>
  <c r="K51" i="35" s="1"/>
  <c r="J52" i="35"/>
  <c r="J57" i="35"/>
  <c r="J58" i="35"/>
  <c r="K58" i="35" s="1"/>
  <c r="J59" i="35"/>
  <c r="J64" i="35"/>
  <c r="J65" i="35"/>
  <c r="K65" i="35" s="1"/>
  <c r="J66" i="35"/>
  <c r="J73" i="35"/>
  <c r="K73" i="35" s="1"/>
  <c r="J74" i="35"/>
  <c r="K74" i="35" s="1"/>
  <c r="J79" i="35"/>
  <c r="J80" i="35"/>
  <c r="K80" i="35" s="1"/>
  <c r="J81" i="35"/>
  <c r="K81" i="35" s="1"/>
  <c r="J82" i="35"/>
  <c r="K82" i="35" s="1"/>
  <c r="J87" i="35"/>
  <c r="K87" i="35" s="1"/>
  <c r="J88" i="35"/>
  <c r="K88" i="35" s="1"/>
  <c r="J89" i="35"/>
  <c r="K89" i="35" s="1"/>
  <c r="J98" i="35"/>
  <c r="K98" i="35" s="1"/>
  <c r="J99" i="35"/>
  <c r="K99" i="35" s="1"/>
  <c r="J100" i="35"/>
  <c r="K100" i="35" s="1"/>
  <c r="K4" i="35"/>
  <c r="J4" i="35"/>
  <c r="J25" i="34"/>
  <c r="K25" i="34" s="1"/>
  <c r="J26" i="34"/>
  <c r="K26" i="34" s="1"/>
  <c r="J27" i="34"/>
  <c r="K27" i="34" s="1"/>
  <c r="J28" i="34"/>
  <c r="K28" i="34" s="1"/>
  <c r="J29" i="34"/>
  <c r="K29" i="34" s="1"/>
  <c r="J30" i="34"/>
  <c r="K30" i="34" s="1"/>
  <c r="J31" i="34"/>
  <c r="K31" i="34" s="1"/>
  <c r="J16" i="34"/>
  <c r="K16" i="34" s="1"/>
  <c r="J15" i="34"/>
  <c r="K15" i="34" s="1"/>
  <c r="C18" i="40"/>
  <c r="K14" i="34"/>
  <c r="K18" i="34"/>
  <c r="K19" i="34"/>
  <c r="J12" i="34"/>
  <c r="K12" i="34" s="1"/>
  <c r="J13" i="34"/>
  <c r="K13" i="34" s="1"/>
  <c r="J14" i="34"/>
  <c r="J17" i="34"/>
  <c r="K17" i="34" s="1"/>
  <c r="J18" i="34"/>
  <c r="J19" i="34"/>
  <c r="J20" i="34"/>
  <c r="K20" i="34" s="1"/>
  <c r="J11" i="34"/>
  <c r="K11" i="34" s="1"/>
  <c r="J5" i="34"/>
  <c r="K5" i="34" s="1"/>
  <c r="J6" i="34"/>
  <c r="K6" i="34" s="1"/>
  <c r="J4" i="34"/>
  <c r="K4" i="34" s="1"/>
  <c r="J35" i="35" l="1"/>
  <c r="K35" i="35" s="1"/>
  <c r="D48" i="40"/>
  <c r="B45" i="40"/>
  <c r="E43" i="40"/>
  <c r="C41" i="40"/>
  <c r="C40" i="40"/>
  <c r="E36" i="40"/>
  <c r="E31" i="40"/>
  <c r="C20" i="40"/>
  <c r="C8" i="40"/>
  <c r="E7" i="40"/>
  <c r="E26" i="40" s="1"/>
  <c r="E38" i="40" s="1"/>
  <c r="E48" i="40" s="1"/>
  <c r="B4" i="40"/>
  <c r="B2" i="40"/>
  <c r="B1" i="40"/>
  <c r="C43" i="40" l="1"/>
  <c r="J26" i="20" l="1"/>
  <c r="L26" i="20"/>
  <c r="G53" i="32"/>
  <c r="N19" i="20"/>
  <c r="F26" i="20"/>
  <c r="N23" i="20"/>
  <c r="N24" i="20"/>
  <c r="D26" i="20"/>
  <c r="B35" i="39"/>
  <c r="N31" i="39"/>
  <c r="F30" i="39"/>
  <c r="J29" i="39"/>
  <c r="D28" i="39"/>
  <c r="D33" i="39" s="1"/>
  <c r="M27" i="39"/>
  <c r="M33" i="39" s="1"/>
  <c r="L27" i="39"/>
  <c r="L29" i="20" s="1"/>
  <c r="I27" i="39"/>
  <c r="I33" i="39" s="1"/>
  <c r="G27" i="39"/>
  <c r="E27" i="39"/>
  <c r="E33" i="39" s="1"/>
  <c r="G33" i="39"/>
  <c r="F23" i="39"/>
  <c r="J21" i="39"/>
  <c r="H19" i="39"/>
  <c r="H27" i="39" s="1"/>
  <c r="F19" i="39"/>
  <c r="L17" i="39"/>
  <c r="N17" i="39" s="1"/>
  <c r="L16" i="39"/>
  <c r="N15" i="39"/>
  <c r="D14" i="39"/>
  <c r="D19" i="39" s="1"/>
  <c r="D27" i="39" s="1"/>
  <c r="N13" i="39"/>
  <c r="N12" i="39"/>
  <c r="B8" i="39"/>
  <c r="B6" i="39"/>
  <c r="B5" i="39"/>
  <c r="I26" i="20"/>
  <c r="H26" i="20"/>
  <c r="G26" i="20"/>
  <c r="E26" i="20"/>
  <c r="B16" i="38"/>
  <c r="K9" i="38"/>
  <c r="K14" i="38" s="1"/>
  <c r="I9" i="38"/>
  <c r="I13" i="38" s="1"/>
  <c r="G9" i="38"/>
  <c r="G14" i="38" s="1"/>
  <c r="B5" i="38"/>
  <c r="B3" i="38"/>
  <c r="B2" i="38"/>
  <c r="J32" i="20"/>
  <c r="C35" i="40" s="1"/>
  <c r="B58" i="37"/>
  <c r="E54" i="37"/>
  <c r="G54" i="37" s="1"/>
  <c r="E48" i="37"/>
  <c r="G48" i="37" s="1"/>
  <c r="E47" i="37"/>
  <c r="E42" i="37"/>
  <c r="G42" i="37" s="1"/>
  <c r="G41" i="37"/>
  <c r="E40" i="37"/>
  <c r="G40" i="37" s="1"/>
  <c r="G39" i="37"/>
  <c r="E38" i="37"/>
  <c r="G34" i="37"/>
  <c r="E33" i="37"/>
  <c r="G33" i="37" s="1"/>
  <c r="E32" i="37"/>
  <c r="G32" i="37" s="1"/>
  <c r="E31" i="37"/>
  <c r="G31" i="37" s="1"/>
  <c r="E30" i="37"/>
  <c r="G30" i="37" s="1"/>
  <c r="E29" i="37"/>
  <c r="G29" i="37" s="1"/>
  <c r="E28" i="37"/>
  <c r="G28" i="37" s="1"/>
  <c r="E27" i="37"/>
  <c r="G27" i="37" s="1"/>
  <c r="E26" i="37"/>
  <c r="E19" i="37"/>
  <c r="G19" i="37" s="1"/>
  <c r="E18" i="37"/>
  <c r="G18" i="37" s="1"/>
  <c r="E17" i="37"/>
  <c r="G17" i="37" s="1"/>
  <c r="E16" i="37"/>
  <c r="G16" i="37" s="1"/>
  <c r="G15" i="37"/>
  <c r="E14" i="37"/>
  <c r="G14" i="37" s="1"/>
  <c r="E13" i="37"/>
  <c r="G13" i="37" s="1"/>
  <c r="E12" i="37"/>
  <c r="G12" i="37" s="1"/>
  <c r="G8" i="37"/>
  <c r="B5" i="37"/>
  <c r="B3" i="37"/>
  <c r="B2" i="37"/>
  <c r="E43" i="37" l="1"/>
  <c r="C34" i="40"/>
  <c r="C36" i="40" s="1"/>
  <c r="K13" i="38"/>
  <c r="G20" i="37"/>
  <c r="E50" i="37"/>
  <c r="E35" i="37"/>
  <c r="G47" i="37"/>
  <c r="G50" i="37" s="1"/>
  <c r="M9" i="38"/>
  <c r="M13" i="38" s="1"/>
  <c r="E10" i="32"/>
  <c r="G38" i="37"/>
  <c r="G43" i="37" s="1"/>
  <c r="N26" i="20"/>
  <c r="D29" i="20"/>
  <c r="D36" i="20" s="1"/>
  <c r="H33" i="39"/>
  <c r="J14" i="39"/>
  <c r="J19" i="39" s="1"/>
  <c r="F27" i="39"/>
  <c r="F33" i="39" s="1"/>
  <c r="N16" i="39"/>
  <c r="J28" i="39"/>
  <c r="N28" i="39" s="1"/>
  <c r="G13" i="38"/>
  <c r="G23" i="37"/>
  <c r="E20" i="37"/>
  <c r="E23" i="37" s="1"/>
  <c r="G26" i="37"/>
  <c r="G35" i="37" s="1"/>
  <c r="D35" i="1"/>
  <c r="E45" i="37" l="1"/>
  <c r="G45" i="37" s="1"/>
  <c r="G52" i="37" s="1"/>
  <c r="G56" i="37" s="1"/>
  <c r="J27" i="39"/>
  <c r="J29" i="20" s="1"/>
  <c r="N14" i="39"/>
  <c r="N19" i="39" s="1"/>
  <c r="N27" i="39" s="1"/>
  <c r="O27" i="39" s="1"/>
  <c r="E52" i="37"/>
  <c r="E56" i="37" s="1"/>
  <c r="C7" i="40" s="1"/>
  <c r="H45" i="1"/>
  <c r="L33" i="20" l="1"/>
  <c r="L36" i="20" s="1"/>
  <c r="L30" i="39"/>
  <c r="E53" i="32"/>
  <c r="J33" i="39"/>
  <c r="E40" i="32"/>
  <c r="E20" i="32"/>
  <c r="G44" i="32"/>
  <c r="N30" i="39" l="1"/>
  <c r="N33" i="39" s="1"/>
  <c r="L33" i="39"/>
  <c r="L16" i="20"/>
  <c r="N34" i="20" l="1"/>
  <c r="F33" i="20"/>
  <c r="D30" i="20"/>
  <c r="J30" i="20" l="1"/>
  <c r="J36" i="20" s="1"/>
  <c r="N30" i="20" l="1"/>
  <c r="E32" i="19" l="1"/>
  <c r="F17" i="19"/>
  <c r="F15" i="19"/>
  <c r="C18" i="19"/>
  <c r="C17" i="19"/>
  <c r="B32" i="19"/>
  <c r="F7" i="19"/>
  <c r="B18" i="19"/>
  <c r="F6" i="19" s="1"/>
  <c r="B17" i="19"/>
  <c r="F5" i="19" s="1"/>
  <c r="B16" i="19"/>
  <c r="F4" i="19" s="1"/>
  <c r="B15" i="19"/>
  <c r="F3" i="19" s="1"/>
  <c r="C4" i="19"/>
  <c r="D6" i="19"/>
  <c r="F26" i="19" l="1"/>
  <c r="L201" i="25"/>
  <c r="K94" i="26"/>
  <c r="B58" i="32" l="1"/>
  <c r="G50" i="32"/>
  <c r="G37" i="32"/>
  <c r="G27" i="32"/>
  <c r="G16" i="32"/>
  <c r="G12" i="32"/>
  <c r="B5" i="32"/>
  <c r="B3" i="32"/>
  <c r="B2" i="32"/>
  <c r="G18" i="32" l="1"/>
  <c r="G22" i="32" s="1"/>
  <c r="G30" i="32" s="1"/>
  <c r="C32" i="19" l="1"/>
  <c r="G32" i="19" s="1"/>
  <c r="G20" i="19"/>
  <c r="F27" i="19"/>
  <c r="F33" i="19"/>
  <c r="F38" i="19"/>
  <c r="F42" i="19" s="1"/>
  <c r="F39" i="19"/>
  <c r="F40" i="19"/>
  <c r="F41" i="19"/>
  <c r="N15" i="20"/>
  <c r="N13" i="20"/>
  <c r="G33" i="19" l="1"/>
  <c r="C33" i="19"/>
  <c r="C29" i="40" s="1"/>
  <c r="H9" i="23"/>
  <c r="H6" i="23"/>
  <c r="C8" i="30" l="1"/>
  <c r="D10" i="30" l="1"/>
  <c r="F10" i="30"/>
  <c r="E8" i="30"/>
  <c r="E10" i="30" s="1"/>
  <c r="G7" i="30"/>
  <c r="G6" i="30"/>
  <c r="G8" i="30" l="1"/>
  <c r="G10" i="30" s="1"/>
  <c r="C10" i="30"/>
  <c r="B42" i="19" l="1"/>
  <c r="E40" i="19"/>
  <c r="D40" i="19"/>
  <c r="H111" i="24"/>
  <c r="G111" i="24"/>
  <c r="M100" i="24"/>
  <c r="M101" i="24"/>
  <c r="M102" i="24"/>
  <c r="M103" i="24"/>
  <c r="M104" i="24"/>
  <c r="M105" i="24"/>
  <c r="M106" i="24"/>
  <c r="M107" i="24"/>
  <c r="M108" i="24"/>
  <c r="M109" i="24"/>
  <c r="M110" i="24"/>
  <c r="M99" i="24"/>
  <c r="L100" i="24"/>
  <c r="L101" i="24"/>
  <c r="L102" i="24"/>
  <c r="L103" i="24"/>
  <c r="L104" i="24"/>
  <c r="L105" i="24"/>
  <c r="L106" i="24"/>
  <c r="L107" i="24"/>
  <c r="L108" i="24"/>
  <c r="L109" i="24"/>
  <c r="L110" i="24"/>
  <c r="L99" i="24"/>
  <c r="E38" i="19"/>
  <c r="D38" i="19"/>
  <c r="H81" i="24"/>
  <c r="G81" i="24"/>
  <c r="M67" i="24"/>
  <c r="M68" i="24"/>
  <c r="M69" i="24"/>
  <c r="M70" i="24"/>
  <c r="M71" i="24"/>
  <c r="M72" i="24"/>
  <c r="M73" i="24"/>
  <c r="M74" i="24"/>
  <c r="M75" i="24"/>
  <c r="M76" i="24"/>
  <c r="M77" i="24"/>
  <c r="M78" i="24"/>
  <c r="M79" i="24"/>
  <c r="M80" i="24"/>
  <c r="M66" i="24"/>
  <c r="L67" i="24"/>
  <c r="L68" i="24"/>
  <c r="L69" i="24"/>
  <c r="L70" i="24"/>
  <c r="L71" i="24"/>
  <c r="L72" i="24"/>
  <c r="L73" i="24"/>
  <c r="L74" i="24"/>
  <c r="L75" i="24"/>
  <c r="L76" i="24"/>
  <c r="L77" i="24"/>
  <c r="L78" i="24"/>
  <c r="L79" i="24"/>
  <c r="L80" i="24"/>
  <c r="L66" i="24"/>
  <c r="H63" i="24"/>
  <c r="M51" i="24"/>
  <c r="M52" i="24"/>
  <c r="M53" i="24"/>
  <c r="M54" i="24"/>
  <c r="M55" i="24"/>
  <c r="M56" i="24"/>
  <c r="M57" i="24"/>
  <c r="M58" i="24"/>
  <c r="M59" i="24"/>
  <c r="M60" i="24"/>
  <c r="M61" i="24"/>
  <c r="M62" i="24"/>
  <c r="L51" i="24"/>
  <c r="L52" i="24"/>
  <c r="L53" i="24"/>
  <c r="L54" i="24"/>
  <c r="L55" i="24"/>
  <c r="L56" i="24"/>
  <c r="L57" i="24"/>
  <c r="L58" i="24"/>
  <c r="L59" i="24"/>
  <c r="L60" i="24"/>
  <c r="L61" i="24"/>
  <c r="L62" i="24"/>
  <c r="L50" i="24"/>
  <c r="M50" i="24" s="1"/>
  <c r="K65" i="24"/>
  <c r="L65" i="24" s="1"/>
  <c r="K49" i="24"/>
  <c r="L49" i="24" s="1"/>
  <c r="K117" i="24"/>
  <c r="L117" i="24" s="1"/>
  <c r="K115" i="24"/>
  <c r="L115" i="24" s="1"/>
  <c r="K116" i="24"/>
  <c r="L116" i="24" s="1"/>
  <c r="K114" i="24"/>
  <c r="L114" i="24" s="1"/>
  <c r="E41" i="19"/>
  <c r="D41" i="19"/>
  <c r="C41" i="19"/>
  <c r="K87" i="24"/>
  <c r="L87" i="24" s="1"/>
  <c r="K88" i="24"/>
  <c r="L88" i="24" s="1"/>
  <c r="K89" i="24"/>
  <c r="L89" i="24" s="1"/>
  <c r="K90" i="24"/>
  <c r="L90" i="24" s="1"/>
  <c r="K91" i="24"/>
  <c r="L91" i="24" s="1"/>
  <c r="K92" i="24"/>
  <c r="L92" i="24" s="1"/>
  <c r="K93" i="24"/>
  <c r="L93" i="24" s="1"/>
  <c r="K94" i="24"/>
  <c r="L94" i="24" s="1"/>
  <c r="K95" i="24"/>
  <c r="L95" i="24" s="1"/>
  <c r="K86" i="24"/>
  <c r="L86" i="24" s="1"/>
  <c r="K85" i="24"/>
  <c r="L85" i="24" s="1"/>
  <c r="K84" i="24"/>
  <c r="L84" i="24" s="1"/>
  <c r="H118" i="24"/>
  <c r="K118" i="24" s="1"/>
  <c r="L118" i="24" s="1"/>
  <c r="G118" i="24"/>
  <c r="G96" i="24"/>
  <c r="D39" i="19" s="1"/>
  <c r="C40" i="19" l="1"/>
  <c r="C38" i="19"/>
  <c r="D42" i="19"/>
  <c r="E42" i="19"/>
  <c r="H96" i="24"/>
  <c r="C39" i="19" s="1"/>
  <c r="D13" i="1"/>
  <c r="H13" i="1" l="1"/>
  <c r="C42" i="19"/>
  <c r="F37" i="1"/>
  <c r="F41" i="1"/>
  <c r="F24" i="1"/>
  <c r="F15" i="1"/>
  <c r="H19" i="19"/>
  <c r="H18" i="19"/>
  <c r="C16" i="19"/>
  <c r="D20" i="19"/>
  <c r="E20" i="19"/>
  <c r="F27" i="1" l="1"/>
  <c r="F20" i="19"/>
  <c r="H15" i="19"/>
  <c r="H16" i="19"/>
  <c r="H17" i="19"/>
  <c r="E7" i="19"/>
  <c r="L17" i="20"/>
  <c r="N17" i="20" s="1"/>
  <c r="E49" i="32"/>
  <c r="D14" i="20"/>
  <c r="H20" i="19" l="1"/>
  <c r="J14" i="20"/>
  <c r="N14" i="20"/>
  <c r="E47" i="32"/>
  <c r="J21" i="20"/>
  <c r="F48" i="1"/>
  <c r="F51" i="1" s="1"/>
  <c r="F55" i="1" s="1"/>
  <c r="C10" i="19" l="1"/>
  <c r="D11" i="1"/>
  <c r="H11" i="1" s="1"/>
  <c r="D19" i="1"/>
  <c r="H19" i="1" s="1"/>
  <c r="D21" i="1"/>
  <c r="D20" i="1"/>
  <c r="H20" i="1" s="1"/>
  <c r="D22" i="1"/>
  <c r="H22" i="1" s="1"/>
  <c r="C3" i="19"/>
  <c r="C5" i="19"/>
  <c r="C6" i="19"/>
  <c r="D3" i="19"/>
  <c r="D4" i="19"/>
  <c r="D5" i="19"/>
  <c r="D23" i="1"/>
  <c r="H23" i="1" s="1"/>
  <c r="C26" i="19"/>
  <c r="D26" i="19"/>
  <c r="D31" i="1"/>
  <c r="D34" i="1"/>
  <c r="H35" i="1"/>
  <c r="D36" i="1"/>
  <c r="D40" i="1"/>
  <c r="H40" i="1" s="1"/>
  <c r="D44" i="1"/>
  <c r="D46" i="1"/>
  <c r="H31" i="1" l="1"/>
  <c r="C21" i="40"/>
  <c r="H21" i="1"/>
  <c r="C17" i="40"/>
  <c r="H36" i="1"/>
  <c r="C25" i="40"/>
  <c r="H46" i="1"/>
  <c r="J37" i="39"/>
  <c r="H44" i="1"/>
  <c r="D37" i="39"/>
  <c r="C11" i="40"/>
  <c r="E26" i="19"/>
  <c r="H34" i="1"/>
  <c r="H10" i="1"/>
  <c r="D8" i="19"/>
  <c r="C8" i="19"/>
  <c r="E35" i="32"/>
  <c r="E50" i="32"/>
  <c r="E16" i="32"/>
  <c r="E25" i="32"/>
  <c r="E27" i="32" s="1"/>
  <c r="E34" i="32"/>
  <c r="E41" i="32"/>
  <c r="E42" i="32"/>
  <c r="D33" i="1"/>
  <c r="E4" i="19"/>
  <c r="D12" i="1"/>
  <c r="D32" i="1"/>
  <c r="E5" i="19"/>
  <c r="E3" i="19"/>
  <c r="D47" i="1"/>
  <c r="E6" i="19"/>
  <c r="L208" i="25"/>
  <c r="J201" i="25"/>
  <c r="H12" i="1" l="1"/>
  <c r="H55" i="1" s="1"/>
  <c r="C16" i="40"/>
  <c r="H33" i="1"/>
  <c r="C23" i="40"/>
  <c r="H32" i="1"/>
  <c r="C22" i="40"/>
  <c r="H47" i="1"/>
  <c r="L37" i="39"/>
  <c r="E37" i="32"/>
  <c r="E44" i="32"/>
  <c r="D48" i="1"/>
  <c r="N37" i="39" s="1"/>
  <c r="E8" i="19"/>
  <c r="C20" i="19"/>
  <c r="C30" i="40" s="1"/>
  <c r="C31" i="40" s="1"/>
  <c r="H99" i="26"/>
  <c r="G99" i="26"/>
  <c r="I99" i="26" s="1"/>
  <c r="K99" i="26" s="1"/>
  <c r="H94" i="26"/>
  <c r="G94" i="26"/>
  <c r="I94" i="26" s="1"/>
  <c r="I206" i="25"/>
  <c r="H206" i="25"/>
  <c r="J206" i="25" s="1"/>
  <c r="L206" i="25" s="1"/>
  <c r="I201" i="25"/>
  <c r="H201" i="25"/>
  <c r="K132" i="24"/>
  <c r="H129" i="24"/>
  <c r="G129" i="24"/>
  <c r="H124" i="24"/>
  <c r="G124" i="24"/>
  <c r="I124" i="24" s="1"/>
  <c r="K124" i="24" s="1"/>
  <c r="I129" i="24" l="1"/>
  <c r="K129" i="24" s="1"/>
  <c r="K131" i="24" s="1"/>
  <c r="K133" i="24" s="1"/>
  <c r="K101" i="26"/>
  <c r="E29" i="20" l="1"/>
  <c r="G29" i="20"/>
  <c r="G36" i="20" s="1"/>
  <c r="I29" i="20"/>
  <c r="I36" i="20" s="1"/>
  <c r="M29" i="20"/>
  <c r="M36" i="20" s="1"/>
  <c r="D19" i="20"/>
  <c r="J19" i="20"/>
  <c r="E36" i="20" l="1"/>
  <c r="J40" i="20"/>
  <c r="E12" i="32" l="1"/>
  <c r="E18" i="32" s="1"/>
  <c r="E22" i="32" l="1"/>
  <c r="E30" i="32" s="1"/>
  <c r="C9" i="22"/>
  <c r="D40" i="20"/>
  <c r="B8" i="23" l="1"/>
  <c r="E26" i="22"/>
  <c r="E27" i="22" s="1"/>
  <c r="E15" i="22" l="1"/>
  <c r="E14" i="22"/>
  <c r="E13" i="22"/>
  <c r="E12" i="22"/>
  <c r="E11" i="22"/>
  <c r="E10" i="22"/>
  <c r="E9" i="22"/>
  <c r="E22" i="22"/>
  <c r="E16" i="22" l="1"/>
  <c r="C15" i="22" l="1"/>
  <c r="E23" i="22" l="1"/>
  <c r="E29" i="22" s="1"/>
  <c r="C22" i="22" l="1"/>
  <c r="C23" i="22" s="1"/>
  <c r="E5" i="22"/>
  <c r="B4" i="23" l="1"/>
  <c r="B6" i="23" s="1"/>
  <c r="B20" i="19"/>
  <c r="F8" i="19"/>
  <c r="C14" i="22" l="1"/>
  <c r="C13" i="22" l="1"/>
  <c r="C5" i="22"/>
  <c r="C12" i="22"/>
  <c r="C11" i="22"/>
  <c r="C26" i="22"/>
  <c r="C27" i="22" s="1"/>
  <c r="C29" i="22" s="1"/>
  <c r="C10" i="22"/>
  <c r="C16" i="22" l="1"/>
  <c r="B9" i="23"/>
  <c r="D37" i="1" l="1"/>
  <c r="B38" i="20" l="1"/>
  <c r="B33" i="19" l="1"/>
  <c r="C27" i="19"/>
  <c r="F19" i="20" l="1"/>
  <c r="H19" i="20"/>
  <c r="H29" i="20" s="1"/>
  <c r="H36" i="20" s="1"/>
  <c r="N12" i="20"/>
  <c r="D15" i="1" l="1"/>
  <c r="D24" i="1"/>
  <c r="E27" i="19"/>
  <c r="D27" i="19"/>
  <c r="E33" i="19"/>
  <c r="C10" i="40" s="1"/>
  <c r="C26" i="40" s="1"/>
  <c r="C38" i="40" s="1"/>
  <c r="C48" i="40" s="1"/>
  <c r="D27" i="1" l="1"/>
  <c r="B8" i="20"/>
  <c r="B6" i="20"/>
  <c r="B5" i="20"/>
  <c r="F23" i="20"/>
  <c r="F29" i="20" l="1"/>
  <c r="F36" i="20" l="1"/>
  <c r="N36" i="20" s="1"/>
  <c r="N29" i="20"/>
  <c r="D33" i="19"/>
  <c r="D41" i="1" l="1"/>
  <c r="D51" i="1" s="1"/>
  <c r="D55" i="1" l="1"/>
  <c r="C4" i="22" l="1"/>
  <c r="C6" i="22" s="1"/>
  <c r="E54" i="32" l="1"/>
  <c r="E56" i="32" s="1"/>
  <c r="E61" i="32" s="1"/>
  <c r="B64" i="32" s="1"/>
  <c r="N33" i="20"/>
  <c r="E4" i="22"/>
  <c r="E6" i="22" s="1"/>
  <c r="G54" i="32" l="1"/>
  <c r="G56" i="32" l="1"/>
  <c r="G61" i="32" s="1"/>
  <c r="N16" i="20"/>
  <c r="L40" i="20" l="1"/>
  <c r="O29" i="20" l="1"/>
  <c r="N40" i="20"/>
  <c r="D29" i="39" l="1"/>
  <c r="D22" i="39"/>
  <c r="D22" i="20"/>
  <c r="D32" i="20"/>
</calcChain>
</file>

<file path=xl/sharedStrings.xml><?xml version="1.0" encoding="utf-8"?>
<sst xmlns="http://schemas.openxmlformats.org/spreadsheetml/2006/main" count="7069" uniqueCount="4760">
  <si>
    <t>Empresa de Pesquisa Energética - EPE</t>
  </si>
  <si>
    <t>CNPJ 06.977.747/0001-80</t>
  </si>
  <si>
    <t>Balanço Patrimonial em</t>
  </si>
  <si>
    <t>ATIVO</t>
  </si>
  <si>
    <t>Circulante</t>
  </si>
  <si>
    <t xml:space="preserve">Caixa e Equivalentes </t>
  </si>
  <si>
    <t>Conta a Receber - Leilões ANEEL</t>
  </si>
  <si>
    <t xml:space="preserve">Tributos a Recuperar ou Compensáveis </t>
  </si>
  <si>
    <t xml:space="preserve">Adiantamentos Concedidos </t>
  </si>
  <si>
    <t xml:space="preserve">Outros Créditos </t>
  </si>
  <si>
    <t>Não Circulante</t>
  </si>
  <si>
    <t xml:space="preserve">Depósitos Judiciais </t>
  </si>
  <si>
    <t xml:space="preserve">Imobilizado </t>
  </si>
  <si>
    <t xml:space="preserve">Intangível </t>
  </si>
  <si>
    <t>TOTAL DO ATIVO</t>
  </si>
  <si>
    <t>PASSIVO E PATRIMÔNIO LÍQUIDO</t>
  </si>
  <si>
    <t xml:space="preserve">Fornecedores Nacionais </t>
  </si>
  <si>
    <t>Obrigações Fiscais</t>
  </si>
  <si>
    <t xml:space="preserve">Obrigações Trabalhistas e Sociais </t>
  </si>
  <si>
    <t>Provisões p/ Contingências</t>
  </si>
  <si>
    <t>Obrigações com a Cessão de Pessoal</t>
  </si>
  <si>
    <t xml:space="preserve">Previdência Privada Complementar </t>
  </si>
  <si>
    <t>Provisões para Contingências</t>
  </si>
  <si>
    <t>Patrimônio Liquido</t>
  </si>
  <si>
    <t xml:space="preserve">Reserva Legal </t>
  </si>
  <si>
    <t>Adiant para Futuro Aumento de Capital</t>
  </si>
  <si>
    <t>Resultado do Exercício</t>
  </si>
  <si>
    <t>TOTAL DO PASSIVO E PATRIMÔNIO LÍQUIDO</t>
  </si>
  <si>
    <t>Outras Receitas Operacionais</t>
  </si>
  <si>
    <t>RECEITA LÍQUIDA</t>
  </si>
  <si>
    <t>CUSTOS DOS SERVIÇOS PRESTADOS</t>
  </si>
  <si>
    <t>Remunerações</t>
  </si>
  <si>
    <t>Encargos Sociais</t>
  </si>
  <si>
    <t>Benefícios</t>
  </si>
  <si>
    <t>Materiais</t>
  </si>
  <si>
    <t>Serviços de Terceiros</t>
  </si>
  <si>
    <t>Gerais de Funcionamento das Instalações</t>
  </si>
  <si>
    <t>Gerais da Administração</t>
  </si>
  <si>
    <t>Impostos, Taxas e Contribuições</t>
  </si>
  <si>
    <t>RESULTADO BRUTO</t>
  </si>
  <si>
    <t>DESPESAS OPERACIONAIS</t>
  </si>
  <si>
    <t>OUTRAS RECEITAS OPERACIONAIS</t>
  </si>
  <si>
    <t>Recursos Recebidos do Tesouro Nacional</t>
  </si>
  <si>
    <t>Recuperação de Despesas e Custos</t>
  </si>
  <si>
    <t>Receitas Financeiras</t>
  </si>
  <si>
    <t>Despesas Financeiras</t>
  </si>
  <si>
    <t>Despesa com Provisões de IRPJ e CSLL</t>
  </si>
  <si>
    <t>Demonstração da Mutação do Patrimônio Líquido em</t>
  </si>
  <si>
    <t>Capital Social</t>
  </si>
  <si>
    <t>Reserva  Legal</t>
  </si>
  <si>
    <t>Reserva Especial Proposto</t>
  </si>
  <si>
    <t>Adiantamento para Futuro Aumento de Capital</t>
  </si>
  <si>
    <t>Lucros (prejuízos) acumulados</t>
  </si>
  <si>
    <t>Total</t>
  </si>
  <si>
    <t>RESULTADO ABRANGENTE TOTAL</t>
  </si>
  <si>
    <t xml:space="preserve">Demonstração do Valor Adicionado em </t>
  </si>
  <si>
    <t>Receitas</t>
  </si>
  <si>
    <t>Subsídios Públicos</t>
  </si>
  <si>
    <t>Outras Receitas</t>
  </si>
  <si>
    <t>Insumos</t>
  </si>
  <si>
    <t>Materiais, utilidades, serviços de terceiros e outros</t>
  </si>
  <si>
    <t>Valor Adicionado Bruto</t>
  </si>
  <si>
    <t>Depreciação e Amortização</t>
  </si>
  <si>
    <t>Valor Adicionado Líquido produzido</t>
  </si>
  <si>
    <t>Valor Adicionado recebido em transferência</t>
  </si>
  <si>
    <t>Reversão de Custos e Despesas</t>
  </si>
  <si>
    <t>Valor Adicionado Total a Distribuir</t>
  </si>
  <si>
    <t>Distribuição do valor adicionado</t>
  </si>
  <si>
    <t>Pessoal</t>
  </si>
  <si>
    <t>Remuneração Direta</t>
  </si>
  <si>
    <t>FGTS</t>
  </si>
  <si>
    <t>Governos (Impostos, taxas e contribuições)</t>
  </si>
  <si>
    <t>Federais (inclui a contribuição previdenciária e sindical)</t>
  </si>
  <si>
    <t>Estaduais (inclui IPVA)</t>
  </si>
  <si>
    <t xml:space="preserve">Municipais </t>
  </si>
  <si>
    <t>Remuneração do capital de terceiros</t>
  </si>
  <si>
    <t>Alugueis</t>
  </si>
  <si>
    <t>Outras</t>
  </si>
  <si>
    <t>Valor Adicionado Total Distribuido</t>
  </si>
  <si>
    <t>Demonstração dos Fluxos de Caixa</t>
  </si>
  <si>
    <t>Fluxo de caixa das atividades operacionais</t>
  </si>
  <si>
    <t>Fluxo de caixa das atividades de investimentos</t>
  </si>
  <si>
    <t>Fluxo de caixa das atividades de financiamento</t>
  </si>
  <si>
    <t>Recursos recebidos do Tesouro Nacional</t>
  </si>
  <si>
    <t>Adiant. p/ Futuro Aumento de Capital</t>
  </si>
  <si>
    <t>-</t>
  </si>
  <si>
    <t>Adiant. para Futuro Aumento de Capital</t>
  </si>
  <si>
    <t>Despesas Antecipadas</t>
  </si>
  <si>
    <t>Ajuste de Reclassificação - Recebimento de Subvenções</t>
  </si>
  <si>
    <t>Depreciação / Amortização</t>
  </si>
  <si>
    <t>Variação nos saldos de ativos e passivos</t>
  </si>
  <si>
    <t>Variação caixa e equivalentes de caixa</t>
  </si>
  <si>
    <t>No início do exercício</t>
  </si>
  <si>
    <t>Disponibilidades</t>
  </si>
  <si>
    <t>Bancos</t>
  </si>
  <si>
    <t>BB</t>
  </si>
  <si>
    <t>CO</t>
  </si>
  <si>
    <t>Receita Cota Orçamentária</t>
  </si>
  <si>
    <t>Créditos, Direitos e Bens</t>
  </si>
  <si>
    <t>COFINS a Recuperar</t>
  </si>
  <si>
    <t>Antecipação de IRRF - 0561</t>
  </si>
  <si>
    <t>IRRF a Compensar</t>
  </si>
  <si>
    <t>PIS a Restituir</t>
  </si>
  <si>
    <t>Adiantamentos a Empregados</t>
  </si>
  <si>
    <t>Adiantamento de Férias</t>
  </si>
  <si>
    <t>Adiantamento de 13º Salário</t>
  </si>
  <si>
    <t>Empréstimo a funcionários</t>
  </si>
  <si>
    <t>Mensalidade AEPE</t>
  </si>
  <si>
    <t>Outros Créditos</t>
  </si>
  <si>
    <t>Créditos Diversos</t>
  </si>
  <si>
    <t>Assinaturas e Anuidades</t>
  </si>
  <si>
    <t>Provedores de Informações</t>
  </si>
  <si>
    <t>Manutenção de Software</t>
  </si>
  <si>
    <t>Ativo Não Circulante</t>
  </si>
  <si>
    <t>Realizavel a Longo Prazo</t>
  </si>
  <si>
    <t>IRPJ a Compensar</t>
  </si>
  <si>
    <t>ISS a Restituir</t>
  </si>
  <si>
    <t>CSLL a Compensar</t>
  </si>
  <si>
    <t>Títulos e Valores Mobiliários</t>
  </si>
  <si>
    <t>Ações - Preço de Aquisição</t>
  </si>
  <si>
    <t>Depósitos Judiciais - Cíveis</t>
  </si>
  <si>
    <t>Imobilizado</t>
  </si>
  <si>
    <t>Bens em Operação</t>
  </si>
  <si>
    <t>Instalações</t>
  </si>
  <si>
    <t>Máquinas e Equipamentos</t>
  </si>
  <si>
    <t>Equipamentos de Informática</t>
  </si>
  <si>
    <t>Móveis e Utensílios</t>
  </si>
  <si>
    <t>(-) Instalações</t>
  </si>
  <si>
    <t>(-) Máquinas e Equipamentos</t>
  </si>
  <si>
    <t>(-) Equipamentos de Informática</t>
  </si>
  <si>
    <t>(-) Móveis e Utensílios</t>
  </si>
  <si>
    <t>Intangível</t>
  </si>
  <si>
    <t>Software</t>
  </si>
  <si>
    <t>( - ) Amortização</t>
  </si>
  <si>
    <t>( - ) Amortização Software</t>
  </si>
  <si>
    <t>Passivo</t>
  </si>
  <si>
    <t>Obrigações de Curto Prazo</t>
  </si>
  <si>
    <t>Fornecedores Nacionais</t>
  </si>
  <si>
    <t>FUNDACAO GETULIO VARGAS</t>
  </si>
  <si>
    <t>CIEE</t>
  </si>
  <si>
    <t>IMAGEM GEOSISTEMAS E COMERCIO</t>
  </si>
  <si>
    <t>ALGAR SERVICO E TELECOMUNICACOES</t>
  </si>
  <si>
    <t>CARTORIO 17 OFICIO</t>
  </si>
  <si>
    <t>TOTVS SA</t>
  </si>
  <si>
    <t>TICKET SERVICOS SA</t>
  </si>
  <si>
    <t>NCT INFORMATICA LTDA</t>
  </si>
  <si>
    <t>AOVS SISTEMA DE INFORMATICA</t>
  </si>
  <si>
    <t>MUNDIVOX COMUNICAÇÕES LTDA</t>
  </si>
  <si>
    <t>GL ELETRO-ELETRONICOS LTDA</t>
  </si>
  <si>
    <t>IDEIAS TURISMO EIRELI</t>
  </si>
  <si>
    <t>IHS MARKIT AGRIBUSINESS BRAZIL</t>
  </si>
  <si>
    <t>COND. ED. MARQUES DOS REIS</t>
  </si>
  <si>
    <t>INSTITUTO FENACON</t>
  </si>
  <si>
    <t>AMM TECNOLOGIA E SERV. INF. LTDA</t>
  </si>
  <si>
    <t>LEANDRO NOBREGA GULLO</t>
  </si>
  <si>
    <t>ZILMA WAVGENCZAK ME.</t>
  </si>
  <si>
    <t>MGS CLEAN SOLUÇÕES E SERVIÇOS</t>
  </si>
  <si>
    <t>BUYSOFT DO BRASIL LTDA</t>
  </si>
  <si>
    <t>TIME MULTISSERVIÇOS LTDA</t>
  </si>
  <si>
    <t>INFORMA MARKETS LTDA</t>
  </si>
  <si>
    <t>RMA ENGENHARIA LTDA</t>
  </si>
  <si>
    <t>Fornecedores a Classificar</t>
  </si>
  <si>
    <t>PASEP a Recolher</t>
  </si>
  <si>
    <t>COFINS a Recolher</t>
  </si>
  <si>
    <t>Retenções Tributárias</t>
  </si>
  <si>
    <t>IRRF a Recolher de Empregados</t>
  </si>
  <si>
    <t>INSS</t>
  </si>
  <si>
    <t>INSS DE TERCEIROS</t>
  </si>
  <si>
    <t>ISS</t>
  </si>
  <si>
    <t>ISS de Terceiros</t>
  </si>
  <si>
    <t>Salários a Pagar</t>
  </si>
  <si>
    <t>13º Salário a Pagar</t>
  </si>
  <si>
    <t>Férias a Pagar</t>
  </si>
  <si>
    <t>INSS a Recolher</t>
  </si>
  <si>
    <t>FGTS a Recolher</t>
  </si>
  <si>
    <t>Contribuição Sindical a Pagar</t>
  </si>
  <si>
    <t>Pensão Alimentícia</t>
  </si>
  <si>
    <t>Previdência Privada Complementar</t>
  </si>
  <si>
    <t>INSS s/ 13º Salario a Pagar</t>
  </si>
  <si>
    <t>FGTS s/ 13º Salario a Pagar</t>
  </si>
  <si>
    <t>INSS s/ Férias a Pagar</t>
  </si>
  <si>
    <t>FGTS s/ Férias a Pagar</t>
  </si>
  <si>
    <t>Obrigações com o STJ</t>
  </si>
  <si>
    <t>Obrigações com a SEDES</t>
  </si>
  <si>
    <t>Obrigações com a USP</t>
  </si>
  <si>
    <t>Fundação ELETROS</t>
  </si>
  <si>
    <t>Passivo Não Circulante</t>
  </si>
  <si>
    <t>Obrigações de Longo Prazo</t>
  </si>
  <si>
    <t>Provisão p/ Contingências Civeis</t>
  </si>
  <si>
    <t>PL</t>
  </si>
  <si>
    <t>Patrimônio Líquido</t>
  </si>
  <si>
    <t>Capital Subscrito</t>
  </si>
  <si>
    <t>Aj de av.patrimonial</t>
  </si>
  <si>
    <t>Aj. de av. patrimonial</t>
  </si>
  <si>
    <t>Aj.de av. patrimonial</t>
  </si>
  <si>
    <t>Lucros ou Prejuízos Acumulados</t>
  </si>
  <si>
    <t>Subsídios do Tesouro Nacional</t>
  </si>
  <si>
    <t>Rendas de Variações Monetárias</t>
  </si>
  <si>
    <t>Descontos Obtidos</t>
  </si>
  <si>
    <t>Reembolso de Custos e Despesas</t>
  </si>
  <si>
    <t>Reversão de Provisões</t>
  </si>
  <si>
    <t>Contingência Civis</t>
  </si>
  <si>
    <t>Reversão de Custos/Despesas</t>
  </si>
  <si>
    <t>Recuperação de Despesa e Custo</t>
  </si>
  <si>
    <t>Custos e Despesas</t>
  </si>
  <si>
    <t>Custos</t>
  </si>
  <si>
    <t>Gastos com Pessoal - Serviços</t>
  </si>
  <si>
    <t>Salários</t>
  </si>
  <si>
    <t>Abono Pecuniário de Férias</t>
  </si>
  <si>
    <t>INSS s/ 13º Salário</t>
  </si>
  <si>
    <t>INSS s/ Férias</t>
  </si>
  <si>
    <t>FGTS s/ Férias</t>
  </si>
  <si>
    <t>FGTS s/ 13º Salário</t>
  </si>
  <si>
    <t>Auxílio Alimentação</t>
  </si>
  <si>
    <t>Auxílio Creche</t>
  </si>
  <si>
    <t>Vale Cultura</t>
  </si>
  <si>
    <t>Saúde Ocupacional</t>
  </si>
  <si>
    <t>Materiais Adm. e de Expediente</t>
  </si>
  <si>
    <t>Serviços de Consultoria</t>
  </si>
  <si>
    <t>Cessão ou Requisição de Pessoal</t>
  </si>
  <si>
    <t>Cursos, Seminários e Convenções</t>
  </si>
  <si>
    <t>Custos com Estagiarios</t>
  </si>
  <si>
    <t>Serviço Prestado PF</t>
  </si>
  <si>
    <t>Custos c/ Tributos - Serviços</t>
  </si>
  <si>
    <t>IPTU</t>
  </si>
  <si>
    <t>Taxas Estaduais</t>
  </si>
  <si>
    <t>Custos Gerais - Serviços</t>
  </si>
  <si>
    <t>Aluguéis</t>
  </si>
  <si>
    <t>Energia Elétrica</t>
  </si>
  <si>
    <t>Telecomunicações</t>
  </si>
  <si>
    <t>Correios e Malotes</t>
  </si>
  <si>
    <t>Conduções e Lanches</t>
  </si>
  <si>
    <t>Serviço de Limpeza e Higiene</t>
  </si>
  <si>
    <t>Condomínios</t>
  </si>
  <si>
    <t>Custos Gerais da Administração</t>
  </si>
  <si>
    <t>Honorários da Diretoria</t>
  </si>
  <si>
    <t>Custos de Viagens - Hospedagens</t>
  </si>
  <si>
    <t>Custos de Viagens - Outros</t>
  </si>
  <si>
    <t>Custo de Viagem ao Exterior</t>
  </si>
  <si>
    <t>Despesas</t>
  </si>
  <si>
    <t>Despesas com Pessoal</t>
  </si>
  <si>
    <t>Auxílio Moradia</t>
  </si>
  <si>
    <t>Despesas Com Materiais</t>
  </si>
  <si>
    <t>Despesas com Materiais Nacionais</t>
  </si>
  <si>
    <t>Materiais e Equipamentos</t>
  </si>
  <si>
    <t>Desp.c/Serv. de Terceiros</t>
  </si>
  <si>
    <t>Serv. Tributários e Auditoria</t>
  </si>
  <si>
    <t>Despesas com Estagiarios</t>
  </si>
  <si>
    <t>Despesas com Jovem Aprendiz</t>
  </si>
  <si>
    <t>Desp.c/Tributos</t>
  </si>
  <si>
    <t>PIS s/ Outras Receitas</t>
  </si>
  <si>
    <t>COFINS s/ outras Receitas</t>
  </si>
  <si>
    <t>Despesas com Provisôes</t>
  </si>
  <si>
    <t>Imposto de Renda</t>
  </si>
  <si>
    <t>Provisão p/ IRPJ</t>
  </si>
  <si>
    <t>Provisão p/ CSLL</t>
  </si>
  <si>
    <t>Despesas Gerais</t>
  </si>
  <si>
    <t>Serviços Gerais</t>
  </si>
  <si>
    <t>Outras Despesas</t>
  </si>
  <si>
    <t>Despesas Gerais da Administração</t>
  </si>
  <si>
    <t>Despesas de Viagens - Outros</t>
  </si>
  <si>
    <t>Despesas Legais e Judiciais</t>
  </si>
  <si>
    <t>DESPESAS NÃO DEDUTIVEIS</t>
  </si>
  <si>
    <t>Seguro de Responsabilidade Cívil</t>
  </si>
  <si>
    <t>Juros Pagos ou Incorridos</t>
  </si>
  <si>
    <t>Variações Monetárias</t>
  </si>
  <si>
    <t>Resultado do Período</t>
  </si>
  <si>
    <t>Lucro do Período</t>
  </si>
  <si>
    <t>Janeiro</t>
  </si>
  <si>
    <t>Outubro</t>
  </si>
  <si>
    <t>Novembro</t>
  </si>
  <si>
    <t>Prejuízo do Período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</si>
  <si>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</si>
  <si>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</si>
  <si>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</si>
  <si>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</si>
  <si>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</si>
  <si>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</si>
  <si>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</si>
  <si>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</si>
  <si>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Dezembro</t>
  </si>
  <si>
    <t>Descrição</t>
  </si>
  <si>
    <t>Adições</t>
  </si>
  <si>
    <t>Taxa anual de depreciação</t>
  </si>
  <si>
    <t>Custo</t>
  </si>
  <si>
    <t>Depreciação</t>
  </si>
  <si>
    <t>Corrigido</t>
  </si>
  <si>
    <t>Acumulada</t>
  </si>
  <si>
    <t>Líquido</t>
  </si>
  <si>
    <t>Benfeitorias em Andamento</t>
  </si>
  <si>
    <t xml:space="preserve">              -</t>
  </si>
  <si>
    <t>Baixas</t>
  </si>
  <si>
    <t>Baixa de</t>
  </si>
  <si>
    <t>Equipamentos de informática</t>
  </si>
  <si>
    <t>Móveis e utensílios</t>
  </si>
  <si>
    <t>Taxa anual Amortização</t>
  </si>
  <si>
    <t>Amortização</t>
  </si>
  <si>
    <t>Depósitos Judiciais</t>
  </si>
  <si>
    <t>Reembolso de Custos e Despesas - Leilões ANEEL</t>
  </si>
  <si>
    <t xml:space="preserve">Despesas Antecipadas </t>
  </si>
  <si>
    <t>Transferência</t>
  </si>
  <si>
    <t>Juros e multas</t>
  </si>
  <si>
    <t>Variação caixa e equivalentes de caixa no final do exercício</t>
  </si>
  <si>
    <t>Caixa líquido consumido pelas atividades de investimentos</t>
  </si>
  <si>
    <t>Caixa líquido gerado pelas atividades financiamentos</t>
  </si>
  <si>
    <t>Aquisição de Intangível</t>
  </si>
  <si>
    <t>Aquisição de Imobilizado</t>
  </si>
  <si>
    <t>Adiantamentos concedidos</t>
  </si>
  <si>
    <t>Despesas antecipadas</t>
  </si>
  <si>
    <t>Depósitos judiciais</t>
  </si>
  <si>
    <t>Impostos a recuperar</t>
  </si>
  <si>
    <t>Outros ativos circulantes e não circulantes</t>
  </si>
  <si>
    <t>Fornecedores</t>
  </si>
  <si>
    <t>Obrigações tributárias</t>
  </si>
  <si>
    <t>Obrigações trabalhistas e sociais</t>
  </si>
  <si>
    <t>Outras obrigações</t>
  </si>
  <si>
    <t xml:space="preserve">Compensação de prejuízos </t>
  </si>
  <si>
    <t>Demonstração do Resultado em</t>
  </si>
  <si>
    <t>Demonstração do Resultado Abrangente em</t>
  </si>
  <si>
    <t>Notas</t>
  </si>
  <si>
    <t>Ativo</t>
  </si>
  <si>
    <t>1.1.1.01</t>
  </si>
  <si>
    <t>1.1.1.01.0001</t>
  </si>
  <si>
    <t>1.1.1.01.0002</t>
  </si>
  <si>
    <t>Banco do Brasil conta única União</t>
  </si>
  <si>
    <t>1.1.1.02.0042</t>
  </si>
  <si>
    <t>1.1.2.01</t>
  </si>
  <si>
    <t>1.1.2.01.0001</t>
  </si>
  <si>
    <t>1.1.2.01.0002</t>
  </si>
  <si>
    <t>1.1.2.01.0998</t>
  </si>
  <si>
    <t>1.1.2.01.0999</t>
  </si>
  <si>
    <t>1.1.2.02</t>
  </si>
  <si>
    <t>1.1.2.02.0001</t>
  </si>
  <si>
    <t>1.1.2.02.0002</t>
  </si>
  <si>
    <t>Tributos a Recuperar ou Compensáveis</t>
  </si>
  <si>
    <t>1.1.2.03.0001</t>
  </si>
  <si>
    <t>1.1.2.03.0002</t>
  </si>
  <si>
    <t>1.1.2.03.0003</t>
  </si>
  <si>
    <t>1.1.2.03.0004</t>
  </si>
  <si>
    <t>1.1.2.03.0005</t>
  </si>
  <si>
    <t>1.1.2.03.0006</t>
  </si>
  <si>
    <t>1.1.2.03.0007</t>
  </si>
  <si>
    <t>1.1.2.03.0008</t>
  </si>
  <si>
    <t>1.1.2.03.0010</t>
  </si>
  <si>
    <t>1.1.2.03.0011</t>
  </si>
  <si>
    <t>1.1.2.03.0012</t>
  </si>
  <si>
    <t>1.1.2.03.0013</t>
  </si>
  <si>
    <t>1.1.2.03.0014</t>
  </si>
  <si>
    <t>1.1.2.03.0015</t>
  </si>
  <si>
    <t>1.1.2.03.0016</t>
  </si>
  <si>
    <t>IRPJ Estimativa</t>
  </si>
  <si>
    <t>1.1.2.03.0017</t>
  </si>
  <si>
    <t>CSLL Estimativa</t>
  </si>
  <si>
    <t>1.1.2.03.0018</t>
  </si>
  <si>
    <t>1.1.2.03.0019</t>
  </si>
  <si>
    <t>1.1.2.03.0020</t>
  </si>
  <si>
    <t>1.1.2.03.0021</t>
  </si>
  <si>
    <t>1.1.2.03.0022</t>
  </si>
  <si>
    <t>1.1.2.03.0024</t>
  </si>
  <si>
    <t>1.1.2.03.0025</t>
  </si>
  <si>
    <t>IRRF a Restituir</t>
  </si>
  <si>
    <t>1.1.2.03.0026</t>
  </si>
  <si>
    <t>1.1.2.03.0027</t>
  </si>
  <si>
    <t>1.1.2.03.0028</t>
  </si>
  <si>
    <t>1.1.2.03.0029</t>
  </si>
  <si>
    <t>1.1.2.03.0030</t>
  </si>
  <si>
    <t>CSLL a Restituir</t>
  </si>
  <si>
    <t>1.1.2.03.0031</t>
  </si>
  <si>
    <t>1.1.2.03.0999</t>
  </si>
  <si>
    <t>Outras Retenções de Tributos</t>
  </si>
  <si>
    <t>1.1.2.04.0003</t>
  </si>
  <si>
    <t>1.1.2.04.0004</t>
  </si>
  <si>
    <t>1.1.2.04.0005</t>
  </si>
  <si>
    <t>1.1.2.04.0006</t>
  </si>
  <si>
    <t>1.1.2.04.0024</t>
  </si>
  <si>
    <t>1.1.2.04.0025</t>
  </si>
  <si>
    <t>1.1.2.04.0999</t>
  </si>
  <si>
    <t>1.1.2.05</t>
  </si>
  <si>
    <t>1.1.2.05.0001</t>
  </si>
  <si>
    <t>1.1.2.05.0002</t>
  </si>
  <si>
    <t>1.1.2.05.0003</t>
  </si>
  <si>
    <t>1.1.2.05.0004</t>
  </si>
  <si>
    <t>1.1.2.06</t>
  </si>
  <si>
    <t>1.1.2.06.0001</t>
  </si>
  <si>
    <t>1.1.2.06.0002</t>
  </si>
  <si>
    <t>1.1.2.07</t>
  </si>
  <si>
    <t>1.1.2.07.0001</t>
  </si>
  <si>
    <t>1.1.2.07.0002</t>
  </si>
  <si>
    <t>1.1.2.07.0003</t>
  </si>
  <si>
    <t>1.1.2.08</t>
  </si>
  <si>
    <t>1.1.2.08.0001</t>
  </si>
  <si>
    <t>Depósitos Judiciais - Previdenciários</t>
  </si>
  <si>
    <t>1.1.2.08.0002</t>
  </si>
  <si>
    <t>Depósitos Judiciais - Trabalhistas</t>
  </si>
  <si>
    <t>1.1.2.08.0003</t>
  </si>
  <si>
    <t>1.1.2.08.0004</t>
  </si>
  <si>
    <t>1.1.2.09</t>
  </si>
  <si>
    <t>1.1.2.09.0001</t>
  </si>
  <si>
    <t>1.1.2.99</t>
  </si>
  <si>
    <t>1.1.2.99.0001</t>
  </si>
  <si>
    <t>1.1.2.99.0002</t>
  </si>
  <si>
    <t>1.1.2.99.0003</t>
  </si>
  <si>
    <t>1.1.2.99.0004</t>
  </si>
  <si>
    <t>1.1.2.99.0005</t>
  </si>
  <si>
    <t>Ressarcimento de Cedidos</t>
  </si>
  <si>
    <t>1.1.2.99.0999</t>
  </si>
  <si>
    <t>Prêmio de Seguros Pagos Antecipadamente</t>
  </si>
  <si>
    <t>1.1.3.01.0004</t>
  </si>
  <si>
    <t>Iptu a Apropriar</t>
  </si>
  <si>
    <t>1.1.3.01.0999</t>
  </si>
  <si>
    <t>Outras Despesas Antecipadas</t>
  </si>
  <si>
    <t>1.2.1.01</t>
  </si>
  <si>
    <t>1.2.1.01.0001</t>
  </si>
  <si>
    <t>1.2.1.01.0998</t>
  </si>
  <si>
    <t>1.2.1.01.0999</t>
  </si>
  <si>
    <t>1.2.1.02</t>
  </si>
  <si>
    <t>1.2.1.02.0001</t>
  </si>
  <si>
    <t>1.2.1.02.0002</t>
  </si>
  <si>
    <t>1.2.1.02.0003</t>
  </si>
  <si>
    <t>1.2.1.03.0002</t>
  </si>
  <si>
    <t>1.2.1.03.0003</t>
  </si>
  <si>
    <t>1.2.1.03.0006</t>
  </si>
  <si>
    <t>1.2.1.03.0007</t>
  </si>
  <si>
    <t>1.2.1.03.0008</t>
  </si>
  <si>
    <t>1.2.1.03.0009</t>
  </si>
  <si>
    <t>1.2.1.03.0010</t>
  </si>
  <si>
    <t>1.2.1.03.0999</t>
  </si>
  <si>
    <t>1.2.1.04</t>
  </si>
  <si>
    <t>1.2.1.04.0001</t>
  </si>
  <si>
    <t>1.2.1.05</t>
  </si>
  <si>
    <t>1.2.1.05.0001</t>
  </si>
  <si>
    <t>1.2.1.06</t>
  </si>
  <si>
    <t>1.2.1.06.0001</t>
  </si>
  <si>
    <t>1.2.1.06.0002</t>
  </si>
  <si>
    <t>1.2.1.06.0003</t>
  </si>
  <si>
    <t>1.2.1.06.0004</t>
  </si>
  <si>
    <t>1.2.1.06.0099</t>
  </si>
  <si>
    <t>1.2.1.07</t>
  </si>
  <si>
    <t>1.2.1.07.0001</t>
  </si>
  <si>
    <t>1.2.1.07.0002</t>
  </si>
  <si>
    <t>1.2.1.99</t>
  </si>
  <si>
    <t>1.2.1.99.0001</t>
  </si>
  <si>
    <t>1.2.1.99.0999</t>
  </si>
  <si>
    <t>1.2.2</t>
  </si>
  <si>
    <t>1.2.2.01</t>
  </si>
  <si>
    <t>1.2.2.01.0001</t>
  </si>
  <si>
    <t>1.2.2.01.0002</t>
  </si>
  <si>
    <t>1.2.2.02</t>
  </si>
  <si>
    <t>1.2.2.02.0001</t>
  </si>
  <si>
    <t>1.2.2.02.0002</t>
  </si>
  <si>
    <t>1.2.3.01.0001</t>
  </si>
  <si>
    <t>1.2.3.01.0002</t>
  </si>
  <si>
    <t>1.2.3.01.0008</t>
  </si>
  <si>
    <t>1.2.3.01.0009</t>
  </si>
  <si>
    <t>1.2.3.01.0011</t>
  </si>
  <si>
    <t>1.2.3.01.0012</t>
  </si>
  <si>
    <t>1.2.3.97</t>
  </si>
  <si>
    <t>1.2.3.97.0001</t>
  </si>
  <si>
    <t>(-) Depreciação, Amortização e Exaustão</t>
  </si>
  <si>
    <t>1.2.3.98.0001</t>
  </si>
  <si>
    <t>1.2.3.98.0005</t>
  </si>
  <si>
    <t>1.2.3.98.0007</t>
  </si>
  <si>
    <t>1.2.3.98.0008</t>
  </si>
  <si>
    <t>1.2.3.98.0010</t>
  </si>
  <si>
    <t>1.2.4.01.0002</t>
  </si>
  <si>
    <t>1.2.4.97</t>
  </si>
  <si>
    <t>1.2.4.97.0001</t>
  </si>
  <si>
    <t>1.2.4.98.0002</t>
  </si>
  <si>
    <t>2.1.1.01</t>
  </si>
  <si>
    <t>2.1.1.01.0001</t>
  </si>
  <si>
    <t>2.1.1.01.0002</t>
  </si>
  <si>
    <t>2.1.1.03</t>
  </si>
  <si>
    <t>2.1.1.03.0001</t>
  </si>
  <si>
    <t>2.1.1.03.0002</t>
  </si>
  <si>
    <t>LIGHT SERVICOS DE ELETRICIDADE S.A</t>
  </si>
  <si>
    <t>2.1.1.04.0002</t>
  </si>
  <si>
    <t>2.1.1.04.0003</t>
  </si>
  <si>
    <t>EMPRESA BRASILEIRA DE CORREIOS E TELEGRA</t>
  </si>
  <si>
    <t>2.1.1.04.0004</t>
  </si>
  <si>
    <t>2.1.1.04.0005</t>
  </si>
  <si>
    <t>2.1.1.04.0006</t>
  </si>
  <si>
    <t>2.1.1.04.0007</t>
  </si>
  <si>
    <t>2.1.1.04.0008</t>
  </si>
  <si>
    <t>2.1.1.04.0009</t>
  </si>
  <si>
    <t>2.1.1.04.0010</t>
  </si>
  <si>
    <t>33641663/0001-44</t>
  </si>
  <si>
    <t>2.1.1.04.0012</t>
  </si>
  <si>
    <t>2.1.1.04.0013</t>
  </si>
  <si>
    <t>2.1.1.04.0014</t>
  </si>
  <si>
    <t>2.1.1.04.0015</t>
  </si>
  <si>
    <t>2.1.1.04.0016</t>
  </si>
  <si>
    <t>2.1.1.04.0017</t>
  </si>
  <si>
    <t>2.1.1.04.0018</t>
  </si>
  <si>
    <t>2.1.1.04.0019</t>
  </si>
  <si>
    <t>2.1.1.04.0020</t>
  </si>
  <si>
    <t>2.1.1.04.0021</t>
  </si>
  <si>
    <t>2.1.1.04.0022</t>
  </si>
  <si>
    <t>2.1.1.04.0023</t>
  </si>
  <si>
    <t>2.1.1.04.0024</t>
  </si>
  <si>
    <t>2.1.1.04.0025</t>
  </si>
  <si>
    <t>2.1.1.04.0026</t>
  </si>
  <si>
    <t>2.1.1.04.0027</t>
  </si>
  <si>
    <t>2.1.1.04.0028</t>
  </si>
  <si>
    <t>2.1.1.04.0029</t>
  </si>
  <si>
    <t>2.1.1.04.0030</t>
  </si>
  <si>
    <t>2.1.1.04.0031</t>
  </si>
  <si>
    <t>09305983/0001-49</t>
  </si>
  <si>
    <t>PSR SOLUCOES E CONSULTORIA EM ENERGIA LT</t>
  </si>
  <si>
    <t>2.1.1.04.0032</t>
  </si>
  <si>
    <t>2.1.1.04.0033</t>
  </si>
  <si>
    <t>2.1.1.04.0034</t>
  </si>
  <si>
    <t>2.1.1.04.0035</t>
  </si>
  <si>
    <t>2.1.1.04.0036</t>
  </si>
  <si>
    <t>2.1.1.04.0037</t>
  </si>
  <si>
    <t>2.1.1.04.0038</t>
  </si>
  <si>
    <t>2.1.1.04.0039</t>
  </si>
  <si>
    <t>2.1.1.04.0040</t>
  </si>
  <si>
    <t>2.1.1.04.0041</t>
  </si>
  <si>
    <t>69034668/0001-56</t>
  </si>
  <si>
    <t>SODEXO PASS DO BRASIL SERVC. E COMERCIO</t>
  </si>
  <si>
    <t>2.1.1.04.0042</t>
  </si>
  <si>
    <t>2.1.1.04.0043</t>
  </si>
  <si>
    <t>2.1.1.04.0044</t>
  </si>
  <si>
    <t>2.1.1.04.0045</t>
  </si>
  <si>
    <t>2.1.1.04.0046</t>
  </si>
  <si>
    <t>2.1.1.04.0047</t>
  </si>
  <si>
    <t>2.1.1.04.0048</t>
  </si>
  <si>
    <t>2.1.1.04.0049</t>
  </si>
  <si>
    <t>2.1.1.04.0050</t>
  </si>
  <si>
    <t>2.1.1.04.0051</t>
  </si>
  <si>
    <t>2.1.1.04.0052</t>
  </si>
  <si>
    <t>2.1.1.04.0053</t>
  </si>
  <si>
    <t>2.1.1.04.0054</t>
  </si>
  <si>
    <t>2.1.1.04.0055</t>
  </si>
  <si>
    <t>2.1.1.04.0056</t>
  </si>
  <si>
    <t>2.1.1.04.0057</t>
  </si>
  <si>
    <t>2.1.1.04.0058</t>
  </si>
  <si>
    <t>2.1.1.04.0060</t>
  </si>
  <si>
    <t>2.1.1.04.0061</t>
  </si>
  <si>
    <t>2.1.1.04.0062</t>
  </si>
  <si>
    <t>2.1.1.04.0063</t>
  </si>
  <si>
    <t>2.1.1.04.0064</t>
  </si>
  <si>
    <t>2.1.1.04.0065</t>
  </si>
  <si>
    <t>2.1.1.04.0066</t>
  </si>
  <si>
    <t>33661745/0001-50</t>
  </si>
  <si>
    <t>2.1.1.04.0067</t>
  </si>
  <si>
    <t>2.1.1.04.0068</t>
  </si>
  <si>
    <t>2.1.1.04.0069</t>
  </si>
  <si>
    <t>67393181/0001-34</t>
  </si>
  <si>
    <t>2.1.1.04.0070</t>
  </si>
  <si>
    <t>2.1.1.04.0071</t>
  </si>
  <si>
    <t>2.1.1.04.0072</t>
  </si>
  <si>
    <t>2.1.1.04.0073</t>
  </si>
  <si>
    <t>2.1.1.04.0074</t>
  </si>
  <si>
    <t>2.1.1.04.0075</t>
  </si>
  <si>
    <t>61797924/0007-40</t>
  </si>
  <si>
    <t>HEWLETT PACKARD DO BRASIL LTDA</t>
  </si>
  <si>
    <t>2.1.1.04.0077</t>
  </si>
  <si>
    <t>2.1.1.04.0078</t>
  </si>
  <si>
    <t>2.1.1.04.0079</t>
  </si>
  <si>
    <t>2.1.1.04.0080</t>
  </si>
  <si>
    <t>07604035/0001-89</t>
  </si>
  <si>
    <t>RTA COMERCIO E SERVICO DE ASSISTENCIA</t>
  </si>
  <si>
    <t>2.1.1.04.0082</t>
  </si>
  <si>
    <t>2.1.1.04.0083</t>
  </si>
  <si>
    <t>2.1.1.04.0084</t>
  </si>
  <si>
    <t>2.1.1.04.0085</t>
  </si>
  <si>
    <t>2.1.1.04.0086</t>
  </si>
  <si>
    <t>2.1.1.04.0087</t>
  </si>
  <si>
    <t>2.1.1.04.0088</t>
  </si>
  <si>
    <t>2.1.1.04.0089</t>
  </si>
  <si>
    <t>2.1.1.04.0090</t>
  </si>
  <si>
    <t>2.1.1.04.0091</t>
  </si>
  <si>
    <t>2.1.1.04.0092</t>
  </si>
  <si>
    <t>2.1.1.04.0093</t>
  </si>
  <si>
    <t>2.1.1.04.0095</t>
  </si>
  <si>
    <t>2.1.1.04.0096</t>
  </si>
  <si>
    <t>2.1.1.04.0097</t>
  </si>
  <si>
    <t>2.1.1.04.0098</t>
  </si>
  <si>
    <t>2.1.1.04.0099</t>
  </si>
  <si>
    <t>2.1.1.04.0100</t>
  </si>
  <si>
    <t>2.1.1.04.0101</t>
  </si>
  <si>
    <t>2.1.1.04.0102</t>
  </si>
  <si>
    <t>71208516/0001-74</t>
  </si>
  <si>
    <t>2.1.1.04.0104</t>
  </si>
  <si>
    <t>2.1.1.04.0105</t>
  </si>
  <si>
    <t>2.1.1.04.0106</t>
  </si>
  <si>
    <t>2.1.1.04.0107</t>
  </si>
  <si>
    <t>2.1.1.04.0108</t>
  </si>
  <si>
    <t>2.1.1.04.0109</t>
  </si>
  <si>
    <t>2.1.1.04.0110</t>
  </si>
  <si>
    <t>2.1.1.04.0111</t>
  </si>
  <si>
    <t>2.1.1.04.0112</t>
  </si>
  <si>
    <t>27128875/0001-20</t>
  </si>
  <si>
    <t>2.1.1.04.0113</t>
  </si>
  <si>
    <t>2.1.1.04.0114</t>
  </si>
  <si>
    <t>2.1.1.04.0115</t>
  </si>
  <si>
    <t>2.1.1.04.0116</t>
  </si>
  <si>
    <t>2.1.1.04.0117</t>
  </si>
  <si>
    <t>2.1.1.04.0118</t>
  </si>
  <si>
    <t>2.1.1.04.0119</t>
  </si>
  <si>
    <t>2.1.1.04.0120</t>
  </si>
  <si>
    <t>2.1.1.04.0121</t>
  </si>
  <si>
    <t>2.1.1.04.0122</t>
  </si>
  <si>
    <t>2.1.1.04.0123</t>
  </si>
  <si>
    <t>2.1.1.04.0124</t>
  </si>
  <si>
    <t>2.1.1.04.0125</t>
  </si>
  <si>
    <t>2.1.1.04.0126</t>
  </si>
  <si>
    <t>2.1.1.04.0127</t>
  </si>
  <si>
    <t>2.1.1.04.0128</t>
  </si>
  <si>
    <t>2.1.1.04.0129</t>
  </si>
  <si>
    <t>2.1.1.04.0130</t>
  </si>
  <si>
    <t>2.1.1.04.0131</t>
  </si>
  <si>
    <t>2.1.1.04.0132</t>
  </si>
  <si>
    <t>2.1.1.04.0133</t>
  </si>
  <si>
    <t>2.1.1.04.0134</t>
  </si>
  <si>
    <t>2.1.1.04.0135</t>
  </si>
  <si>
    <t>2.1.1.04.0136</t>
  </si>
  <si>
    <t>2.1.1.04.0137</t>
  </si>
  <si>
    <t>2.1.1.04.0138</t>
  </si>
  <si>
    <t>IBP - INST. BRASILEIRO PET. GAS E BIOC.</t>
  </si>
  <si>
    <t>2.1.1.04.0139</t>
  </si>
  <si>
    <t>2.1.1.04.0140</t>
  </si>
  <si>
    <t>2.1.1.04.0141</t>
  </si>
  <si>
    <t>2.1.1.04.0142</t>
  </si>
  <si>
    <t>2.1.1.04.0143</t>
  </si>
  <si>
    <t>2.1.1.04.0144</t>
  </si>
  <si>
    <t>2.1.1.04.0145</t>
  </si>
  <si>
    <t>2.1.1.04.0146</t>
  </si>
  <si>
    <t>2.1.1.04.0147</t>
  </si>
  <si>
    <t>2.1.1.04.0148</t>
  </si>
  <si>
    <t>33402892/0002-97</t>
  </si>
  <si>
    <t>ASSOCIAÇÃO BRASILEIRA DE NORMAS TECNICAS</t>
  </si>
  <si>
    <t>2.1.1.04.0149</t>
  </si>
  <si>
    <t>2.1.1.04.0150</t>
  </si>
  <si>
    <t>2.1.1.04.0151</t>
  </si>
  <si>
    <t>2.1.1.04.0152</t>
  </si>
  <si>
    <t>2.1.1.04.0153</t>
  </si>
  <si>
    <t>2.1.1.04.0154</t>
  </si>
  <si>
    <t>2.1.1.04.0155</t>
  </si>
  <si>
    <t>2.1.1.04.0156</t>
  </si>
  <si>
    <t>2.1.1.04.0157</t>
  </si>
  <si>
    <t>2.1.1.04.0158</t>
  </si>
  <si>
    <t>2.1.1.04.0159</t>
  </si>
  <si>
    <t>2.1.1.04.0160</t>
  </si>
  <si>
    <t>2.1.1.04.0161</t>
  </si>
  <si>
    <t>COMITE NAC. BRASILEIRO PROD. TRANS. ENER</t>
  </si>
  <si>
    <t>2.1.1.04.0162</t>
  </si>
  <si>
    <t>2.1.1.04.0163</t>
  </si>
  <si>
    <t>2.1.1.04.0164</t>
  </si>
  <si>
    <t>2.1.1.04.0165</t>
  </si>
  <si>
    <t>2.1.1.04.0166</t>
  </si>
  <si>
    <t>2.1.1.04.0167</t>
  </si>
  <si>
    <t>2.1.1.04.0168</t>
  </si>
  <si>
    <t>2.1.1.04.0169</t>
  </si>
  <si>
    <t>2.1.1.04.0170</t>
  </si>
  <si>
    <t>2.1.1.04.0171</t>
  </si>
  <si>
    <t>2.1.1.04.0172</t>
  </si>
  <si>
    <t>2.1.1.04.0173</t>
  </si>
  <si>
    <t>2.1.1.04.0174</t>
  </si>
  <si>
    <t>2.1.1.04.0175</t>
  </si>
  <si>
    <t>2.1.1.04.0176</t>
  </si>
  <si>
    <t>2.1.1.04.0177</t>
  </si>
  <si>
    <t>2.1.1.04.0178</t>
  </si>
  <si>
    <t>2.1.1.04.0179</t>
  </si>
  <si>
    <t>2.1.1.04.0180</t>
  </si>
  <si>
    <t>2.1.1.04.0181</t>
  </si>
  <si>
    <t>2.1.1.04.0182</t>
  </si>
  <si>
    <t>2.1.1.04.0183</t>
  </si>
  <si>
    <t>2.1.1.04.0184</t>
  </si>
  <si>
    <t>2.1.1.04.0185</t>
  </si>
  <si>
    <t>2.1.1.04.0186</t>
  </si>
  <si>
    <t>2.1.1.04.0187</t>
  </si>
  <si>
    <t>2.1.1.04.0188</t>
  </si>
  <si>
    <t>2.1.1.04.0189</t>
  </si>
  <si>
    <t>2.1.1.04.0190</t>
  </si>
  <si>
    <t>2.1.1.04.0191</t>
  </si>
  <si>
    <t>2.1.1.04.0192</t>
  </si>
  <si>
    <t>2.1.1.04.0193</t>
  </si>
  <si>
    <t>2.1.1.04.0194</t>
  </si>
  <si>
    <t>2.1.1.04.0195</t>
  </si>
  <si>
    <t>2.1.1.04.0196</t>
  </si>
  <si>
    <t>2.1.1.04.0197</t>
  </si>
  <si>
    <t>2.1.1.04.0198</t>
  </si>
  <si>
    <t>2.1.1.04.0199</t>
  </si>
  <si>
    <t>2.1.1.04.0200</t>
  </si>
  <si>
    <t>2.1.1.04.0201</t>
  </si>
  <si>
    <t>2.1.1.04.0202</t>
  </si>
  <si>
    <t>2.1.1.04.0203</t>
  </si>
  <si>
    <t>2.1.1.04.0204</t>
  </si>
  <si>
    <t>2.1.1.04.0205</t>
  </si>
  <si>
    <t>2.1.1.04.0206</t>
  </si>
  <si>
    <t>2.1.1.04.0207</t>
  </si>
  <si>
    <t>2.1.1.04.0208</t>
  </si>
  <si>
    <t>2.1.1.04.0209</t>
  </si>
  <si>
    <t>2.1.1.04.0210</t>
  </si>
  <si>
    <t>2.1.1.04.0211</t>
  </si>
  <si>
    <t>2.1.1.04.0212</t>
  </si>
  <si>
    <t>2.1.1.04.0213</t>
  </si>
  <si>
    <t>2.1.1.04.0214</t>
  </si>
  <si>
    <t>2.1.1.04.0215</t>
  </si>
  <si>
    <t>2.1.1.04.0216</t>
  </si>
  <si>
    <t>2.1.1.04.0217</t>
  </si>
  <si>
    <t>2.1.1.04.0218</t>
  </si>
  <si>
    <t>2.1.1.04.0219</t>
  </si>
  <si>
    <t>2.1.1.04.0220</t>
  </si>
  <si>
    <t>2.1.1.04.0221</t>
  </si>
  <si>
    <t>2.1.1.04.0222</t>
  </si>
  <si>
    <t>2.1.1.04.0223</t>
  </si>
  <si>
    <t>2.1.1.04.0224</t>
  </si>
  <si>
    <t>2.1.1.04.0225</t>
  </si>
  <si>
    <t>2.1.1.04.0226</t>
  </si>
  <si>
    <t>2.1.1.04.0227</t>
  </si>
  <si>
    <t>2.1.1.04.0228</t>
  </si>
  <si>
    <t>2.1.1.04.0229</t>
  </si>
  <si>
    <t>2.1.1.04.0230</t>
  </si>
  <si>
    <t>2.1.1.04.0231</t>
  </si>
  <si>
    <t>2.1.1.04.0232</t>
  </si>
  <si>
    <t>2.1.1.04.0233</t>
  </si>
  <si>
    <t>2.1.1.04.0234</t>
  </si>
  <si>
    <t>2.1.1.04.0235</t>
  </si>
  <si>
    <t>2.1.1.04.0236</t>
  </si>
  <si>
    <t>2.1.1.04.0237</t>
  </si>
  <si>
    <t>2.1.1.04.0238</t>
  </si>
  <si>
    <t>2.1.1.04.0239</t>
  </si>
  <si>
    <t>2.1.1.04.0240</t>
  </si>
  <si>
    <t>2.1.1.04.0241</t>
  </si>
  <si>
    <t>2.1.1.04.0242</t>
  </si>
  <si>
    <t>2.1.1.04.0254</t>
  </si>
  <si>
    <t>01178068/0001-28</t>
  </si>
  <si>
    <t>ASSOCIACAO BRAS. DE GEOLOGOS DE PETROLEO</t>
  </si>
  <si>
    <t>26994285/0001-17</t>
  </si>
  <si>
    <t>TOPOCART TOPOGRAFIA ENG. E AEROL. LTDA</t>
  </si>
  <si>
    <t>2.1.1.04.0310</t>
  </si>
  <si>
    <t>53113791/0001-22</t>
  </si>
  <si>
    <t>2.1.1.04.0336</t>
  </si>
  <si>
    <t>42288886/0001-60</t>
  </si>
  <si>
    <t>CENTRO DE PESQ DE ENERGIA ELETRICA CEPEL</t>
  </si>
  <si>
    <t>2.1.1.04.0365</t>
  </si>
  <si>
    <t>UNITECH-RIO COM. E SERV. LTDA</t>
  </si>
  <si>
    <t>2.1.1.04.0370</t>
  </si>
  <si>
    <t>05824164/0001-28</t>
  </si>
  <si>
    <t>IBDE INST BRAS DE EST DIREITO ENERGIA</t>
  </si>
  <si>
    <t>2.1.1.04.0375</t>
  </si>
  <si>
    <t>08794730/0001-13</t>
  </si>
  <si>
    <t>RIOOFFSITE SERVICOS DE FITOTECA LTDA</t>
  </si>
  <si>
    <t>2.1.1.04.0455</t>
  </si>
  <si>
    <t>86781069/0001-15</t>
  </si>
  <si>
    <t>ZENITE INFORMACAO E CONSULTORIA S/A</t>
  </si>
  <si>
    <t>2.1.1.04.0463</t>
  </si>
  <si>
    <t>08255393/0001-96</t>
  </si>
  <si>
    <t>FOCO OPINIAO E MERCADO LTDA</t>
  </si>
  <si>
    <t>47866934/0001-74</t>
  </si>
  <si>
    <t>2.1.1.04.0536</t>
  </si>
  <si>
    <t>06012731/0001-33</t>
  </si>
  <si>
    <t>ONE CURSOS-TREINAMENTO DESEN CAPACITACAO</t>
  </si>
  <si>
    <t>2.1.1.04.0537</t>
  </si>
  <si>
    <t>05344234/0001-70</t>
  </si>
  <si>
    <t>RJ LOCACAO DE VEICULOS E SERVICOS LTDA</t>
  </si>
  <si>
    <t>2.1.1.04.0541</t>
  </si>
  <si>
    <t>03619767/0002-61</t>
  </si>
  <si>
    <t>TORINO INFORMATICA LTDA</t>
  </si>
  <si>
    <t>2.1.1.04.0549</t>
  </si>
  <si>
    <t>86517729/0001-55</t>
  </si>
  <si>
    <t>VIENA EMPREENDIMENTOS LTDA</t>
  </si>
  <si>
    <t>2.1.1.04.0560</t>
  </si>
  <si>
    <t>04707003/0001-10</t>
  </si>
  <si>
    <t>SPRANGER ESTMATIVAS DE CUSTO LTDA</t>
  </si>
  <si>
    <t>PREVI - CAIXA DE PREVIDÊNCIA DOS FUNCION</t>
  </si>
  <si>
    <t>2.1.1.04.0577</t>
  </si>
  <si>
    <t>THARGO AUDITORES E CONSULTORES</t>
  </si>
  <si>
    <t>005705050001-91</t>
  </si>
  <si>
    <t>COOPER POWER SYSTEMS BRASIL LTDA</t>
  </si>
  <si>
    <t>2.1.1.04.0595</t>
  </si>
  <si>
    <t>24602524/0001-10</t>
  </si>
  <si>
    <t>BIODIESELBR INFORMAÇÃO ESPECIALIZADA LTD</t>
  </si>
  <si>
    <t>2.1.1.04.0648</t>
  </si>
  <si>
    <t>RIOPAR Participações S/A</t>
  </si>
  <si>
    <t>2.1.1.04.0652</t>
  </si>
  <si>
    <t>DECISION SERVIÇOS DE TECNOLOGIA DA INFOR</t>
  </si>
  <si>
    <t>2.1.1.04.0665</t>
  </si>
  <si>
    <t>2.1.1.04.0680</t>
  </si>
  <si>
    <t>2.1.1.04.0683</t>
  </si>
  <si>
    <t>COORDENAÇÃO GERAL DE RECURSOS LOGISTICOS</t>
  </si>
  <si>
    <t>2.1.1.04.0687</t>
  </si>
  <si>
    <t>FUNDAÇÃO DOM CABRAL</t>
  </si>
  <si>
    <t>2.1.1.04.0703</t>
  </si>
  <si>
    <t>WALM ENG. E TEC. AMBIENTAL LTDA</t>
  </si>
  <si>
    <t>2.1.1.04.0704</t>
  </si>
  <si>
    <t>BIOTA PROJETOS E CONSULTORIA AMBIENTAL</t>
  </si>
  <si>
    <t>2.1.1.04.0744</t>
  </si>
  <si>
    <t>WINDSOR ADM. DE HOTÉIS E SERVIÇOS</t>
  </si>
  <si>
    <t>IHS INFORMAÇÕES E INSIGHTS LTDA</t>
  </si>
  <si>
    <t>4E FOR ECONOMICS CONSULTORIA LTDA</t>
  </si>
  <si>
    <t>2.1.1.04.0777</t>
  </si>
  <si>
    <t>2.1.1.04.0781</t>
  </si>
  <si>
    <t>GARTNER DO BRASIL SERVIÇOS DE PESQUISA L</t>
  </si>
  <si>
    <t>2.1.1.04.0807</t>
  </si>
  <si>
    <t>REFINITIV BRASIL SERVIÇOS ECONOMICOS LTD</t>
  </si>
  <si>
    <t>2.1.1.04.0830</t>
  </si>
  <si>
    <t>AC ARQUITETURA E CONSULTORIA</t>
  </si>
  <si>
    <t>2.1.1.04.0834</t>
  </si>
  <si>
    <t>2.1.1.04.0840</t>
  </si>
  <si>
    <t>IBGC - INST BRAS DE GOVERNANÇA CORP</t>
  </si>
  <si>
    <t>2.1.1.04.0842</t>
  </si>
  <si>
    <t>BERKAN AUDITORES INDEPENDENTES S.S</t>
  </si>
  <si>
    <t>2.1.1.04.0844</t>
  </si>
  <si>
    <t>MMP CURSOS CAP. E TREINAMENTO LTDA</t>
  </si>
  <si>
    <t>2.1.1.04.0846</t>
  </si>
  <si>
    <t>ELETROMAGNETICS TEC. E INF. LTDA</t>
  </si>
  <si>
    <t>2.1.1.04.0857</t>
  </si>
  <si>
    <t>2.1.1.04.0864</t>
  </si>
  <si>
    <t>2.1.1.04.0869</t>
  </si>
  <si>
    <t>AUSTRAL SEGURADORA S.A.</t>
  </si>
  <si>
    <t>2.1.1.04.0875</t>
  </si>
  <si>
    <t>ESTATER TECNOLOGIA E SERVICOS LTDA</t>
  </si>
  <si>
    <t>AUTODATA SEMINARIOS E EDITORA LTDA</t>
  </si>
  <si>
    <t>2.1.1.04.0886</t>
  </si>
  <si>
    <t>TOTAL LIFE ASSISTENCIA A VIDA LTDA</t>
  </si>
  <si>
    <t>2.1.1.04.0895</t>
  </si>
  <si>
    <t>INSPER INST. DE ENSINO E PESQUISA</t>
  </si>
  <si>
    <t>2.1.1.04.0900</t>
  </si>
  <si>
    <t>CVE EVENTOS LTDA</t>
  </si>
  <si>
    <t>2.1.1.04.0904</t>
  </si>
  <si>
    <t>ASSOCIAÇÃO BRASILEIRA DE ORÇAMENTO PÚBLICO</t>
  </si>
  <si>
    <t>2.1.1.04.0905</t>
  </si>
  <si>
    <t>2.1.1.04.0914</t>
  </si>
  <si>
    <t>WAYCARBON SOLUCOES AMBIENTAIS E PROJETOS DE CARBONO LT</t>
  </si>
  <si>
    <t>2.1.1.04.0921</t>
  </si>
  <si>
    <t>ASSOCIAÇÃO BRASILEIRA DE AGENCIAS DE REGULAÇÃO - ABAR</t>
  </si>
  <si>
    <t>2.1.1.04.0927</t>
  </si>
  <si>
    <t>DIANA BONAR SACILOTTI CURRIE DESENVOLVIMENTO</t>
  </si>
  <si>
    <t>2.1.1.04.0930</t>
  </si>
  <si>
    <t>MOBIX ORGANIZACAO E PRODUCAO DE EVENTOS LTDA</t>
  </si>
  <si>
    <t>2.1.1.04.0931</t>
  </si>
  <si>
    <t>KANELS VAREJO ESPECIALIZADO EM EQUIPAMENTOS DE AUDIO E VIDEO EIRELI</t>
  </si>
  <si>
    <t>2.1.1.04.0932</t>
  </si>
  <si>
    <t>REFRIGERACAO IV CENTENARIO EIRELI</t>
  </si>
  <si>
    <t>2.1.1.04.0933</t>
  </si>
  <si>
    <t>GRAPHIX COPIAS E IMPRESSOES EIRELI ME</t>
  </si>
  <si>
    <t>2.1.1.04.0935</t>
  </si>
  <si>
    <t>A &amp; A TRADUCOES E INTERPRETACOES LTDA</t>
  </si>
  <si>
    <t>2.1.1.04.0937</t>
  </si>
  <si>
    <t>MODULO SECURITY SOLUTIONS EM RECUPERACAO JUDICIAL</t>
  </si>
  <si>
    <t>AGENCIA DE INTEGRAÇÃO ESCOLA LTDA</t>
  </si>
  <si>
    <t>2.1.1.04.0943</t>
  </si>
  <si>
    <t>CLICKSIGN GESTAO DE DOCUMENTOS S/A</t>
  </si>
  <si>
    <t>2.1.1.04.0948</t>
  </si>
  <si>
    <t>CHESTNUT GLOBAL PARTNERS DO BRASIL LTDA</t>
  </si>
  <si>
    <t>FUNDACAO COORDENACAO DE PROJETOS PESQUISAS E ESTUDOS</t>
  </si>
  <si>
    <t>2.1.1.04.0951</t>
  </si>
  <si>
    <t>INOVE TREINAMENTOS LTDA-ME</t>
  </si>
  <si>
    <t>HIGH SERVICOS DE COMPLIANCE LTDA</t>
  </si>
  <si>
    <t>2.1.1.04.0954</t>
  </si>
  <si>
    <t>T &amp; S LOCACAO DE MAO DE OBRA EM GERAL EIRELI</t>
  </si>
  <si>
    <t>2.1.1.04.0956</t>
  </si>
  <si>
    <t>SPUTNIK CURSOS LTDA</t>
  </si>
  <si>
    <t>IOS INFORMATICA, ORGANIZACAO E SISTEMAS LTDA</t>
  </si>
  <si>
    <t>2.1.1.04.0998</t>
  </si>
  <si>
    <t>2.1.1.06.0002</t>
  </si>
  <si>
    <t>2.1.1.07.0008</t>
  </si>
  <si>
    <t>Ret IN 539/05 - IR/CS/PIS/COFINS - 5,85%</t>
  </si>
  <si>
    <t>2.1.1.07.0009</t>
  </si>
  <si>
    <t>Ret IN 539/05 - IR/CS/PIS/COFINS - 9,45%</t>
  </si>
  <si>
    <t>2.1.1.07.0010</t>
  </si>
  <si>
    <t>Ret IN 539/05 - IR/CS/PIS/COFINS - 7,05%</t>
  </si>
  <si>
    <t>2.1.1.07.0015</t>
  </si>
  <si>
    <t>Obrigações Trabalhistas e Sociais</t>
  </si>
  <si>
    <t>2.1.1.08.0006</t>
  </si>
  <si>
    <t>2.1.1.08.0007</t>
  </si>
  <si>
    <t>2.1.1.08.0008</t>
  </si>
  <si>
    <t>Rescisões a Pagar</t>
  </si>
  <si>
    <t>Provisão p/ Contingências Trabalhistas</t>
  </si>
  <si>
    <t>Provisão p/ Contingências Fiscais</t>
  </si>
  <si>
    <t>Adiantamento p/Futuro Aumento de Capital</t>
  </si>
  <si>
    <t>2.4.3</t>
  </si>
  <si>
    <t>2.4.3.01</t>
  </si>
  <si>
    <t>2.4.3.01.0001</t>
  </si>
  <si>
    <t>(-) Prejuízos Acumulados</t>
  </si>
  <si>
    <t>(-) Prejuízo Acumulado</t>
  </si>
  <si>
    <t>Receitas Financ./ Prest. de Serviços</t>
  </si>
  <si>
    <t>3.3.1.01.0004</t>
  </si>
  <si>
    <t>3.3.2.01.0002</t>
  </si>
  <si>
    <t>Leilões ANEEL – Transmissão de Energia</t>
  </si>
  <si>
    <t>Reversão de Provisões - Contingência</t>
  </si>
  <si>
    <t>3.3.6.01.0003</t>
  </si>
  <si>
    <t>Contingência Fiscais</t>
  </si>
  <si>
    <t>3.3.9.02</t>
  </si>
  <si>
    <t>Receitas com Doações</t>
  </si>
  <si>
    <t>3.3.9.02.0001</t>
  </si>
  <si>
    <t>Doações Recebidas</t>
  </si>
  <si>
    <t>Receita Concurso Público</t>
  </si>
  <si>
    <t>Receita de Concurso Público</t>
  </si>
  <si>
    <t>Provisão de Férias e Encargos Sociais</t>
  </si>
  <si>
    <t>Provisão de 13º Salários e Enc. Sociais</t>
  </si>
  <si>
    <t>Salario Maternidade - Prorrogação</t>
  </si>
  <si>
    <t>4.1.1.01.0011</t>
  </si>
  <si>
    <t>Licença Paternidade Prorrogação</t>
  </si>
  <si>
    <t>4.1.1.03.0003</t>
  </si>
  <si>
    <t>Auxílio Transporte</t>
  </si>
  <si>
    <t>Assistência Médica e  Odontológica</t>
  </si>
  <si>
    <t>4.1.1.10</t>
  </si>
  <si>
    <t>Indenizações</t>
  </si>
  <si>
    <t>4.1.1.10.0001</t>
  </si>
  <si>
    <t>Indenizações Trabalhistas</t>
  </si>
  <si>
    <t>Custos c/ Serviços de Terceiros - Serv.</t>
  </si>
  <si>
    <t>Serviços de Apoio Técnico e/ou Administrativo</t>
  </si>
  <si>
    <t>Serviços de Processamentos de Dados</t>
  </si>
  <si>
    <t>Locação de Veículos</t>
  </si>
  <si>
    <t>Cessão Temporária e Manutenção de Softwa</t>
  </si>
  <si>
    <t>Outros Impostos e Taxas</t>
  </si>
  <si>
    <t>Provisões p/ Contingências Trabalhistas</t>
  </si>
  <si>
    <t>Provisões p/ Contingências Fiscais</t>
  </si>
  <si>
    <t>Custos de Funcionamento das Instalações</t>
  </si>
  <si>
    <t>Manutenção e Reparos</t>
  </si>
  <si>
    <t>Reproduções</t>
  </si>
  <si>
    <t>4.1.6.01.0010</t>
  </si>
  <si>
    <t>Alugueis de Móveis, Máquinas e Equip.</t>
  </si>
  <si>
    <t>Honorários Conselhos de Adm. e Fiscal</t>
  </si>
  <si>
    <t>Custos de Viagens - Passagens Aéreas</t>
  </si>
  <si>
    <t>Assinatura Banco de Dados e Portais</t>
  </si>
  <si>
    <t>Provisão de 13º Salários e Encargos</t>
  </si>
  <si>
    <t>4.2.1.01.0010</t>
  </si>
  <si>
    <t>4.2.1.03.0003</t>
  </si>
  <si>
    <t>Serviços Manut. Equipamentos Informática</t>
  </si>
  <si>
    <t>4.2.3.01.0011</t>
  </si>
  <si>
    <t>Serviços de Reforma das Instalações</t>
  </si>
  <si>
    <t>4.2.3.01.0013</t>
  </si>
  <si>
    <t>Cessão Temporária e Manut. de Software</t>
  </si>
  <si>
    <t>Desp.c/Tributos-Imp.,Txs e Contribuições</t>
  </si>
  <si>
    <t>4.2.4.01.0008</t>
  </si>
  <si>
    <t>Contribuição Social s/ Lucro Líquido</t>
  </si>
  <si>
    <t>Despesas c/ Provisões - p/ Contingências</t>
  </si>
  <si>
    <t>4.2.5.04.0003</t>
  </si>
  <si>
    <t>Desp. Gerais Funcionamento Instalações</t>
  </si>
  <si>
    <t>4.2.6.01.0012</t>
  </si>
  <si>
    <t>Despesas de Viagens - Passagens Aéreas</t>
  </si>
  <si>
    <t>Despesas de Viagens - Hospedagens</t>
  </si>
  <si>
    <t>Assinaturas Banco de Dados e Portais</t>
  </si>
  <si>
    <t>Despesa de Viagem ao Exterior</t>
  </si>
  <si>
    <t>Honorários Comite de Auditoria</t>
  </si>
  <si>
    <t>4.2.7.01.0006</t>
  </si>
  <si>
    <t>Multas</t>
  </si>
  <si>
    <t>4.2.7.01.0008</t>
  </si>
  <si>
    <t>Perda na Venda de Ações</t>
  </si>
  <si>
    <t>Prov. Contingências Variações Monetárias</t>
  </si>
  <si>
    <t>Administradores</t>
  </si>
  <si>
    <t>Despesas Concurso Público</t>
  </si>
  <si>
    <t>Despesa de Concurso Público</t>
  </si>
  <si>
    <t>5.1.1.04</t>
  </si>
  <si>
    <t>5.1.1.07</t>
  </si>
  <si>
    <t>5.1.1.10</t>
  </si>
  <si>
    <t>5.1.2.05</t>
  </si>
  <si>
    <t>5.1.2.06</t>
  </si>
  <si>
    <t>5.1.2.08</t>
  </si>
  <si>
    <t>5.1.2.09</t>
  </si>
  <si>
    <t>5.1.2.11</t>
  </si>
  <si>
    <t>5.1.2.12</t>
  </si>
  <si>
    <t>Obrigações judiciais</t>
  </si>
  <si>
    <t>Saldos em 31/12/2020</t>
  </si>
  <si>
    <t>Atualização/tributos a compensar/Depósitos Judiciais</t>
  </si>
  <si>
    <t>Provisão/Atualização monetária de provisões para contingências</t>
  </si>
  <si>
    <t>(em milhares de reais)</t>
  </si>
  <si>
    <t>1.1</t>
  </si>
  <si>
    <t>1.1.1</t>
  </si>
  <si>
    <t>1.1.1.02</t>
  </si>
  <si>
    <t>1.1.1.02.0040</t>
  </si>
  <si>
    <t>1.1.2</t>
  </si>
  <si>
    <t>1.1.2.03</t>
  </si>
  <si>
    <t>1.1.2.03.0009</t>
  </si>
  <si>
    <t>1.1.2.03.0023</t>
  </si>
  <si>
    <t>1.1.2.04</t>
  </si>
  <si>
    <t>1.1.2.04.0001</t>
  </si>
  <si>
    <t>1.1.2.04.0002</t>
  </si>
  <si>
    <t>1.1.3</t>
  </si>
  <si>
    <t>1.1.3.01</t>
  </si>
  <si>
    <t>1.1.3.01.0001</t>
  </si>
  <si>
    <t>1.1.3.01.0002</t>
  </si>
  <si>
    <t>1.1.3.01.0003</t>
  </si>
  <si>
    <t>1.1.3.01.0005</t>
  </si>
  <si>
    <t>1.1.3.01.0006</t>
  </si>
  <si>
    <t>1.2</t>
  </si>
  <si>
    <t>1.2.1</t>
  </si>
  <si>
    <t>1.2.1.03</t>
  </si>
  <si>
    <t>1.2.1.03.0001</t>
  </si>
  <si>
    <t>1.2.1.03.0004</t>
  </si>
  <si>
    <t>1.2.1.03.0005</t>
  </si>
  <si>
    <t>1.2.1.08</t>
  </si>
  <si>
    <t>1.2.1.08.0001</t>
  </si>
  <si>
    <t>1.2.1.08.0002</t>
  </si>
  <si>
    <t>1.2.1.08.0003</t>
  </si>
  <si>
    <t>1.2.3</t>
  </si>
  <si>
    <t>1.2.3.01</t>
  </si>
  <si>
    <t>1.2.3.01.0003</t>
  </si>
  <si>
    <t>1.2.3.01.0004</t>
  </si>
  <si>
    <t>1.2.3.01.0005</t>
  </si>
  <si>
    <t>1.2.3.01.0007</t>
  </si>
  <si>
    <t>1.2.3.98</t>
  </si>
  <si>
    <t>1.2.3.98.0002</t>
  </si>
  <si>
    <t>1.2.3.98.0003</t>
  </si>
  <si>
    <t>1.2.3.98.0004</t>
  </si>
  <si>
    <t>1.2.3.98.0006</t>
  </si>
  <si>
    <t>1.2.4</t>
  </si>
  <si>
    <t>1.2.4.01</t>
  </si>
  <si>
    <t>1.2.4.01.0001</t>
  </si>
  <si>
    <t>1.2.4.98</t>
  </si>
  <si>
    <t>1.2.4.98.0001</t>
  </si>
  <si>
    <t>2.1</t>
  </si>
  <si>
    <t>2.1.1</t>
  </si>
  <si>
    <t>2.1.1.04</t>
  </si>
  <si>
    <t>2.1.1.04.0001</t>
  </si>
  <si>
    <t>2.1.1.04.0011</t>
  </si>
  <si>
    <t>2.1.1.04.0076</t>
  </si>
  <si>
    <t>2.1.1.04.0081</t>
  </si>
  <si>
    <t>2.1.1.04.0103</t>
  </si>
  <si>
    <t>2.1.1.04.0289</t>
  </si>
  <si>
    <t>2.1.1.04.0471</t>
  </si>
  <si>
    <t>2.1.1.04.0568</t>
  </si>
  <si>
    <t>2.1.1.04.0591</t>
  </si>
  <si>
    <t>2.1.1.04.0593</t>
  </si>
  <si>
    <t>2.1.1.04.0751</t>
  </si>
  <si>
    <t>2.1.1.04.0761</t>
  </si>
  <si>
    <t>2.1.1.04.0811</t>
  </si>
  <si>
    <t>2.1.1.04.0881</t>
  </si>
  <si>
    <t>2.1.1.04.0892</t>
  </si>
  <si>
    <t>2.1.1.04.0901</t>
  </si>
  <si>
    <t>2.1.1.04.0906</t>
  </si>
  <si>
    <t>2.1.1.04.0907</t>
  </si>
  <si>
    <t>2.1.1.04.0926</t>
  </si>
  <si>
    <t>2.1.1.04.0942</t>
  </si>
  <si>
    <t>2.1.1.04.0950</t>
  </si>
  <si>
    <t>2.1.1.04.0952</t>
  </si>
  <si>
    <t>2.1.1.04.0957</t>
  </si>
  <si>
    <t>2.1.1.06</t>
  </si>
  <si>
    <t>2.1.1.06.0003</t>
  </si>
  <si>
    <t>2.1.1.07</t>
  </si>
  <si>
    <t>2.1.1.07.0001</t>
  </si>
  <si>
    <t>2.1.1.07.0003</t>
  </si>
  <si>
    <t>2.1.1.08</t>
  </si>
  <si>
    <t>2.1.1.08.0001</t>
  </si>
  <si>
    <t>2.1.1.08.0002</t>
  </si>
  <si>
    <t>2.1.1.08.0003</t>
  </si>
  <si>
    <t>2.1.1.08.0004</t>
  </si>
  <si>
    <t>2.1.1.08.0005</t>
  </si>
  <si>
    <t>2.1.1.08.0009</t>
  </si>
  <si>
    <t>2.1.1.08.0010</t>
  </si>
  <si>
    <t>2.1.1.08.0011</t>
  </si>
  <si>
    <t>2.1.1.08.0012</t>
  </si>
  <si>
    <t>2.1.1.08.0013</t>
  </si>
  <si>
    <t>2.1.1.11</t>
  </si>
  <si>
    <t>2.1.1.11.0001</t>
  </si>
  <si>
    <t>2.1.1.14</t>
  </si>
  <si>
    <t>2.1.1.14.0005</t>
  </si>
  <si>
    <t>2.1.1.14.0007</t>
  </si>
  <si>
    <t>2.1.1.15</t>
  </si>
  <si>
    <t>2.1.1.15.0001</t>
  </si>
  <si>
    <t>2.2</t>
  </si>
  <si>
    <t>2.2.1</t>
  </si>
  <si>
    <t>2.2.1.05</t>
  </si>
  <si>
    <t>2.2.1.05.0001</t>
  </si>
  <si>
    <t>2.2.1.05.0002</t>
  </si>
  <si>
    <t>2.2.1.05.0003</t>
  </si>
  <si>
    <t>2.4</t>
  </si>
  <si>
    <t>2.4.1</t>
  </si>
  <si>
    <t>2.4.1.01</t>
  </si>
  <si>
    <t>2.4.1.01.0001</t>
  </si>
  <si>
    <t>2.4.6</t>
  </si>
  <si>
    <t>2.4.6.02</t>
  </si>
  <si>
    <t>2.4.6.02.0002</t>
  </si>
  <si>
    <t>2.4.6.99</t>
  </si>
  <si>
    <t>2.4.6.99.0001</t>
  </si>
  <si>
    <t>2.4.7</t>
  </si>
  <si>
    <t>2.4.7.01</t>
  </si>
  <si>
    <t>2.4.7.01.0001</t>
  </si>
  <si>
    <t>3.1</t>
  </si>
  <si>
    <t>3.1.1</t>
  </si>
  <si>
    <t>3.1.1.01</t>
  </si>
  <si>
    <t>3.1.1.01.0001</t>
  </si>
  <si>
    <t>3.3</t>
  </si>
  <si>
    <t>3.3.1</t>
  </si>
  <si>
    <t>3.3.1.01</t>
  </si>
  <si>
    <t>3.3.1.01.0003</t>
  </si>
  <si>
    <t>3.3.2</t>
  </si>
  <si>
    <t>3.3.2.01</t>
  </si>
  <si>
    <t>3.3.2.01.0003</t>
  </si>
  <si>
    <t>3.3.6</t>
  </si>
  <si>
    <t>3.3.6.01</t>
  </si>
  <si>
    <t>3.3.6.01.0002</t>
  </si>
  <si>
    <t>3.3.9</t>
  </si>
  <si>
    <t>3.3.9.09</t>
  </si>
  <si>
    <t>3.3.9.09.0001</t>
  </si>
  <si>
    <t>4.1</t>
  </si>
  <si>
    <t>4.1.1</t>
  </si>
  <si>
    <t>4.1.1.01</t>
  </si>
  <si>
    <t>4.1.1.01.0001</t>
  </si>
  <si>
    <t>4.1.1.01.0007</t>
  </si>
  <si>
    <t>4.1.1.01.0008</t>
  </si>
  <si>
    <t>4.1.1.01.0009</t>
  </si>
  <si>
    <t>4.1.1.01.0013</t>
  </si>
  <si>
    <t>4.1.1.02</t>
  </si>
  <si>
    <t>4.1.1.02.0001</t>
  </si>
  <si>
    <t>4.1.1.02.0002</t>
  </si>
  <si>
    <t>4.1.1.02.0004</t>
  </si>
  <si>
    <t>4.1.1.02.0005</t>
  </si>
  <si>
    <t>4.1.1.02.0006</t>
  </si>
  <si>
    <t>4.1.1.02.0007</t>
  </si>
  <si>
    <t>4.1.1.03</t>
  </si>
  <si>
    <t>4.1.1.03.0001</t>
  </si>
  <si>
    <t>4.1.1.03.0002</t>
  </si>
  <si>
    <t>4.1.1.03.0005</t>
  </si>
  <si>
    <t>4.1.1.03.0006</t>
  </si>
  <si>
    <t>4.1.1.03.0010</t>
  </si>
  <si>
    <t>4.1.1.03.0011</t>
  </si>
  <si>
    <t>4.1.3</t>
  </si>
  <si>
    <t>4.1.3.01</t>
  </si>
  <si>
    <t>4.1.3.01.0001</t>
  </si>
  <si>
    <t>4.1.3.01.0002</t>
  </si>
  <si>
    <t>4.1.3.01.0003</t>
  </si>
  <si>
    <t>4.1.3.01.0005</t>
  </si>
  <si>
    <t>4.1.3.01.0014</t>
  </si>
  <si>
    <t>4.1.3.01.0017</t>
  </si>
  <si>
    <t>4.1.3.01.0997</t>
  </si>
  <si>
    <t>4.1.4</t>
  </si>
  <si>
    <t>4.1.4.01</t>
  </si>
  <si>
    <t>4.1.4.01.0002</t>
  </si>
  <si>
    <t>4.1.4.01.0008</t>
  </si>
  <si>
    <t>4.1.6</t>
  </si>
  <si>
    <t>4.1.6.01</t>
  </si>
  <si>
    <t>4.1.6.01.0001</t>
  </si>
  <si>
    <t>4.1.6.01.0004</t>
  </si>
  <si>
    <t>4.1.6.01.0006</t>
  </si>
  <si>
    <t>4.1.6.01.0012</t>
  </si>
  <si>
    <t>4.1.6.01.0014</t>
  </si>
  <si>
    <t>4.1.6.01.0015</t>
  </si>
  <si>
    <t>4.1.6.01.0016</t>
  </si>
  <si>
    <t>4.1.6.02</t>
  </si>
  <si>
    <t>4.1.6.02.0001</t>
  </si>
  <si>
    <t>4.1.6.02.0004</t>
  </si>
  <si>
    <t>4.1.6.02.0005</t>
  </si>
  <si>
    <t>4.1.6.02.0006</t>
  </si>
  <si>
    <t>4.1.6.02.0007</t>
  </si>
  <si>
    <t>4.1.6.02.0010</t>
  </si>
  <si>
    <t>4.2</t>
  </si>
  <si>
    <t>4.2.1</t>
  </si>
  <si>
    <t>4.2.1.01</t>
  </si>
  <si>
    <t>4.2.1.01.0001</t>
  </si>
  <si>
    <t>4.2.1.01.0007</t>
  </si>
  <si>
    <t>4.2.1.01.0008</t>
  </si>
  <si>
    <t>4.2.1.01.0009</t>
  </si>
  <si>
    <t>4.2.1.02</t>
  </si>
  <si>
    <t>4.2.1.02.0001</t>
  </si>
  <si>
    <t>4.2.1.02.0002</t>
  </si>
  <si>
    <t>4.2.1.02.0004</t>
  </si>
  <si>
    <t>4.2.1.02.0005</t>
  </si>
  <si>
    <t>4.2.1.02.0006</t>
  </si>
  <si>
    <t>4.2.1.02.0007</t>
  </si>
  <si>
    <t>4.2.1.03</t>
  </si>
  <si>
    <t>4.2.1.03.0001</t>
  </si>
  <si>
    <t>4.2.1.03.0002</t>
  </si>
  <si>
    <t>4.2.1.03.0004</t>
  </si>
  <si>
    <t>4.2.1.03.0005</t>
  </si>
  <si>
    <t>4.2.1.03.0006</t>
  </si>
  <si>
    <t>4.2.1.03.0010</t>
  </si>
  <si>
    <t>4.2.1.03.0011</t>
  </si>
  <si>
    <t>4.2.2</t>
  </si>
  <si>
    <t>4.2.2.01</t>
  </si>
  <si>
    <t>4.2.2.01.0001</t>
  </si>
  <si>
    <t>4.2.2.01.0003</t>
  </si>
  <si>
    <t>4.2.3</t>
  </si>
  <si>
    <t>4.2.3.01</t>
  </si>
  <si>
    <t>4.2.3.01.0001</t>
  </si>
  <si>
    <t>4.2.3.01.0002</t>
  </si>
  <si>
    <t>4.2.3.01.0003</t>
  </si>
  <si>
    <t>4.2.3.01.0005</t>
  </si>
  <si>
    <t>4.2.3.01.0006</t>
  </si>
  <si>
    <t>4.2.3.01.0007</t>
  </si>
  <si>
    <t>4.2.3.01.0008</t>
  </si>
  <si>
    <t>4.2.3.01.0014</t>
  </si>
  <si>
    <t>4.2.3.01.0017</t>
  </si>
  <si>
    <t>4.2.3.01.0019</t>
  </si>
  <si>
    <t>4.2.4</t>
  </si>
  <si>
    <t>4.2.4.01</t>
  </si>
  <si>
    <t>4.2.4.01.0002</t>
  </si>
  <si>
    <t>4.2.4.01.0005</t>
  </si>
  <si>
    <t>4.2.4.01.0006</t>
  </si>
  <si>
    <t>4.2.4.01.0012</t>
  </si>
  <si>
    <t>4.2.5</t>
  </si>
  <si>
    <t>4.2.5.01</t>
  </si>
  <si>
    <t>4.2.5.01.0001</t>
  </si>
  <si>
    <t>4.2.5.02</t>
  </si>
  <si>
    <t>4.2.5.02.0001</t>
  </si>
  <si>
    <t>4.2.5.04</t>
  </si>
  <si>
    <t>4.2.5.04.0001</t>
  </si>
  <si>
    <t>4.2.6</t>
  </si>
  <si>
    <t>4.2.6.01</t>
  </si>
  <si>
    <t>4.2.6.01.0001</t>
  </si>
  <si>
    <t>4.2.6.01.0003</t>
  </si>
  <si>
    <t>4.2.6.01.0004</t>
  </si>
  <si>
    <t>4.2.6.01.0006</t>
  </si>
  <si>
    <t>4.2.6.01.0007</t>
  </si>
  <si>
    <t>4.2.6.01.0008</t>
  </si>
  <si>
    <t>4.2.6.01.0011</t>
  </si>
  <si>
    <t>4.2.6.01.0014</t>
  </si>
  <si>
    <t>4.2.6.01.0016</t>
  </si>
  <si>
    <t>4.2.6.01.0017</t>
  </si>
  <si>
    <t>4.2.6.02</t>
  </si>
  <si>
    <t>4.2.6.02.0001</t>
  </si>
  <si>
    <t>4.2.6.02.0002</t>
  </si>
  <si>
    <t>4.2.6.02.0004</t>
  </si>
  <si>
    <t>4.2.6.02.0005</t>
  </si>
  <si>
    <t>4.2.6.02.0006</t>
  </si>
  <si>
    <t>4.2.6.02.0007</t>
  </si>
  <si>
    <t>4.2.6.02.0009</t>
  </si>
  <si>
    <t>4.2.6.02.0010</t>
  </si>
  <si>
    <t>4.2.6.02.0013</t>
  </si>
  <si>
    <t>4.2.6.02.0014</t>
  </si>
  <si>
    <t>4.2.6.02.0015</t>
  </si>
  <si>
    <t>4.2.7</t>
  </si>
  <si>
    <t>4.2.7.01</t>
  </si>
  <si>
    <t>4.2.7.01.0020</t>
  </si>
  <si>
    <t>4.2.9</t>
  </si>
  <si>
    <t>4.2.9.10</t>
  </si>
  <si>
    <t>4.2.9.10.0001</t>
  </si>
  <si>
    <t>5.1</t>
  </si>
  <si>
    <t>5.1.1</t>
  </si>
  <si>
    <t>5.1.1.01</t>
  </si>
  <si>
    <t>5.1.1.02</t>
  </si>
  <si>
    <t>5.1.2</t>
  </si>
  <si>
    <t>5.1.2.03</t>
  </si>
  <si>
    <t xml:space="preserve">Contas a receber - Leilão </t>
  </si>
  <si>
    <t xml:space="preserve">Trabalhista </t>
  </si>
  <si>
    <t xml:space="preserve">Civeis </t>
  </si>
  <si>
    <t xml:space="preserve">Atualizações </t>
  </si>
  <si>
    <t xml:space="preserve">Adições </t>
  </si>
  <si>
    <t xml:space="preserve">Reservões e baixas </t>
  </si>
  <si>
    <t xml:space="preserve">Provavel </t>
  </si>
  <si>
    <t>Custos e despesas por função</t>
  </si>
  <si>
    <t>Custos dos serviços prestados</t>
  </si>
  <si>
    <t>Despesas operacionais</t>
  </si>
  <si>
    <t>Custos e despesas por natureza</t>
  </si>
  <si>
    <t>Pessoal (i)</t>
  </si>
  <si>
    <t>Serviços de Terceiros (ii)</t>
  </si>
  <si>
    <t>Gerais de Funcionamento das instalações (iii)</t>
  </si>
  <si>
    <t>Gerais da Administração (iv)</t>
  </si>
  <si>
    <t xml:space="preserve">Impostos, Taxas e Contribuições </t>
  </si>
  <si>
    <t>Provisão para contingências</t>
  </si>
  <si>
    <t xml:space="preserve">Materiais </t>
  </si>
  <si>
    <t>20.</t>
  </si>
  <si>
    <t>21.</t>
  </si>
  <si>
    <t>Receita Financeira (i)</t>
  </si>
  <si>
    <t xml:space="preserve"> Rendas de Variações Monetárias </t>
  </si>
  <si>
    <t xml:space="preserve">Total </t>
  </si>
  <si>
    <t>Despesas financeiras (ii)</t>
  </si>
  <si>
    <t xml:space="preserve"> Variações monetárias</t>
  </si>
  <si>
    <t>Resultado financeiro líquido</t>
  </si>
  <si>
    <t xml:space="preserve">Ativos Financeiros </t>
  </si>
  <si>
    <t>CA</t>
  </si>
  <si>
    <t xml:space="preserve">VJORA </t>
  </si>
  <si>
    <t xml:space="preserve">VJR </t>
  </si>
  <si>
    <t>Caixa e equivalente de caixa</t>
  </si>
  <si>
    <t xml:space="preserve">Passivos Financeiros </t>
  </si>
  <si>
    <t xml:space="preserve">Fornecedores </t>
  </si>
  <si>
    <t>CA - Custo amortizado</t>
  </si>
  <si>
    <t xml:space="preserve">VJORA - Valor justo por meio dos outros resultados abrangentes </t>
  </si>
  <si>
    <t>VJR - Valor justo por meio do resultado</t>
  </si>
  <si>
    <t xml:space="preserve">Responsabilidade civil </t>
  </si>
  <si>
    <t xml:space="preserve">Modalidade </t>
  </si>
  <si>
    <t xml:space="preserve">Montante cobertura </t>
  </si>
  <si>
    <t xml:space="preserve">Vigência </t>
  </si>
  <si>
    <t>1.1.2.03.0032</t>
  </si>
  <si>
    <t>IRPJ Saldo negativo 2021</t>
  </si>
  <si>
    <t>1.1.2.03.0033</t>
  </si>
  <si>
    <t>CSLL Saldo negativo 2021</t>
  </si>
  <si>
    <t>1.1.2.03.0034</t>
  </si>
  <si>
    <t>COSIRF a restituir</t>
  </si>
  <si>
    <t>2.1.1.04.0972</t>
  </si>
  <si>
    <t>CONSELHO REGIONAL DE ENGENHARIA E AGRONOMIA DO RIO DE JANEIRO</t>
  </si>
  <si>
    <t>2.1.1.04.0983</t>
  </si>
  <si>
    <t>PLM - AUDITORIA E CONSULTORIA LTDA</t>
  </si>
  <si>
    <t>2.1.1.04.0984</t>
  </si>
  <si>
    <t>SANDRA TERESA PETRUNGARO JORDAO</t>
  </si>
  <si>
    <t>2.2.1.05.0004</t>
  </si>
  <si>
    <t>Provisões p/ Contingências Processo Administrativo</t>
  </si>
  <si>
    <t>4.2.5.04.0004</t>
  </si>
  <si>
    <t>Provisões p/ Contingências Processos Administrativos</t>
  </si>
  <si>
    <t>GESTAO QUANTUM CENTRO DE PROCESSAMENTO CONTABIL</t>
  </si>
  <si>
    <t>1.1.2.03.0035</t>
  </si>
  <si>
    <t>Ajustes retrospectivos</t>
  </si>
  <si>
    <t>Débitos</t>
  </si>
  <si>
    <t>Créditos</t>
  </si>
  <si>
    <t>Saldo Atual</t>
  </si>
  <si>
    <t>2.1.1.04.0960</t>
  </si>
  <si>
    <t>DIVERSA CONSULTORIA E PLANEJAMENTO EM SUSTENTABILIDADE</t>
  </si>
  <si>
    <t>2.1.1.04.0961</t>
  </si>
  <si>
    <t>EMERSON PROCESS MANAGEMENT LTDA</t>
  </si>
  <si>
    <t>2.1.1.04.0963</t>
  </si>
  <si>
    <t>MENEZES NIEBUHR SOCIEDADE DE ADVOGADOS</t>
  </si>
  <si>
    <t>2.1.1.04.0967</t>
  </si>
  <si>
    <t>01707536/000104</t>
  </si>
  <si>
    <t>ISH TECNOLOGIA S/A</t>
  </si>
  <si>
    <t>2.1.1.04.0971</t>
  </si>
  <si>
    <t>CENTRO LATINO-AMERICANO DE ESTUDOS JURIDICOS LTDA</t>
  </si>
  <si>
    <t>2.1.1.04.0973</t>
  </si>
  <si>
    <t>FS TECNOLOGIA TREINAMENTO EM DESENVOLVIMENTO</t>
  </si>
  <si>
    <t>2.1.1.04.0981</t>
  </si>
  <si>
    <t>SANEMIX MUNDO DOS SERVICOS EIRELI</t>
  </si>
  <si>
    <t>2.1.1.04.0985</t>
  </si>
  <si>
    <t>ALFA COMERCIO E DISTRIBUIDORA DE PLASTICOS LTDA</t>
  </si>
  <si>
    <t>2.1.1.04.0986</t>
  </si>
  <si>
    <t>EXACTTUS CONSULTORIA ATUARIAL LTDA</t>
  </si>
  <si>
    <t>2.1.1.04.0987</t>
  </si>
  <si>
    <t>INFRA JORNALISMO LTDA</t>
  </si>
  <si>
    <t>2.1.1.04.0988</t>
  </si>
  <si>
    <t>ASSOCIACAO CCS BRASIL</t>
  </si>
  <si>
    <t>2.1.1.04.0989</t>
  </si>
  <si>
    <t>DIGITALNET BRASIL SISTEMAS DE COLABORACAO LTDA</t>
  </si>
  <si>
    <t>2.1.1.04.0990</t>
  </si>
  <si>
    <t>WOOD CENTER COMERCIO - EIRELI</t>
  </si>
  <si>
    <t>2.1.1.04.0991</t>
  </si>
  <si>
    <t>M &amp; J OFICINA DE CADEIRAS EIRELI ME</t>
  </si>
  <si>
    <t>2.1.1.04.0992</t>
  </si>
  <si>
    <t>SOLAR SOLUTIONS SOLUÇÕES SOLARES LTDA</t>
  </si>
  <si>
    <t>2.1.1.04.0993</t>
  </si>
  <si>
    <t>MARILIA REBELLO &amp; ASSOCIADOS LTDA</t>
  </si>
  <si>
    <t>2.1.1.04.0994</t>
  </si>
  <si>
    <t>AVALOR ENGENHARIA DE AVALIACOES LTDA</t>
  </si>
  <si>
    <t>2.1.1.04.0995</t>
  </si>
  <si>
    <t>CURSOS VAI QUE DA LTDA - ME</t>
  </si>
  <si>
    <t>2.1.1.04.0996</t>
  </si>
  <si>
    <t>VICMA COMERCIO DE EQUIPAMENTOS PARA ESCRITORIO LTDA</t>
  </si>
  <si>
    <t>2.1.1.04.0997</t>
  </si>
  <si>
    <t>BARCINO TREINAMENTO E GESTAO LTDA-ME</t>
  </si>
  <si>
    <t>2.1.1.04.1000</t>
  </si>
  <si>
    <t>PREMIER CURSOS LTDA</t>
  </si>
  <si>
    <t>2.1.1.04.1001</t>
  </si>
  <si>
    <t>EXXPRESS BRINDES LTDA</t>
  </si>
  <si>
    <t>2.1.1.04.1002</t>
  </si>
  <si>
    <t>DATA CORPORE SERVIÇOS DE TELECOMUNICAÇÕES E INFORMATICA LTDA</t>
  </si>
  <si>
    <t>2.1.1.04.1003</t>
  </si>
  <si>
    <t>MTSI COMERCIO E SERVICOS DE IMPRESSAO EIRELI</t>
  </si>
  <si>
    <t>2.1.1.04.1004</t>
  </si>
  <si>
    <t>JORDAO CONSULTORIA E PROJETOS LTDA</t>
  </si>
  <si>
    <t>2.1.1.04.1005</t>
  </si>
  <si>
    <t>FBM ESCOLA DE NEGOCIOS LTDA</t>
  </si>
  <si>
    <t>2.1.1.04.1006</t>
  </si>
  <si>
    <t>ABIOGAS - ASSOCIACAO BRASILEIRA DO BIOGAS E DO BIOMETAN</t>
  </si>
  <si>
    <t>2.1.1.04.1007</t>
  </si>
  <si>
    <t>IDEALPRINT PRODUÇÕES GRAFICAS LTDA</t>
  </si>
  <si>
    <t>2.1.1.04.1008</t>
  </si>
  <si>
    <t>SYSTECH SISTEMAS E TECNOLOGIA EM INFORMÁTICA</t>
  </si>
  <si>
    <t>2.1.1.04.1009</t>
  </si>
  <si>
    <t>ANUBIS INFORMATICA LTDA</t>
  </si>
  <si>
    <t>2.1.1.04.1010</t>
  </si>
  <si>
    <t>THAP BRINDES LTDA</t>
  </si>
  <si>
    <t>2.1.1.04.1011</t>
  </si>
  <si>
    <t>PRIMETECH INFORMATICA EIRELI</t>
  </si>
  <si>
    <t>Saldos em 31/12/2022</t>
  </si>
  <si>
    <t>EMPRESA DE PESQUISA ENERGETICA - EPE</t>
  </si>
  <si>
    <t>Razão Contábil Analítico</t>
  </si>
  <si>
    <t xml:space="preserve"> </t>
  </si>
  <si>
    <t xml:space="preserve">  </t>
  </si>
  <si>
    <t xml:space="preserve">   </t>
  </si>
  <si>
    <t xml:space="preserve">    </t>
  </si>
  <si>
    <t xml:space="preserve">     </t>
  </si>
  <si>
    <t xml:space="preserve">      </t>
  </si>
  <si>
    <t xml:space="preserve">       </t>
  </si>
  <si>
    <t>06.977.747/0001-80</t>
  </si>
  <si>
    <t>01/01/2021 a 31/12/2021</t>
  </si>
  <si>
    <t>Conta:</t>
  </si>
  <si>
    <t>Sd. Ant.:</t>
  </si>
  <si>
    <t>Data</t>
  </si>
  <si>
    <t>Partida</t>
  </si>
  <si>
    <t>Complemento</t>
  </si>
  <si>
    <t>Doc.</t>
  </si>
  <si>
    <t>C.Custo</t>
  </si>
  <si>
    <t>Desc. C. Partida</t>
  </si>
  <si>
    <t>VALOR REFERENTE VARIAÇÃO MONETARIA RISCOS FISCAIS TRABALHISTA CONFORME PLANILHA CONJUR 1º TRIMESTRE/2021</t>
  </si>
  <si>
    <t>Prov. Contingências</t>
  </si>
  <si>
    <t>VALOR REFERENTE PROC. 0011113.21.2015.5.01.0244 TRANSF. PARA LONGO RPAZO CONF. PLANILHA CONJUR 1º. TRIMESTRE/2021</t>
  </si>
  <si>
    <t>Provisão p/ Contingê</t>
  </si>
  <si>
    <t>VALOR REFERENTE PROC. 0100803-91.2016.5.01.0061 TRANSF. PARA LONGO RPAZO CONF. PLANILHA CONJUR 1º. TRIMESTRE/2021</t>
  </si>
  <si>
    <t>VALOR REFERENTE  CORREÇÃO MONETARIA AÇÕESTRABALHISTASL CONF. RELATORIO CONJUR 2ºTRIM-2021</t>
  </si>
  <si>
    <t>VALOR REFERENTE PROVISÃO PARA ATUALIIZAÇÃO MONETÁRIA - MÊS 07/2021.</t>
  </si>
  <si>
    <t>06_2021</t>
  </si>
  <si>
    <t>VALOR REFERENTE REVERSÃO DE ATUALIZAÇÃO MONETÁRIA PARA CONTINGÊNCIAS TRABALHISTAS.</t>
  </si>
  <si>
    <t>09_2021</t>
  </si>
  <si>
    <t>Reversão Variação Mo</t>
  </si>
  <si>
    <t>VALOR REFERENTE ATUALIAÇÃO MONETÁRIAS DAS PROVISÕES PARA CONTIGÊNCIAIS FISCAL 10/2021</t>
  </si>
  <si>
    <t>10_2021</t>
  </si>
  <si>
    <t>VALOR REFERENTE ATUALIZAÇÃO MONETÁRIA DAS PROVIÇÕES PARA CONTIGENCIAIS FISCAIS 11.2021</t>
  </si>
  <si>
    <t>11_2021</t>
  </si>
  <si>
    <t>VALOR REFERENTE REVERSAO DE PROVISAO DE CONTIGENCIAIS TRABALHISTA 04° TRIM</t>
  </si>
  <si>
    <t>12_2021</t>
  </si>
  <si>
    <t>Contingência Trabalh</t>
  </si>
  <si>
    <t>VALOR REFERENTE  CORREÇÃO MONETARIA AÇÕES TRABALHISTAS CONF. RELATORIO CONJUR 2ºTRIM-2021</t>
  </si>
  <si>
    <t>07_2021</t>
  </si>
  <si>
    <t>VALOR REFERENTE PROVISÃO PARA ATUALIIZAÇÃO MONETÁRIA - MÊS 08/2021.</t>
  </si>
  <si>
    <t>08_2021</t>
  </si>
  <si>
    <t>VALOR REFERENTE REVERSAO PARA CONTIGENCIAS TRABALHISTA 04° TRIM 2021</t>
  </si>
  <si>
    <t>VALOR REFERENTE REVERSÃO PROV. PROC. 5045000-02.2019.4.02.5101 -  PL DE 3 EMPREGADOS PETROBRAS SA</t>
  </si>
  <si>
    <t>VALOR REFERENTE VARIAÇÃO MONETARIA RISCOS FISCAIS CIVEIS CONFORME PLANILHA CONJUR 1º TRIMESTRE/2021</t>
  </si>
  <si>
    <t>VALOR REFERENTE TRANSFERENCIA PARA CURO PRAZO CONF. RELATORIO CONJUR 2ºTRIM-2021</t>
  </si>
  <si>
    <t>VALOR REFERENTE  CORREÇÃO MONETARIA AÇÕES CIVEL CONF. RELATORIO CONJUR 2ºTRIM-2021</t>
  </si>
  <si>
    <t>VALOR REFERENTE ATUALIZAÇÃO MONETÁRIA SOBRE PROVISÕES PARA CONTINGÊNCIAS.</t>
  </si>
  <si>
    <t>VALOR REFERENTE PROVISÃO PARA CONTIGENCIAS CIVIS 04° TRIM 2021</t>
  </si>
  <si>
    <t>VALOR REFERENTE VARIAÇÃO MONETARIA RISCOS FISCAIS TRIBUTARIOS CONFORME PLANILHA CONJUR 1º TRIMESTRE/2021</t>
  </si>
  <si>
    <t>VALOR REFERENTE  CORREÇÃO MONETARIA AÇÕES FISCAIS CONF. RELATORIO CONJUR 2ºTRIM-2021</t>
  </si>
  <si>
    <t>VALOR REFERENTE PROVISÃO PARA ATUALIIZAÇÃO MONETÁRIA - MÊS 08/2021</t>
  </si>
  <si>
    <t>VALOR REFERENTE ATUALIZAÇÃO MONETÁRIA DAS PROVISÕES PARA CONTINGÊNCIAS FISCAIS.</t>
  </si>
  <si>
    <t>VALOR REFERENTE PROVISÃO PARA CONTIGENCIAS FISCAIS 04° TRIM 2021</t>
  </si>
  <si>
    <t>01/01/2022 a 30/09/2022</t>
  </si>
  <si>
    <t>211111 Provisão p/ Contingências Trabalhistas</t>
  </si>
  <si>
    <t>VALOR REFERENTE PROVISÃO PARA CONTIGENCIAS TRABALHISTAS 01º TRIM 2022</t>
  </si>
  <si>
    <t>01_2022</t>
  </si>
  <si>
    <t>VALOR REFERENTE PROVISÃO PARA CONTIGENCIAS TRABALHISTAS 01º TRIM 2022.</t>
  </si>
  <si>
    <t>VALOR REFERENTE TRANSFÊRENCIAS DOS PROCESSOS 0100803-91.2016.5.01.0061 E 0011113-21.2015.5.01.0244, PARA CURTO PRAZO.</t>
  </si>
  <si>
    <t>03_2022</t>
  </si>
  <si>
    <t>VALOR REFERENTE PROVISÃO PARA CONTIGÊNCIAS - TRABALHISTAS - CURTO PRAZO.</t>
  </si>
  <si>
    <t>04_2022</t>
  </si>
  <si>
    <t>VALOR REFERENTE PROVISÃO PARA CONTIGÊNCIAS - TRABALHISTA - CURTO PRAZO.</t>
  </si>
  <si>
    <t>05_2022</t>
  </si>
  <si>
    <t>06_2022</t>
  </si>
  <si>
    <t>VALOR REFERENTE PROVISÃO PARA CONTINGÊNCIAS - CURTO PRAZO - TRABALHISTA.</t>
  </si>
  <si>
    <t>07_2022</t>
  </si>
  <si>
    <t>08_2022</t>
  </si>
  <si>
    <t>VALOR REFERENTE ATUALIZAÇÃO CONTIGÊNCIA TRABALHISTA DE ACORDO COM O RELATÓRIO DE RISCOS FISCAIS 09.2022</t>
  </si>
  <si>
    <t>09_2022</t>
  </si>
  <si>
    <t>22151 Provisão p/ Contingências Trabalhistas</t>
  </si>
  <si>
    <t>VALOR REFERENTE PROVISÃO PARA CONTIGÊNCIAS - TRABALHISTAS. LONGO PRAZO.</t>
  </si>
  <si>
    <t>VALOR REFERENTE PROCESSO TRABALHISTA Nº 0100431-2.2021.5.01.0060.</t>
  </si>
  <si>
    <t>Provisões p/ Conting</t>
  </si>
  <si>
    <t>VALOR REFERENTE PROVISÃO PARA CONTIGÊNCIAS - TRABALHISTAS - LONGO PRAZO.</t>
  </si>
  <si>
    <t>VALOR REFERENTE PROVISÃO PARA CONTIGÊNCIAS - TRABALHISTA - LONGO PRAZO.</t>
  </si>
  <si>
    <t>VALOR REFERENTE PROVISÃO PARA CONTINGÊNCIAS - LONGO PRAZO - TRABALHISTA.</t>
  </si>
  <si>
    <t>VALOR REFERENTE PROCESSO 0100646-78.2022.5.01.0071 TRABALHISTA DE NATUREZA PROVÁVEL DE ACORDO COM RELATÓRIO DA CONJUR 09/2022</t>
  </si>
  <si>
    <t>VALOR REFERENTE PROVISÃO PARA CONTIGENCIAS CIVEIS 01º TRIM 2022</t>
  </si>
  <si>
    <t>VALOR REFERENTE PROVISÃO PARA CONTIGENCIAS CIVEIS 01º TRIM 2022.</t>
  </si>
  <si>
    <t>VALOR REFERENTE REVERSÃO DE PROVISÃO PARA CONTIGÊNCIAS - CIVIS - PROCESSO Nº 0029575-77.2017.4.01.3400.</t>
  </si>
  <si>
    <t>VALOR REFERENTE PROVISÃO PARA CONTIGÊNCIAS - CIVIS - LONGO PRAZO.</t>
  </si>
  <si>
    <t>VALOR REFERENTE PROVISÃO PARA CONTIGÊNCIAS - CIVIL - LONGO PRAZO.</t>
  </si>
  <si>
    <t>VALOR REFERENTE ESTORNO DE PROVISÃO PARA CONTIGÊNCIAS - CIVIL - LONGO PRAZO.</t>
  </si>
  <si>
    <t>VALOR REFERENTE PROVISÃO PARA CONTINGÊNCIAS - 07/2022.</t>
  </si>
  <si>
    <t>VALOR REFERENTE PROVISÃO PARA CONTINGÊNCIAS - LONGO PRAZO - CIVIL.</t>
  </si>
  <si>
    <t>VALOR REFERENTE ATUALIZAÇÃO CONTIGÊNCIA CIVIS  DE ACORDO COM O RELATÓRIO DE RISCOS FISCAIS 09.2022</t>
  </si>
  <si>
    <t>VALOR REFERENTE PROVISÃO PARA CONTIGENCIAS FISCAIS 01º TRIM 2022</t>
  </si>
  <si>
    <t>VALOR REFERENTE PROVISÃO PARA CONTIGENCIAS TRIBUTÁRIAS 01º TRIM 2022.</t>
  </si>
  <si>
    <t>VALOR REFERENTE PROVISÃO PARA CONTIGÊNCIA TRIBUTÁRIA A LONGO PRAZO</t>
  </si>
  <si>
    <t>VALOR REFERENTE PROVISÃO PARA CONTIGÊNCIAS - TRIBUTARIA - LONGO PRAZO.</t>
  </si>
  <si>
    <t>VALOR REFERENTE PROVISÃO PARA CONTIGÊNCIAS - TRIBUTÁRIA - LONGO PRAZO.</t>
  </si>
  <si>
    <t>VALOR REFERENTE PROVISÃO PARA CONTINGÊNCIAS - LONGO PRAZO - TRIBUTÁRIA.</t>
  </si>
  <si>
    <t>VALOR REFERENTE PROCESSO 04/354.122/2019 NATUREZA TRIBUTARIA CONFORME RELATÓRIO DA CONJUR</t>
  </si>
  <si>
    <t>VALOR REFERENTE PROCESSO 2022301727 CREA/RJ FISCALIZAÇÃO DE ATIVIDADE PROFISSIONAL CLASSIFICADO COMO PROVÁVEL NO RELATÓRIO DA CONJUR</t>
  </si>
  <si>
    <t>débito</t>
  </si>
  <si>
    <t>Crédito</t>
  </si>
  <si>
    <t>Variação do pagto</t>
  </si>
  <si>
    <t>Variação do total BP</t>
  </si>
  <si>
    <t>VALOR REFERENTE ATUALIZAÇÃO MONETÁRIA 01/2021 - SELIC 0,149486%</t>
  </si>
  <si>
    <t>01_2021</t>
  </si>
  <si>
    <t>Rendas de Variações</t>
  </si>
  <si>
    <t>VALOR REFERENTE ATUALIZAÇÃO MONETÁRIA DE TRIBUTOS - 02/2021.</t>
  </si>
  <si>
    <t>02_2021</t>
  </si>
  <si>
    <t>VALOR REFERENTE ATUALIZAÇÃO MONETÁRIA MÊS 03/2021.</t>
  </si>
  <si>
    <t>03_2021</t>
  </si>
  <si>
    <t>VALOR REFERENTE ATUALIZAÇÃO MONETÁRIA DO MÊS 04/2021.</t>
  </si>
  <si>
    <t>04_2021</t>
  </si>
  <si>
    <t>VALOR REFERENTE ATUALIZAÇÃO MONETÁRIA 05/2021 - SELIC 0,257023%</t>
  </si>
  <si>
    <t>05_2021</t>
  </si>
  <si>
    <t>VALOR REFERENTE ATULAIZAÇÃO MONETÁRIA MÊS 06/2021.</t>
  </si>
  <si>
    <t>DOC GERADO PELO SCDP PROC ATUALIZAÇÃO MNETÁRIA - SELIC 0,355616%</t>
  </si>
  <si>
    <t>VALOR REFERENTE ATUALIZAÇÃO MONETÁRIA - 08/2021 - SELIC 0,407941%</t>
  </si>
  <si>
    <t>VALOR REFERENTE ATUALIZAÇÃO MONETÁRIA MÊS 09/201 - SELIC 0,418213 %</t>
  </si>
  <si>
    <t>VALOR REFERENTE ATUALIZAÇÃO MONETÁRIA MÊS 09/2021 - SELIC 0,49%</t>
  </si>
  <si>
    <t>VALOR REFERENTE ATUALIZAÇÃO MONETÁRIA MÊS 11/2021 - SELIC 0,59%</t>
  </si>
  <si>
    <t>VALOR REFERENTE ATUALIZAÇÃO MONETÁRIA MÊS 12/2021 - SELIC 0,77</t>
  </si>
  <si>
    <t>VALOR REFERENTE VALOR REFERENTE DARF IRRF - COD 0561 - PAGAMENTO DE FERIAS - DE 01.01 A 15.01.2021 - 68 FUNCIONARIOS.</t>
  </si>
  <si>
    <t>12_2020</t>
  </si>
  <si>
    <t>IRRF a Recolher de E</t>
  </si>
  <si>
    <t>VALOR REFERENTE PAGAMENTO DE FERIAS - DE 3 A 14 DE JANEIRO DE 2022 - 56 FUNCIONARIOS IRRF COD 0561.</t>
  </si>
  <si>
    <t>2021DF800521</t>
  </si>
  <si>
    <t>Receita Cota Orçamen</t>
  </si>
  <si>
    <t>VALOR REFERENTE PAGAMENTO DE FERIAS - ALEXANDRE CHIGANER - IRRF COD 0561.</t>
  </si>
  <si>
    <t>2021DF800551</t>
  </si>
  <si>
    <t>VALOR REFERENTE ATUALIZAÇÃO MONETÁRIA MÊS 04/2021.</t>
  </si>
  <si>
    <t>VALOR REFERENTE ATUALIZAÇÃO MNETÁRIA - SELIC 0,355616%</t>
  </si>
  <si>
    <t>VALOR REFERENTE ATUALIZAÇÃO MONETÁRIA MÊS 12/2021 - SELIC 0,77%</t>
  </si>
  <si>
    <t>VALOR REFERENTE TRANSF. UTILIZAÇÃO PREJ. FISCAL CONFORME APURAÇÃO JAN/2020</t>
  </si>
  <si>
    <t>IRPJ s/ Prejuízo Fis</t>
  </si>
  <si>
    <t>VALOR REFERENTE AJUSTE DE BASE NEGATIVA DE IRPJ.</t>
  </si>
  <si>
    <t>IRPJ s/ Base de Cálc</t>
  </si>
  <si>
    <t>VALOR REFERENTE tTRANSF. UTILIZAÇÃO PREJ. FISCAL CONFORME APURAÇÃO JAN/2020</t>
  </si>
  <si>
    <t>20_2021</t>
  </si>
  <si>
    <t>VALOR REFERENTE AJUSTE DA ATUALIZAÇÃO MONETÁRIA SOBRE TRIBUTOS NO PERÍDO DE 01/01/2019 A 31/01/2021.</t>
  </si>
  <si>
    <t>VALOR REFERENTE CORREÇÃO MONETARIA A MAIOR EXERCÍCIOS ANTERIORES</t>
  </si>
  <si>
    <t>DESPESAS NÃO DEDUTIV</t>
  </si>
  <si>
    <t>VALOR REFERENTE TRSNAFERENCIA ENTRE CONTAS PARA MEHOR CLASSIFICAÇÃO DE IRRF PARA IRPJ A COMPENSAR</t>
  </si>
  <si>
    <t>VALOR REFERENTE AJUSTE ATUALIZAÇÃO MONETÁRIA MÊS 03/2021.</t>
  </si>
  <si>
    <t>VALOR REFERENTE TRNSFERENCIA ENTRE CONTAS PARA MELHOR CLASSIFICAÇÃO</t>
  </si>
  <si>
    <t>VALOR REFERENTE ATUALIZAÇÃO MONETÁRIA MÊS 06/2021.</t>
  </si>
  <si>
    <t>VALOR REFERENTE ATUALIZAÇÃO MONETÁRIA MÊS 01/2022 - SELIC 0,73%</t>
  </si>
  <si>
    <t>VALOR REFERENTE ATUALIZAÇÃO MONETÁRIA DO MÊS 02.2022. - SELIC 0,76%</t>
  </si>
  <si>
    <t>02_2022</t>
  </si>
  <si>
    <t>VALOR REFERENTE ATUALIZAÇÃO MONETÁRIA MÊS 03/2022 - SELIC 0,93%</t>
  </si>
  <si>
    <t>VALOR REFERENTE ATUALIZAÇÃO MONETÁRIA MÊS 04/2022. - SELIC 0,83%</t>
  </si>
  <si>
    <t>VALOR REFERENTE ATUALIZAÇÃO MONETÁRIA MÊS 05/2022 - SELIC 1,03%</t>
  </si>
  <si>
    <t>VALOR REFERENTE ATUALIZAÇÃO MONETÁRIA MÊS 06/2022 - SELIC 1,02%</t>
  </si>
  <si>
    <t>VALOR REFERENTE ATUALIZAÇÃO MONETÁRIA MÊS 07/2022 - SELIC 1,03%</t>
  </si>
  <si>
    <t>VALOR REFERENTE ATUALIZAÇÃO MONETÁRIA MÊS 08/2022 - SELIC 1,17%</t>
  </si>
  <si>
    <t>VALOR REFERENTE ATUALIZAÇÃO SELIC</t>
  </si>
  <si>
    <t>VALOR REFERENTE IRPJ PAGO POR ESTIMATIVA 062022</t>
  </si>
  <si>
    <t>VALOR REFERENTE IRPJ PAGO POR ESTIMATIVA 07.2022.</t>
  </si>
  <si>
    <t>VALOR REFERENTE IRPJ PAGO POR ESTIMATIVA 08.2022</t>
  </si>
  <si>
    <t>VALOR REFERENTE PROVISÃO DE IRPJ 09/2022</t>
  </si>
  <si>
    <t>VALOR REFERENTE CSLL PAGO POR ESTIMATIVA 06/2022</t>
  </si>
  <si>
    <t>VALOR REFERENTE CSLL PAGO POR ESTIMATIVA 07.2022.</t>
  </si>
  <si>
    <t>VALOR REFERENTE CSLL PAGO POR ESTIMATIVA 08.2022</t>
  </si>
  <si>
    <t>VALOR REFERENTE CSLL PAGO POR ESTIMATIVA 09.2022</t>
  </si>
  <si>
    <t>VALOR REFERENTE BAIXA DE IRRF 0561 ANTECIPADO EM DEZ/2021</t>
  </si>
  <si>
    <t>VALOR REFERENTE PAGAMENTO DE FERIAS - DE  1 A 15 FEVEREIRO DE 2022 - 13 FUNCIONARIOS.  IRRF COD 0561.</t>
  </si>
  <si>
    <t>2022DF800048</t>
  </si>
  <si>
    <t>VALOR REFERENTE VALOR REFERENTE BAIXA DE IRRF 0561 ANTECIPADO EM JAN/2022.</t>
  </si>
  <si>
    <t>VALOR REFERENTE PAGAMENTO DE FERIAS - DE 1 A 15 DE JUNHO DE 2022 - 30 FUNCIONARIOS. IRRF COD 0561.</t>
  </si>
  <si>
    <t>2022DF800285</t>
  </si>
  <si>
    <t>VALOR REFERENTE VALOR REFERENTE PAGAMENTO DE FERIAS - DE 1 A 15 DE JUNHO DE 2022 - 30 FUNCIONARIOS. IRRF COD 0561.</t>
  </si>
  <si>
    <t>VALOR REFERENTE PAGAMENTO DE FERIAS - DE 01 A 12 DE AGOSTO DE 2022 - 18 FUNCIONARIOS. IRRF COD 0561</t>
  </si>
  <si>
    <t>2022DF800431</t>
  </si>
  <si>
    <t>VALOR REFERENTE RESTITUIÇÃO DE IRRF S/ FÉRIAS - GUILHERME MAZOLLI FIALHO.</t>
  </si>
  <si>
    <t>VALOR REFERENTE PAGAMENTO POR ESTIMATIVA 2021.</t>
  </si>
  <si>
    <t>(-) Prejuízo Acumula</t>
  </si>
  <si>
    <t>VALOR REFERENTE ATULIZAÇÃO SELIC 01.2022</t>
  </si>
  <si>
    <t>VALOR REFERENTE ATULIZAÇÃO SELIC 02.2022</t>
  </si>
  <si>
    <t>VALOR REFERENTE ATULIZAÇÃO SELIC 03.2022</t>
  </si>
  <si>
    <t>VALOR REFERENTE ATULIZAÇÃO SELIC 04.2022</t>
  </si>
  <si>
    <t>VALOR REFERENTE ATULIZAÇÃO SELIC 05.2022</t>
  </si>
  <si>
    <t>VALOR REFERENTE ATULIZAÇÃO SELIC 06.2022</t>
  </si>
  <si>
    <t>VALOR REFERENTE ATULIZAÇÃO SELIC 07.2022</t>
  </si>
  <si>
    <t>VALOR REFERENTE ATULIZAÇÃO SELIC 08.2022</t>
  </si>
  <si>
    <t>VALOR REFERENTE ATULIZAÇÃO SELIC 09.2022</t>
  </si>
  <si>
    <t>VALOR REFERENTE ATUALIZAÇÃO SELIC CSLL SALDO NEGATIVO 2021 01.2022</t>
  </si>
  <si>
    <t>VALOR REFERENTE ATUALIZAÇÃO SELIC CSLL SALDO NEGATIVO 2021 02.2022</t>
  </si>
  <si>
    <t>VALOR REFERENTE ATUALIZAÇÃO SELIC CSLL SALDO NEGATIVO 2021 03.2022</t>
  </si>
  <si>
    <t>VALOR REFERENTE ATUALIZAÇÃO SELIC CSLL SALDO NEGATIVO 2021 04.2022</t>
  </si>
  <si>
    <t>VALOR REFERENTE ATUALIZAÇÃO SELIC CSLL SALDO NEGATIVO 2021 05.2022</t>
  </si>
  <si>
    <t>VALOR REFERENTE ATUALIZAÇÃO SELIC CSLL SALDO NEGATIVO 2021 06.2022</t>
  </si>
  <si>
    <t>VALOR REFERENTE ATUALIZAÇÃO SELIC CSLL SALDO NEGATIVO 2021 07.2022</t>
  </si>
  <si>
    <t>VALOR REFERENTE ATUALIZAÇÃO SELIC CSLL SALDO NEGATIVO 2021 08.2022</t>
  </si>
  <si>
    <t>VALOR REFERENTE ATUALIZAÇÃO SELIC CSLL SALDO NEGATIVO 2021 09.2022</t>
  </si>
  <si>
    <t>VALOR REFERENTE INSCRICAO DE 01 (UM) EMPREGADO NO CURSO ¿GCN - CURSO DE GESTAO EM CONTINUIDADE DE NEGOCIOS: CONCEITOS E GERENCIAMENTO¿, A SER REALIZADO ENTRE OS DIAS 18/07/2022 A 25/07/2022, REF: JUL/2022, DOCUMENTO: 6549 IN 1234 COD 6190</t>
  </si>
  <si>
    <t>2022DF800444</t>
  </si>
  <si>
    <t>Banco do Brasil cont</t>
  </si>
  <si>
    <t>VALOR REFERENTE ATUALIZAÇÃO MONETÁRIA 09/2022</t>
  </si>
  <si>
    <t>VALOR REFERENTE IMPOSTO RETIDO INDEVIDAMENTE FATURA 111958 IDEIAS TURISMO</t>
  </si>
  <si>
    <t>1_2022</t>
  </si>
  <si>
    <t>Ret IN 539/05 - IR/C</t>
  </si>
  <si>
    <t>VALOR REFERENTE COMPENSAÇÃO DO IMPOSTO RETIDO INDEVIDAMENTE DA FATURA 111958 IDEIAS TURISMO</t>
  </si>
  <si>
    <t>VALOR REFERENTE RESTITUICAO A EMPRESA DE PESQUISA ENERGETICA - EPE, UG 325001, CONFORME DESPACHO DECISORIO N. 666/2021-EADC1/DRF-GOIANIA/GO PERD COMP 10166.729871/2012-11</t>
  </si>
  <si>
    <t>2022RA000101</t>
  </si>
  <si>
    <t>VALOR REFERENTE VLR REF. VARIAÇÃO MONENTÁRIA PERD COMP 10166.729871/2012-11</t>
  </si>
  <si>
    <t>VALOR REFERENTE ATUALIZAÇÃO MONETÁRIA MÊS 01/201 - 0,5%</t>
  </si>
  <si>
    <t>VALOR REFERENTE ATUALIZAÇÃO MONETÁRIA DE DEPÓSITOS JUDICIAIS - 02/2021</t>
  </si>
  <si>
    <t>VALOR REFERENTE CORREÇÃO MONETARIA PELO IPCA-E TRIMESTRAL A MAIOR ANOS ANTERIORES</t>
  </si>
  <si>
    <t>VALOR REFERENTE ATUALIZAÇÃO MONETÁRIA DE DEPÓSITOS JUDICIAIS - IPCA TRIMESTRAL 0,8530805%</t>
  </si>
  <si>
    <t>VALOR REFERENTE ATUALIZAÇÃO MONETÁRIA DE DEPÓSITOS JUDICIAS - UTILIZADO INDICE PRÉVIO.</t>
  </si>
  <si>
    <t>VALOR REFERENTE ATUALIZAÇÃO MONETÁRIA DE DEPÓSITOS JUDICIAS - INDICE IPCA</t>
  </si>
  <si>
    <t>VALOR REFERENTE ATUALIZAÇÃO MONETÁRIA DE DEPÓSITOS JUDICIAIS - INDICE IPCA-E</t>
  </si>
  <si>
    <t>VALOR REFERENTE ATULAIZAÇÃO MONETÁRIA MÊS 01/2021 - 0,5%</t>
  </si>
  <si>
    <t>VALOR REFERENTE ATUALIZAÇÃO MONETÁRIA DE DEPÓSITOS JUDICIAIS - 02/202</t>
  </si>
  <si>
    <t>VALOR REFERENTE CONCILIAÇÃO A MAIOR ANOS ANTERIORES</t>
  </si>
  <si>
    <t>VALOR REFERENTE ATUALIZAÇÃO MONETÁRIA 04/2021.</t>
  </si>
  <si>
    <t>VALOR REFERENTE ATUALIZAÇÃO MONETÁRIA DE DEPÓSITOS JUDICIAIS TRABALHISTAS - 05/2021.</t>
  </si>
  <si>
    <t>VALOR REFERENTE ATUALIZAÇÃO MONETÁRIA DE DEPÓSITOS JUDICIAIS.</t>
  </si>
  <si>
    <t>VALOR REFERENTE ATUALIZAÇÃO MONETÁRIA MÊS 07/2021.</t>
  </si>
  <si>
    <t>VALOR REFERENTE ATUALIZAÇÃO MONETÁRIA MÊS 08/2021.</t>
  </si>
  <si>
    <t>VALOR REFERENTE ATUALIZAÇÃO MONETÁRIA DE DEPÓSITOS JUDICIAS - INDICE POUPANÇA</t>
  </si>
  <si>
    <t>VALOR REFERENTE ATUALIZAÇÃO MONETÁRIA DE DEPÓSITOS JUDICIAIS - INDICE POUPANÇA.</t>
  </si>
  <si>
    <t>VALOR REFERENTE CORREÇÃO MONETARIA PELO IPCA-E MENSAL A MAIOR ANOS ANTERIORES</t>
  </si>
  <si>
    <t>VALOR REFERENTE AJUSTE DA ATUALIZAÇÃO MONETÁRIA PARA DEPÓSITOS JUDICIIAS</t>
  </si>
  <si>
    <t>VALOR REFERENTE ATUALIZAÇÃO MONETÁRIA SOBRE DEPÓSITOS JUDICIAIS .</t>
  </si>
  <si>
    <t>VALOR REFERENTE ATUALIZAÇÃO MONETÁRIA MÊS 08/2021</t>
  </si>
  <si>
    <t>VALOR REFERENTE ATUALIZAÇÃO MONETÁRIA DE DEPÓSITOS JUDICIAIS CIVEIS - IPCA</t>
  </si>
  <si>
    <t>VALOR REFERENTE ATUALIZAÇÃO MONETÁRIA DE DEPÓSITOS JUDICIAIS - INDICE IPCA</t>
  </si>
  <si>
    <t>VALOR REFERENTE ATUALIZAÇÃO MONETÁRIA DE DEPÓSITOS JUDICIAIS - INDICE IPCA NOV/2021</t>
  </si>
  <si>
    <t>VALOR REFERENTE ATUALIZAÇÃO MONETÁRIA DE DEPÓSITOS JUDICIAIS - INDICE IPCA-E 12/2021</t>
  </si>
  <si>
    <t>VALOR REFERENTE ATUALIZAÇÃO MONETÁRIA DE DEPÓSITOS JUDICIAIS - INDICE IPCA-E.</t>
  </si>
  <si>
    <t>VALOR REFERENTE PAGAMENTO DE DEPOSITO RECURSAL - PROCESSO TRABALHISTA Nº 0100723-64.2019.5.01.0048.</t>
  </si>
  <si>
    <t>2022OB8000100</t>
  </si>
  <si>
    <t>VALOR REFERENTE PAGAMENTO DE DEPOSITO RECURSAL - PROCESSO TRABALHISTA Nº 01004317220215010060. DOCUMENTO 81280000007288086.</t>
  </si>
  <si>
    <t>2022OB800201</t>
  </si>
  <si>
    <t>VALOR REFERENTE COMPLEMENTO DE ATUALIZAÇÃO MOMENTÁRIA EM PERIÓDOS ANTERIORES</t>
  </si>
  <si>
    <t>VALOR REFERENTE AJUSTE DEPÓSITOS JUDICIAIS TRABALHISTAS CONFORME RELATÓRIO DA CONJUR</t>
  </si>
  <si>
    <t>Recuperação de Despe</t>
  </si>
  <si>
    <t>VALOR REFERENTE BAIXA DO PROCESSO 11106-68.2014.5.01.0016 CONFORME RELATÓRIO DA CONJUR</t>
  </si>
  <si>
    <t>VALOR REFERENTE PAGAMENTO DE DEPOSITO RECURSAL - PROCESSO TRABALHISTA Nº 0100723-64.2019.5.01.0048. DOCUMENTO 81280000007674334.</t>
  </si>
  <si>
    <t>2022OB800763</t>
  </si>
  <si>
    <t>VALOR REFERENTE ATUALIZAÇÃO MONETÁRIA DE DEPÓSITOS JUDICIAIS - INDICE IPCA 01/2022</t>
  </si>
  <si>
    <t>VALOR REFERENTE ESTORNO ATUALIZAÇÃO MONETÁRIA DE DEPÓSITOS JUDICIAIS - INDICE IPCA.</t>
  </si>
  <si>
    <t>VALOR REFERENTE ATUALIZAÇÃO MONETÁRIA DE DEPÓSITOS JUDICIAIS - INDICE IPCA.</t>
  </si>
  <si>
    <t>VALOR REFERENTE COMPLEMENTO ATUALIZAÇÃO MONETÁRIA DE DEPÓSITOS JUDICIAIS - INDICE IPCA</t>
  </si>
  <si>
    <t>VALOR REFERENTE AJUSTE DE ATUALIZAÇÃO MONETÁRIA DE DEPÓSITOS JUDICIAIS - INDICE IPCA.</t>
  </si>
  <si>
    <t>VALOR REFERENTE ESTORNO DE ATUALIZAÇÃO MONETÁRIA DE DEPÓSITOS JUDICIAIS - INDICE IPCA.</t>
  </si>
  <si>
    <t>31.12.2022</t>
  </si>
  <si>
    <t>VALOR REFERENTE ATUALIZAÇÃO MONETÁRIA MÊS 10/2022 - SELIC 1,02%</t>
  </si>
  <si>
    <t>10_2022</t>
  </si>
  <si>
    <t>VALOR REFERENTE ATUALIZAÇÃO MONETÁRIA MÊS 11/2022 - SELIC 1,02%</t>
  </si>
  <si>
    <t>11_2022</t>
  </si>
  <si>
    <t>VALOR REFERENTE ATUALIZAÇÃO MONETÁRIA MÊS 12/2022 - SELIC 1,12%</t>
  </si>
  <si>
    <t>12_2022</t>
  </si>
  <si>
    <t>VALOR REFERENTE PROVISÃO DE IRPJ 10.2022</t>
  </si>
  <si>
    <t>VALOR REFERENTE PROVISÃO DE IRPJ 11.2022.</t>
  </si>
  <si>
    <t>VALOR REFERENTE PROVISÃO DE CSLL 10.2022</t>
  </si>
  <si>
    <t>VALOR REFERENTE PROVISÃO DE CSLL 11.2022.</t>
  </si>
  <si>
    <t>VALOR REFERENTE PAGAMENTO DE IRRF REFERENTE A FERIAS DE 87 EMPREGADOS - PERIODO DE 2 A 20 DE JANEIRO DE 2023 - IRRF.</t>
  </si>
  <si>
    <t>2022DF800819</t>
  </si>
  <si>
    <t>1.2.1.06.0005</t>
  </si>
  <si>
    <t>Reembolso de custos a Receber - ANEEL</t>
  </si>
  <si>
    <t>BRASOFTWARE INFORMATICA</t>
  </si>
  <si>
    <t>04053315/0001-58</t>
  </si>
  <si>
    <t>NSI TRAINING TECNOLOGIA S/C LTDA.</t>
  </si>
  <si>
    <t>04655786/0001-36</t>
  </si>
  <si>
    <t>NORTHIA ASSESSORIA DE SEGURANCA NO TRABA</t>
  </si>
  <si>
    <t>04724924/0001-91</t>
  </si>
  <si>
    <t>ACTIVEWEB TECHNOLOGIES INFORMATICA LTDA</t>
  </si>
  <si>
    <t>2.1.1.04.0444</t>
  </si>
  <si>
    <t>07799454/0001-13</t>
  </si>
  <si>
    <t>CENOFISCO CENTRO DE CAP. PROFISSIONAL</t>
  </si>
  <si>
    <t>2.1.1.04.0464</t>
  </si>
  <si>
    <t>10213136/0001-33</t>
  </si>
  <si>
    <t>INDUSTEC COM. E SERV. DE EQUIP. ELET</t>
  </si>
  <si>
    <t>2.1.1.04.0506</t>
  </si>
  <si>
    <t>40389603/0001-41</t>
  </si>
  <si>
    <t>ESTOFADOS BEM NA MODA LTDA</t>
  </si>
  <si>
    <t>2.1.1.04.0515</t>
  </si>
  <si>
    <t>76535764/0001-43</t>
  </si>
  <si>
    <t>OI SA</t>
  </si>
  <si>
    <t>2.1.1.04.0523</t>
  </si>
  <si>
    <t>14644934/0001-70</t>
  </si>
  <si>
    <t>SOCIEDADE BRASILEIRA DE GEOFISICA</t>
  </si>
  <si>
    <t>2.1.1.04.0526</t>
  </si>
  <si>
    <t>21340197/0001-88</t>
  </si>
  <si>
    <t>TECHVET SERVICOS LTDA ME</t>
  </si>
  <si>
    <t>2.1.1.04.0575</t>
  </si>
  <si>
    <t>CORTEX EVENTOS - ORGANIZAÇÃO DE FEIRAS E</t>
  </si>
  <si>
    <t>2.1.1.04.0602</t>
  </si>
  <si>
    <t>SOUZA E LOMBA COMÉRCIO DE BRINDES E PLAC</t>
  </si>
  <si>
    <t>2.1.1.04.0632</t>
  </si>
  <si>
    <t>FACULDADES CATÓLICAS</t>
  </si>
  <si>
    <t>2.1.1.04.0633</t>
  </si>
  <si>
    <t>COPY HOUSE SERVICOS REPROGRAFICOS EIRELI</t>
  </si>
  <si>
    <t>2.1.1.04.0679</t>
  </si>
  <si>
    <t>LANTYX TECNOLOGIA E PUBLICIDADE EIRILE</t>
  </si>
  <si>
    <t>2.1.1.04.0752</t>
  </si>
  <si>
    <t>FIPE FUNDAÇÃO INST.PESQUISAS ECONOMICAS</t>
  </si>
  <si>
    <t>2.1.1.04.0764</t>
  </si>
  <si>
    <t>FRAMAR CONTABILIDADE LTDA</t>
  </si>
  <si>
    <t>2.1.1.04.0833</t>
  </si>
  <si>
    <t>2.1.1.04.0843</t>
  </si>
  <si>
    <t>2.1.1.04.0851</t>
  </si>
  <si>
    <t>ROBERTO FERREIRA DOS SANTOS</t>
  </si>
  <si>
    <t>2.1.1.04.0853</t>
  </si>
  <si>
    <t>ASSOCIAÇÃO BRASILEIRA DE ENERGIA SOLAR</t>
  </si>
  <si>
    <t>2.1.1.04.0870</t>
  </si>
  <si>
    <t>FIGENER ENGENHEIROS ASSOCIADOS LTDA</t>
  </si>
  <si>
    <t>2.1.1.04.0891</t>
  </si>
  <si>
    <t>CAPACITY TREINAMENTO E APERFEIÇOAMENTO</t>
  </si>
  <si>
    <t>2.1.1.04.0911</t>
  </si>
  <si>
    <t>2.1.1.04.0913</t>
  </si>
  <si>
    <t>SOCIEDADE BRASILEIRA DE ECONOMIA ECOLOGICA</t>
  </si>
  <si>
    <t>2.1.1.04.0940</t>
  </si>
  <si>
    <t>APPROACH COMUNICAÇÃO INTEGRADA LTDA</t>
  </si>
  <si>
    <t>2.1.1.04.0944</t>
  </si>
  <si>
    <t>THIAGO PINTO MARTINS</t>
  </si>
  <si>
    <t>2.1.1.04.0945</t>
  </si>
  <si>
    <t>CALESMON ENGENHARIA LTDA</t>
  </si>
  <si>
    <t>2.1.1.04.0946</t>
  </si>
  <si>
    <t>THYMOS ENERGIA ENGENHARIA E CONSULTORIA LTDA</t>
  </si>
  <si>
    <t>2.1.1.04.0947</t>
  </si>
  <si>
    <t>DRIKA INDUSTRIA E COMERCIO DE PRODUTOS PROMOCIONAIS EIRELI</t>
  </si>
  <si>
    <t>2.1.1.04.0949</t>
  </si>
  <si>
    <t>FUNCIONAL MOVEIS DE AÇO LTDA</t>
  </si>
  <si>
    <t>2.1.1.04.0953</t>
  </si>
  <si>
    <t>STCP - ENGENHARIA DE PROJETOS LTDA</t>
  </si>
  <si>
    <t>2.1.1.04.0958</t>
  </si>
  <si>
    <t>SHIELD SEGURANÇA DA INFORMAÇÃO E CONSULTORIA LTDA</t>
  </si>
  <si>
    <t>2.1.1.04.0959</t>
  </si>
  <si>
    <t>GLEICE DE SOUZA SILVA</t>
  </si>
  <si>
    <t>2.1.1.04.0962</t>
  </si>
  <si>
    <t>CARLOS EDUARDO ALVES DE ABREU</t>
  </si>
  <si>
    <t>2.1.1.04.0964</t>
  </si>
  <si>
    <t>KPMG CONSULTORIA LTDA</t>
  </si>
  <si>
    <t>2.1.1.04.0965</t>
  </si>
  <si>
    <t>FUNDAÇÃO DE APOIO AO DESENVOLVIMENTO DA COMPUTAÇÃO</t>
  </si>
  <si>
    <t>2.1.1.04.0966</t>
  </si>
  <si>
    <t>OBRA RIO REFORMAS REPAROS E COMERCIO LTDA</t>
  </si>
  <si>
    <t>2.1.1.04.0968</t>
  </si>
  <si>
    <t>06.977.747/0002-61</t>
  </si>
  <si>
    <t>AGEM TECNOLOGIA DISTRIBUIDORA LTDA</t>
  </si>
  <si>
    <t>2.1.1.04.0969</t>
  </si>
  <si>
    <t>Bruno Soares Moreira Cesar Borba</t>
  </si>
  <si>
    <t>2.1.1.04.0970</t>
  </si>
  <si>
    <t>VACIVITTA SERVIÇOS DE IMUNIZAÇÃO HUMANA LTDA</t>
  </si>
  <si>
    <t>2.1.1.04.0974</t>
  </si>
  <si>
    <t>LD 209 MAGALHÃES</t>
  </si>
  <si>
    <t>2.1.1.04.0975</t>
  </si>
  <si>
    <t>IDESP - INSTITUTO DARYUS DE ENSINO SUPERIOR PAULISTA</t>
  </si>
  <si>
    <t>2.1.1.04.0976</t>
  </si>
  <si>
    <t>ENGEDUTO ENGENHARIA E INDUSTRIA LTDA</t>
  </si>
  <si>
    <t>2.1.1.04.0977</t>
  </si>
  <si>
    <t>IMAGINE RISKS CONSULTORIA E SOFTWARE LTDA</t>
  </si>
  <si>
    <t>2.1.1.04.0978</t>
  </si>
  <si>
    <t>ASSOCIAÇÃO BRASILEIRA DE CERÂMICA</t>
  </si>
  <si>
    <t>2.1.1.04.0979</t>
  </si>
  <si>
    <t>JULIANA DE OLIVEIRA CAROLINO MANHAES COMERCIO</t>
  </si>
  <si>
    <t>2.1.1.04.0980</t>
  </si>
  <si>
    <t>FABRICIO RACHADEL COSTA</t>
  </si>
  <si>
    <t>2.1.1.06.0001</t>
  </si>
  <si>
    <t>IRPJ a Recolher</t>
  </si>
  <si>
    <t>2.1.1.06.0007</t>
  </si>
  <si>
    <t>CSLL a Recolher</t>
  </si>
  <si>
    <t>2.1.1.07.0002</t>
  </si>
  <si>
    <t>IRRF a Recolher de Terceiros</t>
  </si>
  <si>
    <t>2.1.1.07.0011</t>
  </si>
  <si>
    <t>Ret IN 539/05 - IR/CS/PIS/COFINS - 2,20%</t>
  </si>
  <si>
    <t>2.1.1.07.0013</t>
  </si>
  <si>
    <t>Ret IN 539/05 - IR/CS/PIS/COFINS - 3,40%</t>
  </si>
  <si>
    <t>2.1.1.08.0014</t>
  </si>
  <si>
    <t>2.1.1.08.0015</t>
  </si>
  <si>
    <t>2.1.1.14.0006</t>
  </si>
  <si>
    <t>3.3.9.03</t>
  </si>
  <si>
    <t>3.3.9.03.0001</t>
  </si>
  <si>
    <t>4.1.6.02.0002</t>
  </si>
  <si>
    <t>4.2.7.01.0001</t>
  </si>
  <si>
    <t>4.2.9.09</t>
  </si>
  <si>
    <t>Perdas com Bens do Ativo Permanente</t>
  </si>
  <si>
    <t>4.2.9.09.0004</t>
  </si>
  <si>
    <t>Perdas com Extravio de Bens</t>
  </si>
  <si>
    <t>Baixa</t>
  </si>
  <si>
    <t>01/01/2022 a 31/12/2022</t>
  </si>
  <si>
    <t>VALOR REFERENTE ATUALIZAÇÃO CONTIGÊNCIA CURTO PRAZO - TRABALHISTA.</t>
  </si>
  <si>
    <t>VALOR REFERENTE ATUALIZAÇÃO CONTINGÊNCIA CURTO PRAZO - TRABALHISTA.</t>
  </si>
  <si>
    <t>VALOR REFERENTE ATUALIZAÇÃO CONTIGÊNCIA LONGO PRAZO - TRABALHISTA.</t>
  </si>
  <si>
    <t>VALOR REFERENTE ATUALIZAÇÃO CONTINGÊNCIA LONGO PRAZO - TRABALHISTA.</t>
  </si>
  <si>
    <t>VALOR REFERENTE ATUALIZAÇÃO CONTIGÊNCIA LONGO PRAZO - CIVIL.</t>
  </si>
  <si>
    <t>VALOR REFERENTE REVERSÃO DE ATUALIZAÇÃO DE CONTINGÊNCIAS LONGO PRAZO - CIVIL.</t>
  </si>
  <si>
    <t>22152 - Provisão p/ Contingências Civeis</t>
  </si>
  <si>
    <t>22153 - Provisão p/ Contingências Fiscais</t>
  </si>
  <si>
    <t>VALOR REFERENTE ATUALIZAÇÃO CONTIGÊNCIA LONGO PRAZO - ADMINISTRATIVO.</t>
  </si>
  <si>
    <t>VALOR REFERENTE REVERSÃO DE ATUALIZAÇÃO DE CONTINGÊNCIAS LONGO PRAZO - ADMINISTRATIVO.</t>
  </si>
  <si>
    <t>Tributárias</t>
  </si>
  <si>
    <t>Processos Administrativos</t>
  </si>
  <si>
    <t>VALOR REFERENTE ATUALIZAÇÃO CONTIGÊNCIA LONGO PRAZO - TRIBUTÁRIA.</t>
  </si>
  <si>
    <t>VALOR REFERENTE REVERSÃO DE ATUALIZAÇÃO DE CONTINGÊNCIAS LONGO PRAZO - TRIBUTÁRIA.</t>
  </si>
  <si>
    <t>Conversão de milhares</t>
  </si>
  <si>
    <t>Arredondamentos</t>
  </si>
  <si>
    <t>Valores</t>
  </si>
  <si>
    <t xml:space="preserve">Provisão de IRPJ </t>
  </si>
  <si>
    <t>Provisão de CSLL</t>
  </si>
  <si>
    <t>Saldo anterior (31/12/2021</t>
  </si>
  <si>
    <t xml:space="preserve">Reapresentação </t>
  </si>
  <si>
    <t>Saldo atual (31/12/2021)</t>
  </si>
  <si>
    <t>Demonstração do Resultado do Exercício</t>
  </si>
  <si>
    <r>
      <t>Lucro (Prejuízo) Líquido do Exercício</t>
    </r>
    <r>
      <rPr>
        <sz val="11"/>
        <rFont val="Arial"/>
        <family val="2"/>
      </rPr>
      <t/>
    </r>
  </si>
  <si>
    <t>Lucro antes do IRPJ e CSLL</t>
  </si>
  <si>
    <t>Saldos em 31/12/2021 reapresentado</t>
  </si>
  <si>
    <t>IRPJ</t>
  </si>
  <si>
    <t>15% e 10%</t>
  </si>
  <si>
    <t>CSLL</t>
  </si>
  <si>
    <t>Base de cálculo antes das compensações negativas</t>
  </si>
  <si>
    <t>Modidalidade</t>
  </si>
  <si>
    <t>Montante cobertura</t>
  </si>
  <si>
    <t>Vigência</t>
  </si>
  <si>
    <t>Responsabilidade civil</t>
  </si>
  <si>
    <t>No fim do exercício</t>
  </si>
  <si>
    <t>.</t>
  </si>
  <si>
    <t>Caixa líquido consumido pelas atividades operacionais</t>
  </si>
  <si>
    <t>Realizável a Longo Prazo</t>
  </si>
  <si>
    <t>Prejuízos Acumulados</t>
  </si>
  <si>
    <t>Aumento de Capital</t>
  </si>
  <si>
    <t>Prejuízo do Exercício</t>
  </si>
  <si>
    <t xml:space="preserve">Compensação de Prejuízos </t>
  </si>
  <si>
    <t>Remuneração dos capitais próprios</t>
  </si>
  <si>
    <t>R$</t>
  </si>
  <si>
    <t>Base de cálculo para dividendos mínimos obrigatórios (5%)</t>
  </si>
  <si>
    <t>( - ) Prejuízo acumulado ajustado de exercícios anteriores</t>
  </si>
  <si>
    <t>( - ) Prejuízo do exercício 2022</t>
  </si>
  <si>
    <t>Saldo prejuízo acumulado</t>
  </si>
  <si>
    <t>Base de cálculo para reserva legal (5%)</t>
  </si>
  <si>
    <t>Caixa</t>
  </si>
  <si>
    <t>Fundo Fixo Matriz</t>
  </si>
  <si>
    <t>Fundo Fixo Filial</t>
  </si>
  <si>
    <t>1.1.1.02.0043</t>
  </si>
  <si>
    <t>BBT</t>
  </si>
  <si>
    <t>Banco do Brasil - Fonte do Tesouro</t>
  </si>
  <si>
    <t>1.1.1.02.0044</t>
  </si>
  <si>
    <t>BBR</t>
  </si>
  <si>
    <t>Banco do Brasil - Fonte de Recursos Próprios</t>
  </si>
  <si>
    <t>Clientes</t>
  </si>
  <si>
    <t>Faturamento</t>
  </si>
  <si>
    <t>Venda de Livros Técnicos</t>
  </si>
  <si>
    <t>(-) Duplicatas Descontadas</t>
  </si>
  <si>
    <t>(-) Provisão p/ Devedores Duvidosos</t>
  </si>
  <si>
    <t>Rendas a Receber</t>
  </si>
  <si>
    <t>Encargos Financeiros</t>
  </si>
  <si>
    <t>Aplicações Financeiras</t>
  </si>
  <si>
    <t>IRPJ a Recuperar</t>
  </si>
  <si>
    <t>IRPJ s/ Adições Temporárias</t>
  </si>
  <si>
    <t>IRPJ s/ Prejuízo Fiscal</t>
  </si>
  <si>
    <t>ISS a Recuperar</t>
  </si>
  <si>
    <t>CSLL a Recuperar</t>
  </si>
  <si>
    <t>CSLL s/ Adições Temporárias</t>
  </si>
  <si>
    <t>CSLL s/ Base de Cálculo Negativa</t>
  </si>
  <si>
    <t>PASEP a Recuperar</t>
  </si>
  <si>
    <t>INSS a Recuperar</t>
  </si>
  <si>
    <t>PASEP a Compensar</t>
  </si>
  <si>
    <t>COFINS a Compensar</t>
  </si>
  <si>
    <t>FGTS a Recuperar</t>
  </si>
  <si>
    <t>IRPJ Diferido</t>
  </si>
  <si>
    <t>CSLL Diferida</t>
  </si>
  <si>
    <t>IRPJ s/ Aplicação Financeira</t>
  </si>
  <si>
    <t>Antecipação - COSIRF</t>
  </si>
  <si>
    <t>IOF a Restituir</t>
  </si>
  <si>
    <t>CIDE  a Restituir</t>
  </si>
  <si>
    <t>COFINS  a Restituir</t>
  </si>
  <si>
    <t>CIDE a compensar</t>
  </si>
  <si>
    <t>IRPJ estimativa 2021</t>
  </si>
  <si>
    <t>CSLL estimativa 2021</t>
  </si>
  <si>
    <t>Outros créditos</t>
  </si>
  <si>
    <t>1.1.2.03.0036</t>
  </si>
  <si>
    <t>IRPJ estimativa 2022</t>
  </si>
  <si>
    <t>1.1.2.03.0037</t>
  </si>
  <si>
    <t>CSLL estimativa 2022</t>
  </si>
  <si>
    <t>Adiantamento de Viagem</t>
  </si>
  <si>
    <t>Adiantamento de Salário</t>
  </si>
  <si>
    <t>Adiant. p/Atender Compromissos da EPE</t>
  </si>
  <si>
    <t>Adiantamento de Viagem ao Exterior</t>
  </si>
  <si>
    <t>Adiantamentos p/ Outros Gastos</t>
  </si>
  <si>
    <t>Adiantamentos a Terceiros</t>
  </si>
  <si>
    <t>Adiantamentos a Fornecedores</t>
  </si>
  <si>
    <t>Adiantamento p/ Seminários</t>
  </si>
  <si>
    <t>Outros Adiantamentos</t>
  </si>
  <si>
    <t>Adiantamento p/ Órgãos Federais</t>
  </si>
  <si>
    <t>(-) Ações - Provisão p/ Redução ao Valor</t>
  </si>
  <si>
    <t>Estoques</t>
  </si>
  <si>
    <t>Material de Escritório</t>
  </si>
  <si>
    <t>Estoque de Livros</t>
  </si>
  <si>
    <t>Estoque de Livros - em consignação</t>
  </si>
  <si>
    <t>Depositos judiciais</t>
  </si>
  <si>
    <t>Depósitos Judiciais –Tributários</t>
  </si>
  <si>
    <t>Cauções e Depósitos Vinculados</t>
  </si>
  <si>
    <t>Glosas Petrobras</t>
  </si>
  <si>
    <t>Glosas Furnas</t>
  </si>
  <si>
    <t>Glosas Cepel</t>
  </si>
  <si>
    <t>Aluguéis e Arrendamentos</t>
  </si>
  <si>
    <t>Multas Aplicadas a Fornecedores</t>
  </si>
  <si>
    <t>IRPJ s/ Base de Cálculo Negativa</t>
  </si>
  <si>
    <t>Créditos a Diretores</t>
  </si>
  <si>
    <t>Adiantamento a Diretores</t>
  </si>
  <si>
    <t>Prêmios de Seguros Pagos Antecipadamente</t>
  </si>
  <si>
    <t>Assinatura de Jornais e Revistas</t>
  </si>
  <si>
    <t>Assinaturas e anuidades</t>
  </si>
  <si>
    <t>Investimentos</t>
  </si>
  <si>
    <t>Particip. Permanentes em Outras Empresas</t>
  </si>
  <si>
    <t>Investimento em Empresas Coligadas</t>
  </si>
  <si>
    <t>Investimento em Empresas Controladas</t>
  </si>
  <si>
    <t>Outros Investimentos Permanentes</t>
  </si>
  <si>
    <t>Obras de Arte</t>
  </si>
  <si>
    <t>Terrenos</t>
  </si>
  <si>
    <t>Imóveis</t>
  </si>
  <si>
    <t>Veículos</t>
  </si>
  <si>
    <t>Ferramentas</t>
  </si>
  <si>
    <t>Benfeitorias em Imóveis de Terceiros</t>
  </si>
  <si>
    <t>Benfeitorias em andamentos em Imóveis de</t>
  </si>
  <si>
    <t>(-) Redução ao Valor Recuperável Imobil.</t>
  </si>
  <si>
    <t>(-) Imóveis</t>
  </si>
  <si>
    <t>(-) Software</t>
  </si>
  <si>
    <t>(-) Veículos</t>
  </si>
  <si>
    <t>(-) Ferramentas</t>
  </si>
  <si>
    <t>(-) Benfeitorias em Imóveis de Terceiros</t>
  </si>
  <si>
    <t>Marcas e Patentes</t>
  </si>
  <si>
    <t>(-) Redução ao Valor Recuperável Intang.</t>
  </si>
  <si>
    <t>(-) Marcas e Patentes</t>
  </si>
  <si>
    <t>Empréstimos e Financiamentos - Em Moeda</t>
  </si>
  <si>
    <t>Banco do Brasil - Empréstimos</t>
  </si>
  <si>
    <t>Banco do Brasil - Financ.de Bens e Serv.</t>
  </si>
  <si>
    <t>Debêntures</t>
  </si>
  <si>
    <t>Conversíveis em Ações</t>
  </si>
  <si>
    <t>Não Conversíveis em Ações</t>
  </si>
  <si>
    <t>75609123/0001-23</t>
  </si>
  <si>
    <t>OURO VERDE TRANSPORTES E LOCAÇÃO</t>
  </si>
  <si>
    <t>02877566/0001-21</t>
  </si>
  <si>
    <t>IBROWSE CONSULTORIA &amp; INFORMATICA</t>
  </si>
  <si>
    <t>42429480/0001-50</t>
  </si>
  <si>
    <t>FUNDAÇAO UNIVERSITARIA JOSE BONIFACIO</t>
  </si>
  <si>
    <t>UHY MOREIRA - AUDITORES</t>
  </si>
  <si>
    <t>00366080/0001-01</t>
  </si>
  <si>
    <t>THEMAG ENGENHARIA E GERENCIAMENTO</t>
  </si>
  <si>
    <t>33162512/0001-03</t>
  </si>
  <si>
    <t>GUANABARA PALACE HOTEL LTDA</t>
  </si>
  <si>
    <t>72060999/0001-75</t>
  </si>
  <si>
    <t>FUNDACAO COPPETEC - MATRIZ</t>
  </si>
  <si>
    <t>67987883/0001-44</t>
  </si>
  <si>
    <t>HYDROS ENGENHARIA LTDA</t>
  </si>
  <si>
    <t>02760660/0002-87</t>
  </si>
  <si>
    <t>LINK TV CLIPPING ELETRONICO LTDA</t>
  </si>
  <si>
    <t>33146648/0001-20</t>
  </si>
  <si>
    <t>CONCREMAT ENGENHARIA E TECNOLOGIA S.A</t>
  </si>
  <si>
    <t>00869125/0001-52</t>
  </si>
  <si>
    <t>CALMA INFORMATICA LTDA</t>
  </si>
  <si>
    <t>01799993/0001-76</t>
  </si>
  <si>
    <t>CMD MEDICAL CENTER S/C LTDA</t>
  </si>
  <si>
    <t>02449992/0181-01</t>
  </si>
  <si>
    <t>VIVO S.A</t>
  </si>
  <si>
    <t>01012559/0001-02</t>
  </si>
  <si>
    <t>JATO AEROTAXI LTDA</t>
  </si>
  <si>
    <t>08401303/0001-28</t>
  </si>
  <si>
    <t>COMERCIAL DE REFRIGERACAO ICE FRIO LTDA</t>
  </si>
  <si>
    <t>09168704/0001-42</t>
  </si>
  <si>
    <t>EMPRESA BRASILEIRA DE COMUNICACAO - EBC</t>
  </si>
  <si>
    <t>02986452/0001-10</t>
  </si>
  <si>
    <t>EMIDA INSTALACOES LTDA</t>
  </si>
  <si>
    <t>07615598/0001-72</t>
  </si>
  <si>
    <t>BRANDAO DO ITANHANGA SERV. GRAFICOS</t>
  </si>
  <si>
    <t>72109291/0001-61</t>
  </si>
  <si>
    <t>FACILITY CENTRAL DE SERV. LTDA</t>
  </si>
  <si>
    <t>32985244/0001-67</t>
  </si>
  <si>
    <t>VIADOTTO E MOLINA LTDA</t>
  </si>
  <si>
    <t>01245055/0001-24</t>
  </si>
  <si>
    <t>HENRY EQUIPAMENTOS ELETRONICOS E SISTEMA</t>
  </si>
  <si>
    <t>08689801/0001-18</t>
  </si>
  <si>
    <t>ALERTE - AUTOMATIZACAO DE LEITURA REC.</t>
  </si>
  <si>
    <t>07228550/0001-01</t>
  </si>
  <si>
    <t>MUNDIVOX TELECOMUNICACOES LTDA</t>
  </si>
  <si>
    <t>00119796/0001-04</t>
  </si>
  <si>
    <t>A2 EMPREENDIMENTOS LTDA</t>
  </si>
  <si>
    <t>68665355/0001-33</t>
  </si>
  <si>
    <t>RL SISTEC SERV. E SISTEMAS ELETRONICOS</t>
  </si>
  <si>
    <t>35795210/0001-06</t>
  </si>
  <si>
    <t>AGRAR CONSULTORIA E ESTUDOS TECNICOS</t>
  </si>
  <si>
    <t>30280440/0001-00</t>
  </si>
  <si>
    <t>TECNOMOVEL INDUSTRIA COMERCIO E SERVICOS</t>
  </si>
  <si>
    <t>10697727/0001-12</t>
  </si>
  <si>
    <t>BAZAR SHOPPING SOLUCOES LTDA</t>
  </si>
  <si>
    <t>32185357/0001-88</t>
  </si>
  <si>
    <t>ALK ENGENHARIA E COMERCIO LTDA</t>
  </si>
  <si>
    <t>02558157/0001-62</t>
  </si>
  <si>
    <t>TELEFONICA BRASIL S.A.</t>
  </si>
  <si>
    <t>04571978/0001-64</t>
  </si>
  <si>
    <t>BELLATRIX NETWORK COM. E SERVICOS</t>
  </si>
  <si>
    <t>01342499/0005-01</t>
  </si>
  <si>
    <t>BRASVENDING COMERCIAL LTDA</t>
  </si>
  <si>
    <t>31563034/0001-18</t>
  </si>
  <si>
    <t>FEEDBACKTUR VIAGENS LTDA</t>
  </si>
  <si>
    <t>05102672/0001-21</t>
  </si>
  <si>
    <t>CLAUDIA WATANABE ADVOGADOS</t>
  </si>
  <si>
    <t>76436849/0001-74</t>
  </si>
  <si>
    <t>ENGEFOTO ENGENHARIA E AEROLEVANTAMENTOS</t>
  </si>
  <si>
    <t>00877761/0001-26</t>
  </si>
  <si>
    <t>DEL MORO E DE MORO LTDA</t>
  </si>
  <si>
    <t>02604000/0001-26</t>
  </si>
  <si>
    <t>ASSOCIACAO VALE TELES PIRES DE COMUNICAC</t>
  </si>
  <si>
    <t>10141728/0001-97</t>
  </si>
  <si>
    <t>ODAIR MARTINS DA SILVA</t>
  </si>
  <si>
    <t>70424882/0001-06</t>
  </si>
  <si>
    <t>AUTO POSTO M5 LTDA</t>
  </si>
  <si>
    <t>24752610/0001-00</t>
  </si>
  <si>
    <t>L. DE SOUZA &amp; CIA LTDA</t>
  </si>
  <si>
    <t>04694533/0001-71</t>
  </si>
  <si>
    <t>PROCANA BRASIL CENTRO DE INFORMACOES</t>
  </si>
  <si>
    <t>09480867/0001-66</t>
  </si>
  <si>
    <t>IRMAS SISTERS PRODUCOES CINEMATOGRAFICAS</t>
  </si>
  <si>
    <t>08007596/0001-63</t>
  </si>
  <si>
    <t>MES EVENTOS LTDA</t>
  </si>
  <si>
    <t>09388514/0001-30</t>
  </si>
  <si>
    <t>BRC 1 PRODUCOES LTDA</t>
  </si>
  <si>
    <t>10502944/0001-10</t>
  </si>
  <si>
    <t>IDEA PROMOCOES SERV. E LOCACOES LTDA</t>
  </si>
  <si>
    <t>02907387/0001-90</t>
  </si>
  <si>
    <t>AMERICA DO SUL TAXI AEREO LTDA</t>
  </si>
  <si>
    <t>07940977/0001-38</t>
  </si>
  <si>
    <t>INFOTECH SOLUCOES EM INFORMATICA LTDA</t>
  </si>
  <si>
    <t>04926160/0001-17</t>
  </si>
  <si>
    <t>POWERBRAS IND. E COM. LTDA</t>
  </si>
  <si>
    <t>01310499/0001-04</t>
  </si>
  <si>
    <t>ASSOCIACAO COMUNITARIA RADIO FM CLAUDIA</t>
  </si>
  <si>
    <t>09603902/0001-97</t>
  </si>
  <si>
    <t>SHOPNETWORKS COMERCIO DE PRODUTOS</t>
  </si>
  <si>
    <t>02299257/0001-11</t>
  </si>
  <si>
    <t>GEODESING SISTEMAS DE INFORMACAO LTDA</t>
  </si>
  <si>
    <t>04999113/0001-01</t>
  </si>
  <si>
    <t>LC EMPREENDIMENTOS E SERVICOS LTDA</t>
  </si>
  <si>
    <t>10345104/0001-91</t>
  </si>
  <si>
    <t>MACTECNOLOGY COM. DE INFORMATICA LTDA</t>
  </si>
  <si>
    <t>06241557/0001-09</t>
  </si>
  <si>
    <t>INGRAM MICRO TECNOLOGIA E INFORMATICA LT</t>
  </si>
  <si>
    <t>08322782/0001-97</t>
  </si>
  <si>
    <t>AQUA GENESIS INSTITUTO</t>
  </si>
  <si>
    <t>00604122/0001-97</t>
  </si>
  <si>
    <t>TRIVALE ADM. LTDA</t>
  </si>
  <si>
    <t>11050205/0001-06</t>
  </si>
  <si>
    <t>CNEC PROJETOS DE ENGENHARIA S.A</t>
  </si>
  <si>
    <t>10925387/0001-40</t>
  </si>
  <si>
    <t>TITAN SOLUTIONS</t>
  </si>
  <si>
    <t>12335320/0001-81</t>
  </si>
  <si>
    <t>VN AUTOMACAO E ENTRETENIMENTOS</t>
  </si>
  <si>
    <t>09461568/0001-84</t>
  </si>
  <si>
    <t>ECOMETRIKA CONSULTORIA EMPRESARIAL LTDA</t>
  </si>
  <si>
    <t>08496003/0001-70</t>
  </si>
  <si>
    <t>MISTER X PRODUTOS ALIMENTICIOS LTDA</t>
  </si>
  <si>
    <t>29508686/0001-01</t>
  </si>
  <si>
    <t>THOMSON REUTERS SERVICOS ECONOMICOS</t>
  </si>
  <si>
    <t>43283811/0001-50</t>
  </si>
  <si>
    <t>KALUNGA COM. E. IND. GRAFICA LTDA</t>
  </si>
  <si>
    <t>03136691/0001-75</t>
  </si>
  <si>
    <t>RADIODIFUSAO LTDA</t>
  </si>
  <si>
    <t>68314830/0001-27</t>
  </si>
  <si>
    <t>FUND. DE APOIO A UNIVERSIDADE DE SAO PAU</t>
  </si>
  <si>
    <t>33530486/0001-29</t>
  </si>
  <si>
    <t>EMP. BRAS. TELECOMUNICACOES - EMBRATEL</t>
  </si>
  <si>
    <t>71208516/0171-40</t>
  </si>
  <si>
    <t>COMPANHIA DE TELECOMUNICACAO DO BRASIL C</t>
  </si>
  <si>
    <t>31153877/0001-46</t>
  </si>
  <si>
    <t>ASSOCIACAO NACIONAL DE PESQUISA E ENSINO</t>
  </si>
  <si>
    <t>33747288/0001-11</t>
  </si>
  <si>
    <t>FEDERAÇÃO DAS EMPRESAS DE TRANSPORTES</t>
  </si>
  <si>
    <t>05152318/0001-01</t>
  </si>
  <si>
    <t>AGUIAR FERES AUDITORES INDEPENDENTES</t>
  </si>
  <si>
    <t>42270058/0001-03</t>
  </si>
  <si>
    <t>GMR EQUIPAMENTOS ELETRICOS LTDA</t>
  </si>
  <si>
    <t>08273068/0001-56</t>
  </si>
  <si>
    <t>LODI E LOBO ADVOGADOS</t>
  </si>
  <si>
    <t>04491285/0001-61</t>
  </si>
  <si>
    <t>DOMINIO E CONTABIL LTDA</t>
  </si>
  <si>
    <t>01579387/0007-30</t>
  </si>
  <si>
    <t>INVESTIPLAN COMPUTADORES E SISTEMAS LTDA</t>
  </si>
  <si>
    <t>01724795/0001-43</t>
  </si>
  <si>
    <t>MICROWARE TECNOLOGIA DE INFORMATICA</t>
  </si>
  <si>
    <t>07737772/0001-50</t>
  </si>
  <si>
    <t>CURI GOMES ASSOCIADOS</t>
  </si>
  <si>
    <t>07566239/0001-72</t>
  </si>
  <si>
    <t>GAS ENERGY ASSESSORIA EMPRESARIAL LTDA</t>
  </si>
  <si>
    <t>34163329/0002-61</t>
  </si>
  <si>
    <t>IBEF RIO</t>
  </si>
  <si>
    <t>VINIPEL COMERCIAL LTDA</t>
  </si>
  <si>
    <t>VET</t>
  </si>
  <si>
    <t>TECHNICAL BOOKS LIVRARIA LTDA</t>
  </si>
  <si>
    <t>22945226/0001-64</t>
  </si>
  <si>
    <t>ASSOCIACAO DE UNIVERSIDADES AMAZONICAS</t>
  </si>
  <si>
    <t>INSTITUTO ACO BRASIL</t>
  </si>
  <si>
    <t>INSTITUTO OLHAR PESQUISA E INFORMACAO</t>
  </si>
  <si>
    <t>02837642/0001-75</t>
  </si>
  <si>
    <t>ACADEMIA DE DESEN. PROF. E ORG. LTDA</t>
  </si>
  <si>
    <t>32086274/0001-31</t>
  </si>
  <si>
    <t>A CHAVE NEIDE ME</t>
  </si>
  <si>
    <t>01017250/0001-05</t>
  </si>
  <si>
    <t>VOETUR TURISMO E REPRESENTACOES LTDA</t>
  </si>
  <si>
    <t>06320095/0001-07</t>
  </si>
  <si>
    <t>UNIQUE RENTA CAR LOCADORA DE VEICULOS</t>
  </si>
  <si>
    <t>08071768/0001-68</t>
  </si>
  <si>
    <t>BIODIESELBR ON LINE LTDA</t>
  </si>
  <si>
    <t>07347790/0001-25</t>
  </si>
  <si>
    <t>PLC REFRIGERACO E SSERVICOS LTDA-ME</t>
  </si>
  <si>
    <t>58619404/0001-48</t>
  </si>
  <si>
    <t>SEAL TELECOM SERVICO TELECOMUNICACOES</t>
  </si>
  <si>
    <t>07877167/0001-84</t>
  </si>
  <si>
    <t>HOROS COMUNICACAO E EVENTOS LTDA</t>
  </si>
  <si>
    <t>65649154/0001-54</t>
  </si>
  <si>
    <t>DATAGRO PUBLICACOES LTDA</t>
  </si>
  <si>
    <t>05984239/0001-67</t>
  </si>
  <si>
    <t>AMMPLANAC SOLUTIONS DE INFORMATICA LTDA</t>
  </si>
  <si>
    <t>00278452/0001-30</t>
  </si>
  <si>
    <t>IDEMP INSTITUTO DE DESENVOLVIMENTO EMPRE</t>
  </si>
  <si>
    <t>00758743/0001-25</t>
  </si>
  <si>
    <t>LCA CONSULTORES LTDA</t>
  </si>
  <si>
    <t>39130646/0001-29</t>
  </si>
  <si>
    <t>SOCIEDADE BRASILEIRA DE PLANEJAMENTO ENE</t>
  </si>
  <si>
    <t>09228201/0001-15</t>
  </si>
  <si>
    <t>JG 2008 EDITORA E COMUNICACAO LTDA</t>
  </si>
  <si>
    <t>00063069/0001-64</t>
  </si>
  <si>
    <t>STAR INFO SERVICOS DE INFORMATICA LTDA</t>
  </si>
  <si>
    <t>03309608/0001-90</t>
  </si>
  <si>
    <t>MAXLUX COMERCIO DE DECORACOES LTDA</t>
  </si>
  <si>
    <t>00974211/0001-25</t>
  </si>
  <si>
    <t>LINHA AMARELA SA - LAMSA</t>
  </si>
  <si>
    <t>07892266/0001-35</t>
  </si>
  <si>
    <t>KAWA COMERCIO, PROJETOS E SERV. EM AR</t>
  </si>
  <si>
    <t>FUNDO DE IMPRENSA NACIONAL</t>
  </si>
  <si>
    <t>30482814/0001-70</t>
  </si>
  <si>
    <t>NIPOMAQ MAQUINAS DE ESCRITORIO LTDA</t>
  </si>
  <si>
    <t>07725342/0001-18</t>
  </si>
  <si>
    <t>N.SILVA COMERCIO E SERVICOS LTDA</t>
  </si>
  <si>
    <t>12293822/0001-97</t>
  </si>
  <si>
    <t>ASSOCIACAO DOS PESQUISADORES EM PLANTAS</t>
  </si>
  <si>
    <t>11124330/0001-05</t>
  </si>
  <si>
    <t>IDETI EVENTOS E PESQUISAS EM INFORMATICA</t>
  </si>
  <si>
    <t>31247083/0001-41</t>
  </si>
  <si>
    <t>ASSOCIAÇÃO BRASILEIRA DE RECURSOS HUMANO</t>
  </si>
  <si>
    <t>07295815/0001-94</t>
  </si>
  <si>
    <t>PRONTIDAO COM. E SERV. DE INFO. LTDA</t>
  </si>
  <si>
    <t>05128653/0001-74</t>
  </si>
  <si>
    <t>NDJ SIMPOSIOS E TREINAMENTOS LTDA</t>
  </si>
  <si>
    <t>27958859/0001-64</t>
  </si>
  <si>
    <t>EDITORA BRASIL ENERGIA LTDA</t>
  </si>
  <si>
    <t>00710799/0001-00</t>
  </si>
  <si>
    <t>ALLEN RIO SERV. COM. DE INFORMATICA LTDA</t>
  </si>
  <si>
    <t>22642565/0001-05</t>
  </si>
  <si>
    <t>CP2 CONSULTORIA PESQUISA E PLANEJAMENTO</t>
  </si>
  <si>
    <t>59453225/0001-46</t>
  </si>
  <si>
    <t>FLOKART IND. COM. PRODUTOS PROMOCIONAIS</t>
  </si>
  <si>
    <t>08906581/0001-37</t>
  </si>
  <si>
    <t>MARTENSEN E BRAGA LTDA-EPP.</t>
  </si>
  <si>
    <t>00103582/0005-65</t>
  </si>
  <si>
    <t>ENGEVIX ENGENHARIA S.A</t>
  </si>
  <si>
    <t>61562112/0002-01</t>
  </si>
  <si>
    <t>PRICEWATERHOUSECOOPERS AUDITORES INDEPEN</t>
  </si>
  <si>
    <t>29408770/0001-50</t>
  </si>
  <si>
    <t>CIARLINI CONSULTORIA E PROJETOS LTDA.</t>
  </si>
  <si>
    <t>04216871/0001-06</t>
  </si>
  <si>
    <t>EXECUTIVE VANS LOCADORA DE VEICULOS LTDA</t>
  </si>
  <si>
    <t>10015425/0001-28</t>
  </si>
  <si>
    <t>DAMIER RIO DESENTUPIDORA LTDA.</t>
  </si>
  <si>
    <t>43730787/0001-50</t>
  </si>
  <si>
    <t>ABTD - ASSOCIACAO BRASILEIRA DE TREINAME</t>
  </si>
  <si>
    <t>21040001/0001-30</t>
  </si>
  <si>
    <t>UNIVERSIDADE FEDERAL DE ITAJUBA</t>
  </si>
  <si>
    <t>13376180/0001-52</t>
  </si>
  <si>
    <t>CEAP CONCURSOS LTDA-ME.</t>
  </si>
  <si>
    <t>33170515/0001-99</t>
  </si>
  <si>
    <t>L´HENRIETTE CONFEITARIA LTDA.</t>
  </si>
  <si>
    <t>32323115/0001-03</t>
  </si>
  <si>
    <t>PRO FIT COACHING CONS. TREINAMENTO PROF.</t>
  </si>
  <si>
    <t>06987364/0001-93</t>
  </si>
  <si>
    <t>CTEE - CENTRO TREIN. ESTUDOS EM ENERGIA</t>
  </si>
  <si>
    <t>04765777/0001-06</t>
  </si>
  <si>
    <t>ESTRATEGIA EM RECURSOS HUMANOS LTDA</t>
  </si>
  <si>
    <t>05983000/0001-72</t>
  </si>
  <si>
    <t>ADJUVARE EVENTOS E SERVICOS LTDA.</t>
  </si>
  <si>
    <t>61160768/0001-17</t>
  </si>
  <si>
    <t>LEX EDITORA SA.</t>
  </si>
  <si>
    <t>05230078/0001-16</t>
  </si>
  <si>
    <t>PERSIANAS BRASIL BLINDS LTDA.</t>
  </si>
  <si>
    <t>08403264/0001-06</t>
  </si>
  <si>
    <t>COMPLEXO JURIDICO RENATO SARAIVA</t>
  </si>
  <si>
    <t>58900622/0001-56</t>
  </si>
  <si>
    <t>EDITORA CL-A CULTURAL LTDA.</t>
  </si>
  <si>
    <t>10476565/0001-01</t>
  </si>
  <si>
    <t>OCEANO SERVICOS LTDA.</t>
  </si>
  <si>
    <t>60540333/0002-16</t>
  </si>
  <si>
    <t>THE BRITISH CHAMBER OF COMMERCE AND INDU</t>
  </si>
  <si>
    <t>12867225/0001-29</t>
  </si>
  <si>
    <t>DC STUDIO PRODUCOES LTDA.</t>
  </si>
  <si>
    <t>00543800/0001-59</t>
  </si>
  <si>
    <t>IIR INFORMA SEMINARIOS LTDA.</t>
  </si>
  <si>
    <t>04106216/0001-97</t>
  </si>
  <si>
    <t>SOUZA E PINHO ENGENHARIA E ARQUITETURA</t>
  </si>
  <si>
    <t>12404897/0001-06</t>
  </si>
  <si>
    <t>DOUGLAS WILLE &amp; CIA LTDA - ME</t>
  </si>
  <si>
    <t>04217374/0001-14</t>
  </si>
  <si>
    <t>STOCK GRAF COMERCIO MATERIAIS GRAFICOS</t>
  </si>
  <si>
    <t>42417493/0001-00</t>
  </si>
  <si>
    <t>MUNDIVIDROS VIDROS CRISTAIS E MOLDURAS</t>
  </si>
  <si>
    <t>26976381/0001-32</t>
  </si>
  <si>
    <t>MULTPAPER DISTRIBUIDORA DE PAPAEIS LTDA</t>
  </si>
  <si>
    <t>09677300/0001-84</t>
  </si>
  <si>
    <t>JC&amp;I DESIGN E STUDIO LTDA.</t>
  </si>
  <si>
    <t>13373975/0001-07</t>
  </si>
  <si>
    <t>THIAGO KAZOROSKY PINHEIRO &amp; CIA LTDA</t>
  </si>
  <si>
    <t>02105010/0001-17</t>
  </si>
  <si>
    <t>AGENCIA VIRTUAL LTDA.</t>
  </si>
  <si>
    <t>04619903/0001-06</t>
  </si>
  <si>
    <t>SEND COPY CANDELARIA SERV. REPROGRAFICOS</t>
  </si>
  <si>
    <t>13488395/0001-65</t>
  </si>
  <si>
    <t>MARCENARIA SAO JORGE SAO JOSE EIERLI ME</t>
  </si>
  <si>
    <t>72414691/0001-80</t>
  </si>
  <si>
    <t>INOVATIVA - APRIMORAMENTO TREINAMENTO</t>
  </si>
  <si>
    <t>11281612/0001-16</t>
  </si>
  <si>
    <t>SOLUCAO BRASIL TECNOLOGIA INFORMACAO</t>
  </si>
  <si>
    <t>01138264/0001-79</t>
  </si>
  <si>
    <t>BIOVET SERVICOS LTDA.</t>
  </si>
  <si>
    <t>07282970/0001-76</t>
  </si>
  <si>
    <t>NTX COMERCIO CONSULTORIA E SERVICOS LTDA</t>
  </si>
  <si>
    <t>29317518/0001-35</t>
  </si>
  <si>
    <t>JH SATURNO COM. MAT. ESC. LIMP. E INF.</t>
  </si>
  <si>
    <t>02485591/0001-60</t>
  </si>
  <si>
    <t>TENDENCIAS CONSULTORIA INTEGRADA S/S LTD</t>
  </si>
  <si>
    <t>00316087/0001-00</t>
  </si>
  <si>
    <t>CONCARP CONSERVACAO E LIMPEZA LTDA</t>
  </si>
  <si>
    <t>04572946/0001-83</t>
  </si>
  <si>
    <t>BOOKHUNTER LIVRARIA LTDA.</t>
  </si>
  <si>
    <t>05292903/0001-07</t>
  </si>
  <si>
    <t>PETT &amp; CAPELLATO REPRESENTACOES LTDA.</t>
  </si>
  <si>
    <t>18025536/0001-27</t>
  </si>
  <si>
    <t>FUNDACAO DE PESQ. E ASSESSORAMENTO A IND</t>
  </si>
  <si>
    <t>02704211/0001-30</t>
  </si>
  <si>
    <t>EXPERTISE TECNOLOGIA DESENVOLVIMENTO</t>
  </si>
  <si>
    <t>03811232/0001-18</t>
  </si>
  <si>
    <t>COMERCIAL GAULIA LTDA.</t>
  </si>
  <si>
    <t>27014752/0001-68</t>
  </si>
  <si>
    <t>FLOAT - GLASS - COMERCIO E SERVICOS LTDA</t>
  </si>
  <si>
    <t>00729829/0001-20</t>
  </si>
  <si>
    <t>KARTROLIN BRINDES MATERIAL P/ ESCRITORIO</t>
  </si>
  <si>
    <t>36003671/0001-53</t>
  </si>
  <si>
    <t>CONSULTRE CONSULTORIA E TREINAMENTO LTDA</t>
  </si>
  <si>
    <t>09335355/0001-06</t>
  </si>
  <si>
    <t>FACIL - BRASILIA TRANSPORTE INTEGRADO</t>
  </si>
  <si>
    <t>35963479/0001-46</t>
  </si>
  <si>
    <t>ESAFI - ESCOLA ADMINISTRACAO TREINAMENTO</t>
  </si>
  <si>
    <t>02911903/0001-50</t>
  </si>
  <si>
    <t>FUNDACAO COMITE DE GESTAO EMPRESARIAL</t>
  </si>
  <si>
    <t>01377071/0001-70</t>
  </si>
  <si>
    <t>LANTELE COMERCIAL ELETRICA LTDA.</t>
  </si>
  <si>
    <t>04708116/0001-30</t>
  </si>
  <si>
    <t>ZENITE TECNOLOGIA E TELEINFORMATICA LTDA</t>
  </si>
  <si>
    <t>03712467/0001-52</t>
  </si>
  <si>
    <t>FLAMA RAMOS ACABAMENTO E MANUSEIO GRAFIC</t>
  </si>
  <si>
    <t>61705380/0001-54</t>
  </si>
  <si>
    <t>FUNDAG</t>
  </si>
  <si>
    <t>42334193/0001-67</t>
  </si>
  <si>
    <t>COMITE BRASILEIRO DE BARRAGENS</t>
  </si>
  <si>
    <t>03307532/0001-64</t>
  </si>
  <si>
    <t>SIVIC PLACAS E BRINDES LTDA</t>
  </si>
  <si>
    <t>32157042/0001-27</t>
  </si>
  <si>
    <t>PERSIANAS COIMBRA LTDA</t>
  </si>
  <si>
    <t>00348003/0129-84</t>
  </si>
  <si>
    <t>EMPRESA BRAS DE PESQ AGROP EMBRAPA</t>
  </si>
  <si>
    <t>02270142/0001-02</t>
  </si>
  <si>
    <t>GERMANISCHER LLOYD IND. SERVICES DO BRAS</t>
  </si>
  <si>
    <t>40181919/0001-43</t>
  </si>
  <si>
    <t>JURIS AMBIENTIS CONSULTORES S/S LTDA</t>
  </si>
  <si>
    <t>04832526/0001-99</t>
  </si>
  <si>
    <t>CASTRO &amp; CASTRO ADV. E CONSULTORES</t>
  </si>
  <si>
    <t>13013046/0001-97</t>
  </si>
  <si>
    <t>SITIAR COM. DE REFRIGERACAO LTDA - ME</t>
  </si>
  <si>
    <t>06353807/0001-94</t>
  </si>
  <si>
    <t>DEWI DO BRASIL</t>
  </si>
  <si>
    <t>08257771/0001-70</t>
  </si>
  <si>
    <t>FABBIO VEMGIZ LOBO CONS. TREINAMENTO</t>
  </si>
  <si>
    <t>08844668/0001-27</t>
  </si>
  <si>
    <t>AGUIAR &amp; VERISSIMO LTDA - ME</t>
  </si>
  <si>
    <t>11865040/0001-12</t>
  </si>
  <si>
    <t>ZFL TRANSPORTE EXECUTIVO LTDA</t>
  </si>
  <si>
    <t>02552009/0001-30</t>
  </si>
  <si>
    <t>DMSS SOFTWARE LTDA</t>
  </si>
  <si>
    <t>03557247/0001-00</t>
  </si>
  <si>
    <t>INTEGRAR CLIMATIZACAO LTDA</t>
  </si>
  <si>
    <t>CERTISIGN CERTIFICADORA DIGITAL S.A.</t>
  </si>
  <si>
    <t>12661222/0001-34</t>
  </si>
  <si>
    <t>SHOPPING MATRIZ FABRIL LTDA</t>
  </si>
  <si>
    <t>05085929/0002-65</t>
  </si>
  <si>
    <t>GIOCONDA E JOSE CAFE E CULINARIA LTDA</t>
  </si>
  <si>
    <t>33438300/0001-06</t>
  </si>
  <si>
    <t>PAPELARIA COLUMBIA LTDA</t>
  </si>
  <si>
    <t>09305304/0001-31</t>
  </si>
  <si>
    <t>BRISSETT &amp; BRISSETT EVENTOS LTDA</t>
  </si>
  <si>
    <t>08575670/000148</t>
  </si>
  <si>
    <t>DALA AR CONDICIONADO LTDA</t>
  </si>
  <si>
    <t>28711539/0001-78</t>
  </si>
  <si>
    <t>A C BURLAMAQUI CONSULTORES S/C</t>
  </si>
  <si>
    <t>10258575/0001-62</t>
  </si>
  <si>
    <t>SOUZA E VENTURELI LTDA - ME</t>
  </si>
  <si>
    <t>INST. AMBIENTAL BRA SUSTENTAVEL - IABS</t>
  </si>
  <si>
    <t>00885818/000139</t>
  </si>
  <si>
    <t>TECNOLOGIA E INFORMACAO LTDA - BPGR</t>
  </si>
  <si>
    <t>13317281/0001-52</t>
  </si>
  <si>
    <t>FORUM CULTURAL ORGANI DE EVENTOS LTDA</t>
  </si>
  <si>
    <t>15734197/0002-61</t>
  </si>
  <si>
    <t>SANTOS &amp; SARUBBI LTDA</t>
  </si>
  <si>
    <t>07668381/0001-20</t>
  </si>
  <si>
    <t>JONKOPING BUFFET LTDA</t>
  </si>
  <si>
    <t>10383122/0001-68</t>
  </si>
  <si>
    <t>GAS ENERGY CHEMICALS LTDA</t>
  </si>
  <si>
    <t>02606932/0001-08</t>
  </si>
  <si>
    <t>RM TREINAMENTO EMPRESARIAL LTDA</t>
  </si>
  <si>
    <t>01423190/0001-12</t>
  </si>
  <si>
    <t>R MAIA DESENVOLVIMENTO EMPRESARIAL LTDA</t>
  </si>
  <si>
    <t>10559255/0001-42</t>
  </si>
  <si>
    <t>ZACCHI E ZACCHI LTDA</t>
  </si>
  <si>
    <t>33636523/0001-88</t>
  </si>
  <si>
    <t>CENTRO INDUSTRIAL DO RJ - CIRJ</t>
  </si>
  <si>
    <t>33611617/0001-00</t>
  </si>
  <si>
    <t>ASSOCIACAO COMERCIAL DO RJ</t>
  </si>
  <si>
    <t>11061406/0001-09</t>
  </si>
  <si>
    <t>ZIVA RJ TECNOLOGIA E SOLUCOES</t>
  </si>
  <si>
    <t>03829453/0001-13</t>
  </si>
  <si>
    <t>CONGER ENCADERNACAO LTDA</t>
  </si>
  <si>
    <t>13775131/0001-92</t>
  </si>
  <si>
    <t>U DE ALMEIDA FARIA JUNIOR - BEM BOM</t>
  </si>
  <si>
    <t>04918514/0001-81</t>
  </si>
  <si>
    <t>MAPH - AUDITORIA E ASSESSORIA LTDA</t>
  </si>
  <si>
    <t>07544975/0001-20</t>
  </si>
  <si>
    <t>LUROVA AUTOMACAO INDUSTRIAL  E COME LTDA</t>
  </si>
  <si>
    <t>06939256/0001-45</t>
  </si>
  <si>
    <t>AUGE EVENTOS E AUDIOVISUAL</t>
  </si>
  <si>
    <t>13439080/0001-28</t>
  </si>
  <si>
    <t>JDG SERRALHERIA VIDRACARIA E SERV LTDA</t>
  </si>
  <si>
    <t>00572914/0001-27</t>
  </si>
  <si>
    <t>CENTRAL POINT COMERCIO E SERV LTDA</t>
  </si>
  <si>
    <t>07316919/0001-38</t>
  </si>
  <si>
    <t>GOVERNET EDITORA LTDA</t>
  </si>
  <si>
    <t>09663019/0001-92</t>
  </si>
  <si>
    <t>GBR CONSULTORIA ECONOMICA S/S LTDA</t>
  </si>
  <si>
    <t>03662199/0001-01</t>
  </si>
  <si>
    <t>BACHIANA POLIS PRODUCOES LTDA</t>
  </si>
  <si>
    <t>51978633/0001-00</t>
  </si>
  <si>
    <t>SEMINARIOS ADUANEIRAS SOCIEDADE SIMPLES</t>
  </si>
  <si>
    <t>00001172/0001-80</t>
  </si>
  <si>
    <t>S/A CORREIO BRAZILIENSE</t>
  </si>
  <si>
    <t>02537929/0001-80</t>
  </si>
  <si>
    <t>EIBSNET TREINAMENTO EM INFORMATICA</t>
  </si>
  <si>
    <t>02309061/0001-60</t>
  </si>
  <si>
    <t>BARBOSA E BARBOSA ENGENHARIA ELE LTDA</t>
  </si>
  <si>
    <t>01998348/0001-82</t>
  </si>
  <si>
    <t>BENICIO BIZ EDITORES ASSOCIADOS LTDA</t>
  </si>
  <si>
    <t>10762976/0001-55</t>
  </si>
  <si>
    <t>MINUTA COMUNICACAO LTDA - ME</t>
  </si>
  <si>
    <t>05154259/0001-00</t>
  </si>
  <si>
    <t>2M DESIGN LTDA</t>
  </si>
  <si>
    <t>04358563/0001-07</t>
  </si>
  <si>
    <t>NEOTROPICAL CONSUL. E ASSESS. AMB. LTDA</t>
  </si>
  <si>
    <t>40401341/0001-93</t>
  </si>
  <si>
    <t>HIDROFIRE COM DE MAT CONT INCENDIO LTDA</t>
  </si>
  <si>
    <t>28912970/0001-82</t>
  </si>
  <si>
    <t>ADEMIR DE OLIVEIRA TEIXEIRA</t>
  </si>
  <si>
    <t>10933120/0001-03</t>
  </si>
  <si>
    <t>ATOL CONSULTORIA AMBIENTAL LTDA</t>
  </si>
  <si>
    <t>2.1.1.04.0243</t>
  </si>
  <si>
    <t>33573791/0001-06</t>
  </si>
  <si>
    <t>CAMARA DE COMERCIO AMER. PARA O BRASIL</t>
  </si>
  <si>
    <t>2.1.1.04.0244</t>
  </si>
  <si>
    <t>50827039/0001-55</t>
  </si>
  <si>
    <t>ANTHROPOS CONSULTING LTDA</t>
  </si>
  <si>
    <t>2.1.1.04.0245</t>
  </si>
  <si>
    <t>07774090/0001-17</t>
  </si>
  <si>
    <t>ESCOLA DE NEG CONEX EDUC EMPRES LTDA</t>
  </si>
  <si>
    <t>2.1.1.04.0246</t>
  </si>
  <si>
    <t>42569459/0001-50</t>
  </si>
  <si>
    <t>ORG BRANCO DE MAQ E EQUIP LTDA - OBM</t>
  </si>
  <si>
    <t>2.1.1.04.0247</t>
  </si>
  <si>
    <t>09240519/0001-11</t>
  </si>
  <si>
    <t>TARGETWARE INFORMATICA LTDA</t>
  </si>
  <si>
    <t>2.1.1.04.0248</t>
  </si>
  <si>
    <t>39092598/0001-21</t>
  </si>
  <si>
    <t>BAKTRON MICROBIOLOGICA LTDA</t>
  </si>
  <si>
    <t>2.1.1.04.0249</t>
  </si>
  <si>
    <t>66582784/0001-11</t>
  </si>
  <si>
    <t>MAPDATA TECNOLOGIA, INFOR. COMERCIO LTDA</t>
  </si>
  <si>
    <t>2.1.1.04.0250</t>
  </si>
  <si>
    <t>07268152/0001-09</t>
  </si>
  <si>
    <t>VSDATA COMERCIAL DE INF. LTDA</t>
  </si>
  <si>
    <t>2.1.1.04.0251</t>
  </si>
  <si>
    <t>11563387/0001-00</t>
  </si>
  <si>
    <t>EDER DE SOUZA CAVALHEIRO ME</t>
  </si>
  <si>
    <t>2.1.1.04.0252</t>
  </si>
  <si>
    <t>05347213/0001-08</t>
  </si>
  <si>
    <t>HSRNET INFORMATICA LTDA</t>
  </si>
  <si>
    <t>2.1.1.04.0253</t>
  </si>
  <si>
    <t>11329948/0001-01</t>
  </si>
  <si>
    <t>SANET COMERCIO E SERV. INFOR. LTDA EPP</t>
  </si>
  <si>
    <t>2.1.1.04.0255</t>
  </si>
  <si>
    <t>05310737/0001-24</t>
  </si>
  <si>
    <t>IRJR PRINT CARTUCHOS E SERVICOS LTDA</t>
  </si>
  <si>
    <t>2.1.1.04.0256</t>
  </si>
  <si>
    <t>13200172/0001-50</t>
  </si>
  <si>
    <t>SHALLON INST. DE DRY WAL E PERSIANA LTDA</t>
  </si>
  <si>
    <t>2.1.1.04.0257</t>
  </si>
  <si>
    <t>07998546/0001-22</t>
  </si>
  <si>
    <t>UNIVERSO DO SOM ELET. LTDA - NALUBEL</t>
  </si>
  <si>
    <t>2.1.1.04.0258</t>
  </si>
  <si>
    <t>38066296/0001-16</t>
  </si>
  <si>
    <t>CRISTINA ROBERTO BUFFET PROD CULT. LTDA</t>
  </si>
  <si>
    <t>2.1.1.04.0259</t>
  </si>
  <si>
    <t>127.091.159-72</t>
  </si>
  <si>
    <t>ALUGUEL - ROBERTO DORNER</t>
  </si>
  <si>
    <t>2.1.1.04.0260</t>
  </si>
  <si>
    <t>04637111/0001-64</t>
  </si>
  <si>
    <t>MCPAR ENGEN. COMER. E SERV LTDA</t>
  </si>
  <si>
    <t>2.1.1.04.0261</t>
  </si>
  <si>
    <t>11662976/0001-46</t>
  </si>
  <si>
    <t>F CARDOSO SERV DE INFORMAÇÃO LTDA ME</t>
  </si>
  <si>
    <t>2.1.1.04.0262</t>
  </si>
  <si>
    <t>33787094/0001-40</t>
  </si>
  <si>
    <t>IBGE - INST. BRASI. DE GEO E ESTA.</t>
  </si>
  <si>
    <t>2.1.1.04.0263</t>
  </si>
  <si>
    <t>31925530/0001-74</t>
  </si>
  <si>
    <t>SHAFT CONSULTORIA LTDA</t>
  </si>
  <si>
    <t>2.1.1.04.0264</t>
  </si>
  <si>
    <t>06975694/0001-69</t>
  </si>
  <si>
    <t>ATM SIST. ENERG. INFOR. LTDA</t>
  </si>
  <si>
    <t>2.1.1.04.0265</t>
  </si>
  <si>
    <t>02309990/0001-70</t>
  </si>
  <si>
    <t>AZEVEDO E LUZ COMER. E SERV DE INFO. S/A</t>
  </si>
  <si>
    <t>2.1.1.04.0266</t>
  </si>
  <si>
    <t>08819627/0001-80</t>
  </si>
  <si>
    <t>DOMINIO CONTABILIDADE LTDA</t>
  </si>
  <si>
    <t>2.1.1.04.0267</t>
  </si>
  <si>
    <t>12347988/0001-49</t>
  </si>
  <si>
    <t>4Q TELECOMUNICACOES E MULTIMIDIA LTDA</t>
  </si>
  <si>
    <t>2.1.1.04.0268</t>
  </si>
  <si>
    <t>10484330/0001-53</t>
  </si>
  <si>
    <t>LOC MASTER AUTO LOCACAO LTDA</t>
  </si>
  <si>
    <t>2.1.1.04.0269</t>
  </si>
  <si>
    <t>33183724/0001-77</t>
  </si>
  <si>
    <t>MODERNOS HOTEIS DO BRASIL LTDA</t>
  </si>
  <si>
    <t>2.1.1.04.0270</t>
  </si>
  <si>
    <t>14294521/0001-03</t>
  </si>
  <si>
    <t>TOTAL FILM RJ INST. DE PELICULAS LTDA</t>
  </si>
  <si>
    <t>2.1.1.04.0271</t>
  </si>
  <si>
    <t>09323210/0001-95</t>
  </si>
  <si>
    <t>BRAGA E NOVAES LOC. DE VEIC. LTDA</t>
  </si>
  <si>
    <t>2.1.1.04.0272</t>
  </si>
  <si>
    <t>02558157/0014-87</t>
  </si>
  <si>
    <t>2.1.1.04.0273</t>
  </si>
  <si>
    <t>03873788/0001-39</t>
  </si>
  <si>
    <t>CANDELABRUS FESTAS LTDA - VIRGINIA D'ARC</t>
  </si>
  <si>
    <t>2.1.1.04.0274</t>
  </si>
  <si>
    <t>39074190/0006-31</t>
  </si>
  <si>
    <t>LE TOUR PROD. ALIMENTICIOS LTDA</t>
  </si>
  <si>
    <t>2.1.1.04.0275</t>
  </si>
  <si>
    <t>03025227/0001-80</t>
  </si>
  <si>
    <t>I C NASSER E CIA LTDA</t>
  </si>
  <si>
    <t>2.1.1.04.0276</t>
  </si>
  <si>
    <t>08961200/0001-12</t>
  </si>
  <si>
    <t>ATHENAS CONTABILIDADE LTDA</t>
  </si>
  <si>
    <t>2.1.1.04.0277</t>
  </si>
  <si>
    <t>13422884/0001-14</t>
  </si>
  <si>
    <t>NADJA REGIANE DO NASCIMENTO</t>
  </si>
  <si>
    <t>2.1.1.04.0278</t>
  </si>
  <si>
    <t>08003201/0001-54</t>
  </si>
  <si>
    <t>RL CLEAN SERV. DE LIMPEZA E CONS. LTDA</t>
  </si>
  <si>
    <t>2.1.1.04.0279</t>
  </si>
  <si>
    <t>49351919/0001-19</t>
  </si>
  <si>
    <t>ASSOC. NAC. DE TRANS. PUBLICOS - ANTP</t>
  </si>
  <si>
    <t>2.1.1.04.0280</t>
  </si>
  <si>
    <t>10341804/0001-08</t>
  </si>
  <si>
    <t>PIRES E SCHUNK DESIGN LTDA ME</t>
  </si>
  <si>
    <t>2.1.1.04.0281</t>
  </si>
  <si>
    <t>01754239/0005-43</t>
  </si>
  <si>
    <t>REFRIG DUFRIO COM E IMP LTDA</t>
  </si>
  <si>
    <t>2.1.1.04.0282</t>
  </si>
  <si>
    <t>03582662/0001-05</t>
  </si>
  <si>
    <t>TRADE CUSTOMS IMPORTE EXPORT LTDA</t>
  </si>
  <si>
    <t>2.1.1.04.0283</t>
  </si>
  <si>
    <t>78931474/0001-44</t>
  </si>
  <si>
    <t>REDISUL INFORMATICA LTDA</t>
  </si>
  <si>
    <t>2.1.1.04.0284</t>
  </si>
  <si>
    <t>02292557/0001-79</t>
  </si>
  <si>
    <t>SUPER TRAFOS INDUSTRIA E COMERCIO LTDA</t>
  </si>
  <si>
    <t>2.1.1.04.0285</t>
  </si>
  <si>
    <t>31424369/0001-55</t>
  </si>
  <si>
    <t>MULTITEC INSTRUMENTOS DE MEDICAO LTDA</t>
  </si>
  <si>
    <t>2.1.1.04.0286</t>
  </si>
  <si>
    <t>03142200/0001-77</t>
  </si>
  <si>
    <t>NORMATEC DE SAO CRISTOVAO LTDA</t>
  </si>
  <si>
    <t>2.1.1.04.0287</t>
  </si>
  <si>
    <t>03687592/0001-50</t>
  </si>
  <si>
    <t>VALOR ECONOMICO S.A</t>
  </si>
  <si>
    <t>2.1.1.04.0288</t>
  </si>
  <si>
    <t>14059340/0001-00</t>
  </si>
  <si>
    <t>PANDORA COM. DE MAT.  DE ESC. DE LIMP.</t>
  </si>
  <si>
    <t>2.1.1.04.0290</t>
  </si>
  <si>
    <t>03951066/0001-55</t>
  </si>
  <si>
    <t>FOCO ARQUITETOS ASSOCIADOS LTDA</t>
  </si>
  <si>
    <t>2.1.1.04.0291</t>
  </si>
  <si>
    <t>33717976/0001-39</t>
  </si>
  <si>
    <t>RIOTRON COMERCIO E INDUSTRIA DE MAQ LTDA</t>
  </si>
  <si>
    <t>2.1.1.04.0292</t>
  </si>
  <si>
    <t>04656762/0001-00</t>
  </si>
  <si>
    <t>WALPRINT GRAFICA E EDITORA LTDA</t>
  </si>
  <si>
    <t>2.1.1.04.0293</t>
  </si>
  <si>
    <t>00441200/0001-80</t>
  </si>
  <si>
    <t>SERGIO MACHADO REIS EPP</t>
  </si>
  <si>
    <t>2.1.1.04.0294</t>
  </si>
  <si>
    <t>15278683/0001-10</t>
  </si>
  <si>
    <t>TAYNAH KAUANY DE OLIV SILVA TRANSPORTE</t>
  </si>
  <si>
    <t>2.1.1.04.0295</t>
  </si>
  <si>
    <t>31249774/0001-84</t>
  </si>
  <si>
    <t>MENON COPIAS LTDA</t>
  </si>
  <si>
    <t>2.1.1.04.0296</t>
  </si>
  <si>
    <t>43217850/0001-59</t>
  </si>
  <si>
    <t>IOB INFORMACOES OBJ PUB JURIDICAS LTDA</t>
  </si>
  <si>
    <t>2.1.1.04.0297</t>
  </si>
  <si>
    <t>08740327/0001-01</t>
  </si>
  <si>
    <t>SYSTEM CARD 460 CONT DE ACESSO E IDENT.</t>
  </si>
  <si>
    <t>2.1.1.04.0298</t>
  </si>
  <si>
    <t>06281829/0001-96</t>
  </si>
  <si>
    <t>JP SMART VEND. OP. MAQ. AUTOMATICAS LTDA</t>
  </si>
  <si>
    <t>2.1.1.04.0299</t>
  </si>
  <si>
    <t>32922205/0001-10</t>
  </si>
  <si>
    <t>CENTRAL DE AVALIACAO E PERICIAS LTDA</t>
  </si>
  <si>
    <t>2.1.1.04.0300</t>
  </si>
  <si>
    <t>28015634/0003-07</t>
  </si>
  <si>
    <t>ESAD CONSULTORIA S/S LTDA</t>
  </si>
  <si>
    <t>2.1.1.04.0301</t>
  </si>
  <si>
    <t>33073800/0001-91</t>
  </si>
  <si>
    <t>DANIEL ADVOGADOS</t>
  </si>
  <si>
    <t>2.1.1.04.0302</t>
  </si>
  <si>
    <t>62277041/0001-87</t>
  </si>
  <si>
    <t>DISAL S.A</t>
  </si>
  <si>
    <t>2.1.1.04.0303</t>
  </si>
  <si>
    <t>10418927/0001-08</t>
  </si>
  <si>
    <t>ECO PLUS 92 NAT WEAR COM PROD ECOL LTDA</t>
  </si>
  <si>
    <t>2.1.1.04.0304</t>
  </si>
  <si>
    <t>33540014/0001-57</t>
  </si>
  <si>
    <t>UNIVERSIDADE DO ESTADO DO RIO DE JANEIRO</t>
  </si>
  <si>
    <t>2.1.1.04.0305</t>
  </si>
  <si>
    <t>05170462/0001-70</t>
  </si>
  <si>
    <t>SMH ASSESSORIA E CONSULTORIA EMPRE. LTDA</t>
  </si>
  <si>
    <t>2.1.1.04.0306</t>
  </si>
  <si>
    <t>05764629/0001-21</t>
  </si>
  <si>
    <t>DFTRANS</t>
  </si>
  <si>
    <t>2.1.1.04.0307</t>
  </si>
  <si>
    <t>06913480/0001-68</t>
  </si>
  <si>
    <t>CENTELHA EQUIPAMENTOS ELETRONICOS LTDA</t>
  </si>
  <si>
    <t>2.1.1.04.0308</t>
  </si>
  <si>
    <t>60455193/0001-05</t>
  </si>
  <si>
    <t>OPENCADD ADVANCED TECHNOLOGY LTDA</t>
  </si>
  <si>
    <t>2.1.1.04.0309</t>
  </si>
  <si>
    <t>INSTITUTO NAC. DE EFICIENCIA ENERGETICA</t>
  </si>
  <si>
    <t>2.1.1.04.0311</t>
  </si>
  <si>
    <t>02687045/0001-01</t>
  </si>
  <si>
    <t>ADMINISTRADORA SANTA CAROLINA LTDA</t>
  </si>
  <si>
    <t>2.1.1.04.0312</t>
  </si>
  <si>
    <t>33732991/0001-56</t>
  </si>
  <si>
    <t>ELETRICA ARTURO LTDA</t>
  </si>
  <si>
    <t>2.1.1.04.0313</t>
  </si>
  <si>
    <t>11425781/0001-82</t>
  </si>
  <si>
    <t>GRP SOLUTIONS INFORMATICA LTDA</t>
  </si>
  <si>
    <t>2.1.1.04.0314</t>
  </si>
  <si>
    <t>10354189/0001-74</t>
  </si>
  <si>
    <t>MACEIO SERVICOS LTDA</t>
  </si>
  <si>
    <t>2.1.1.04.0315</t>
  </si>
  <si>
    <t>39119656/0001-63</t>
  </si>
  <si>
    <t>MULTISUPRIMENTOS SUP E EQUIP P/ ESC INFO</t>
  </si>
  <si>
    <t>2.1.1.04.0316</t>
  </si>
  <si>
    <t>32265811/0001-00</t>
  </si>
  <si>
    <t>BOLSA DE NEGOCIO IMOBILARIOS DO RIO</t>
  </si>
  <si>
    <t>2.1.1.04.0317</t>
  </si>
  <si>
    <t>34135509/0001-63</t>
  </si>
  <si>
    <t>APIMEC RIO</t>
  </si>
  <si>
    <t>2.1.1.04.0318</t>
  </si>
  <si>
    <t>33368762/0001-02</t>
  </si>
  <si>
    <t>EMD RIO GUARDA MOVEIS E MUDANCAS LTDA</t>
  </si>
  <si>
    <t>2.1.1.04.0319</t>
  </si>
  <si>
    <t>32106536/0001-82</t>
  </si>
  <si>
    <t>EDITORA OBJETIVA LTDA</t>
  </si>
  <si>
    <t>2.1.1.04.0320</t>
  </si>
  <si>
    <t>33633561/0001-87</t>
  </si>
  <si>
    <t>LEME ENGENHARIA LTDA</t>
  </si>
  <si>
    <t>2.1.1.04.0321</t>
  </si>
  <si>
    <t>04911597/00001-87</t>
  </si>
  <si>
    <t>TREINAMENTO AVANCADO LTDA</t>
  </si>
  <si>
    <t>2.1.1.04.0322</t>
  </si>
  <si>
    <t>09512865/0001-01</t>
  </si>
  <si>
    <t>SANDERCOM COMERCIO DE INFORMATICA LTDA</t>
  </si>
  <si>
    <t>2.1.1.04.0323</t>
  </si>
  <si>
    <t>07522669/0001-92</t>
  </si>
  <si>
    <t>CEB DISTRIBUICAO</t>
  </si>
  <si>
    <t>2.1.1.04.0324</t>
  </si>
  <si>
    <t>08208924/0001-90</t>
  </si>
  <si>
    <t>FORT SAFE COMERCIO DE COFRE LTDA ME</t>
  </si>
  <si>
    <t>2.1.1.04.0325</t>
  </si>
  <si>
    <t>02605452/0001-22</t>
  </si>
  <si>
    <t>VIP SERVICE CLUB LOCADORA LTDA</t>
  </si>
  <si>
    <t>2.1.1.04.0326</t>
  </si>
  <si>
    <t>04982263/0001-02</t>
  </si>
  <si>
    <t>MONTALVO ADMINISTRACAO E PARTICIPACOES</t>
  </si>
  <si>
    <t>2.1.1.04.0327</t>
  </si>
  <si>
    <t>33569146/0001-01</t>
  </si>
  <si>
    <t>BAZAR DOS PRATOS LTDA</t>
  </si>
  <si>
    <t>2.1.1.04.0328</t>
  </si>
  <si>
    <t>09116592/0001-86</t>
  </si>
  <si>
    <t>BELLCOMS COM E PREST SERV INFORM LTDA</t>
  </si>
  <si>
    <t>2.1.1.04.0329</t>
  </si>
  <si>
    <t>62410352/0019-00</t>
  </si>
  <si>
    <t>LIVRARIA CULTURA S.A</t>
  </si>
  <si>
    <t>2.1.1.04.0330</t>
  </si>
  <si>
    <t>05977006/0001-37</t>
  </si>
  <si>
    <t>YP PERSIANAS LTDA</t>
  </si>
  <si>
    <t>2.1.1.04.0331</t>
  </si>
  <si>
    <t>15272192/0001-62</t>
  </si>
  <si>
    <t>NOVA TECNICA EDITORA LTDA</t>
  </si>
  <si>
    <t>2.1.1.04.0332</t>
  </si>
  <si>
    <t>12063470/0001-83</t>
  </si>
  <si>
    <t>ECOENERGIA EDITORA LTDA</t>
  </si>
  <si>
    <t>2.1.1.04.0333</t>
  </si>
  <si>
    <t>02990717/0001-53</t>
  </si>
  <si>
    <t>MACROPLAN PROSPECTVA ESTRATEGIA E GESTAO</t>
  </si>
  <si>
    <t>2.1.1.04.0334</t>
  </si>
  <si>
    <t>03584647/0001-04</t>
  </si>
  <si>
    <t>NELSON WILIANS E ADVOGADOS ASSOCIADOS</t>
  </si>
  <si>
    <t>2.1.1.04.0335</t>
  </si>
  <si>
    <t>07022584/0001-45</t>
  </si>
  <si>
    <t>LIVRARIA CAFE DO WILSINHO LTDA</t>
  </si>
  <si>
    <t>2.1.1.04.0337</t>
  </si>
  <si>
    <t>60215282/0001-76</t>
  </si>
  <si>
    <t>SOCIEDADE BRAS. DE PESQ. OPER. SOBRAPO</t>
  </si>
  <si>
    <t>2.1.1.04.0338</t>
  </si>
  <si>
    <t>05313684/0001-03</t>
  </si>
  <si>
    <t>MOURAO MARMORES E GRANITOS LTDA</t>
  </si>
  <si>
    <t>2.1.1.04.0339</t>
  </si>
  <si>
    <t>62958863/0001-23</t>
  </si>
  <si>
    <t>WGR INDUSTRIA COM. IMP. E EXP. LTDA</t>
  </si>
  <si>
    <t>2.1.1.04.0340</t>
  </si>
  <si>
    <t>02718533/0001-39</t>
  </si>
  <si>
    <t>SHOPPING HOUSE UTIL. PARA O LAR LTDA</t>
  </si>
  <si>
    <t>2.1.1.04.0341</t>
  </si>
  <si>
    <t>CRISDINBASTOS LTDA</t>
  </si>
  <si>
    <t>2.1.1.04.0342</t>
  </si>
  <si>
    <t>BAZAR FLOR DO ACRE LTDA</t>
  </si>
  <si>
    <t>2.1.1.04.0343</t>
  </si>
  <si>
    <t>00673757/0001-46</t>
  </si>
  <si>
    <t>INFNET EDUCACAO LTDA</t>
  </si>
  <si>
    <t>2.1.1.04.0344</t>
  </si>
  <si>
    <t>04927672/0001-06</t>
  </si>
  <si>
    <t>SC&amp;M COMER. DE MAT. DE ESCR. E INFO. LT</t>
  </si>
  <si>
    <t>2.1.1.04.0345</t>
  </si>
  <si>
    <t>02309765/0001-03</t>
  </si>
  <si>
    <t>EGIDE COM. DE VEST. E ELETROD. LTDA</t>
  </si>
  <si>
    <t>2.1.1.04.0346</t>
  </si>
  <si>
    <t>30069850/0001-07</t>
  </si>
  <si>
    <t>MAXPEL DIST. DE INFORM. E PAPELARIA LTDA</t>
  </si>
  <si>
    <t>2.1.1.04.0347</t>
  </si>
  <si>
    <t>03420926/0058-60</t>
  </si>
  <si>
    <t>GLOBAL VILLAGE TELECOM LTDA</t>
  </si>
  <si>
    <t>2.1.1.04.0348</t>
  </si>
  <si>
    <t>01085952/0001-18</t>
  </si>
  <si>
    <t>PRONTIDAO SERVICOS LTDA</t>
  </si>
  <si>
    <t>2.1.1.04.0349</t>
  </si>
  <si>
    <t>11114463/0001-09</t>
  </si>
  <si>
    <t>GRAF EDIT FORMU CONTI E ETIQUE F&amp;F LTDA</t>
  </si>
  <si>
    <t>2.1.1.04.0350</t>
  </si>
  <si>
    <t>03620596/0012-73</t>
  </si>
  <si>
    <t>DIDICO COMERCIO CONSULTORIA</t>
  </si>
  <si>
    <t>2.1.1.04.0351</t>
  </si>
  <si>
    <t>14314927/0001-00</t>
  </si>
  <si>
    <t>VEM QUE AQUI TEM INFORMATICA LTDA</t>
  </si>
  <si>
    <t>2.1.1.04.0352</t>
  </si>
  <si>
    <t>33085796/0001-81</t>
  </si>
  <si>
    <t>FERRAGENS SCALEA LTDA</t>
  </si>
  <si>
    <t>2.1.1.04.0353</t>
  </si>
  <si>
    <t>10979108/0001-21</t>
  </si>
  <si>
    <t>DHI BRASIL LTDA</t>
  </si>
  <si>
    <t>2.1.1.04.0354</t>
  </si>
  <si>
    <t>05875886/0001-30</t>
  </si>
  <si>
    <t>MENEGHITTIS GRAFICA E EDITORA LTDA</t>
  </si>
  <si>
    <t>2.1.1.04.0355</t>
  </si>
  <si>
    <t>01778924/0001-86</t>
  </si>
  <si>
    <t>GELSO ANTONIO LORENZI</t>
  </si>
  <si>
    <t>2.1.1.04.0356</t>
  </si>
  <si>
    <t>07267692/0001-88</t>
  </si>
  <si>
    <t>TIMELINE LEARNING SYSTEMS COMP GRAF LTDA</t>
  </si>
  <si>
    <t>2.1.1.04.0357</t>
  </si>
  <si>
    <t>02707366/0001-20</t>
  </si>
  <si>
    <t>AMS INFORMATICA LTDA</t>
  </si>
  <si>
    <t>2.1.1.04.0358</t>
  </si>
  <si>
    <t>01398737/0001-77</t>
  </si>
  <si>
    <t>CURSO ADV LTDA</t>
  </si>
  <si>
    <t>2.1.1.04.0359</t>
  </si>
  <si>
    <t>14208689/0001-59</t>
  </si>
  <si>
    <t>BARLOVENTO BRASIL ENERG RENOVAVEIS LTDA</t>
  </si>
  <si>
    <t>2.1.1.04.0360</t>
  </si>
  <si>
    <t>14798807/0001-26</t>
  </si>
  <si>
    <t>GENEBRA RESTAURANTE LTDA</t>
  </si>
  <si>
    <t>2.1.1.04.0361</t>
  </si>
  <si>
    <t>04073247/0001-99</t>
  </si>
  <si>
    <t>LEMA PROMOCOES E EVENTOS LTDA</t>
  </si>
  <si>
    <t>2.1.1.04.0362</t>
  </si>
  <si>
    <t>08964597/0001-04</t>
  </si>
  <si>
    <t>REPUBLICA DO SOM ELETRONICA LTDA</t>
  </si>
  <si>
    <t>2.1.1.04.0363</t>
  </si>
  <si>
    <t>51536795/0001-98</t>
  </si>
  <si>
    <t>SANTIAGO &amp; CINTRA IMPORT E EXPORT LTDA</t>
  </si>
  <si>
    <t>2.1.1.04.0364</t>
  </si>
  <si>
    <t>0448141/0001-52</t>
  </si>
  <si>
    <t>IGUACU TUR AGENC DE VIAG E TUR LTDA</t>
  </si>
  <si>
    <t>2.1.1.04.0366</t>
  </si>
  <si>
    <t>01797423/0001-47</t>
  </si>
  <si>
    <t>GHS INDUSTRIA E SERVICOS LTDA</t>
  </si>
  <si>
    <t>2.1.1.04.0367</t>
  </si>
  <si>
    <t>05777480/0001-15</t>
  </si>
  <si>
    <t>JBP DOMINICI ME</t>
  </si>
  <si>
    <t>2.1.1.04.0368</t>
  </si>
  <si>
    <t>53828620/0001-80</t>
  </si>
  <si>
    <t>SOCIEDADE BRASILEIRA DE ICTIOLOGIA</t>
  </si>
  <si>
    <t>2.1.1.04.0369</t>
  </si>
  <si>
    <t>16687498/0001-42</t>
  </si>
  <si>
    <t>PEX SA</t>
  </si>
  <si>
    <t>2.1.1.04.0371</t>
  </si>
  <si>
    <t>08311546/0001-75</t>
  </si>
  <si>
    <t>FRAGMEUSER COM D MAQ E EQUIP D ESCR LTDA</t>
  </si>
  <si>
    <t>2.1.1.04.0372</t>
  </si>
  <si>
    <t>10830126/000147</t>
  </si>
  <si>
    <t>RESOLUTION CONSUL EM GEST EMPRE E TECN D</t>
  </si>
  <si>
    <t>2.1.1.04.0373</t>
  </si>
  <si>
    <t>33769639/000195</t>
  </si>
  <si>
    <t>ELETRICA SANTO MICHELE LTDA</t>
  </si>
  <si>
    <t>2.1.1.04.0374</t>
  </si>
  <si>
    <t>04325027/0001-05</t>
  </si>
  <si>
    <t>CALIFORNIA 2001 INFO E MAT LIMPEZA LTDA</t>
  </si>
  <si>
    <t>2.1.1.04.0376</t>
  </si>
  <si>
    <t>62916366/0001-62</t>
  </si>
  <si>
    <t>SOCIEDADE BRASILEIRA DE GEOLOGIA</t>
  </si>
  <si>
    <t>2.1.1.04.0377</t>
  </si>
  <si>
    <t>10787431/0001-01</t>
  </si>
  <si>
    <t>INTITUTO BESC DE HUMANIDADE E ECONOMIA</t>
  </si>
  <si>
    <t>2.1.1.04.0378</t>
  </si>
  <si>
    <t>00771775/0001-60</t>
  </si>
  <si>
    <t>JOBAF REFORMAS DE MOVEIS LTDA</t>
  </si>
  <si>
    <t>2.1.1.04.0379</t>
  </si>
  <si>
    <t>13293067/0001-03</t>
  </si>
  <si>
    <t>MC QUILLING BRASIL SERV MARITIMOS LTDA</t>
  </si>
  <si>
    <t>2.1.1.04.0380</t>
  </si>
  <si>
    <t>07668045/0001-88</t>
  </si>
  <si>
    <t>IMAGEM SISTEMAS DE INFORMACOES LTDA</t>
  </si>
  <si>
    <t>2.1.1.04.0381</t>
  </si>
  <si>
    <t>14132747/0001-08</t>
  </si>
  <si>
    <t>ESCOLA DE AUDIT E GOVER CORPORATIVA LTDA</t>
  </si>
  <si>
    <t>2.1.1.04.0382</t>
  </si>
  <si>
    <t>02317176/0001-05</t>
  </si>
  <si>
    <t>ESCOLA DE ADMINISTRACAO FAZENDARIA</t>
  </si>
  <si>
    <t>2.1.1.04.0383</t>
  </si>
  <si>
    <t>06952344/000187</t>
  </si>
  <si>
    <t>CONSULTOC-CONSULTORIA E TREINAMENTO LTDA</t>
  </si>
  <si>
    <t>2.1.1.04.0384</t>
  </si>
  <si>
    <t>06229883/0001-92</t>
  </si>
  <si>
    <t>QUANTUM DO BRASIL LTDA</t>
  </si>
  <si>
    <t>2.1.1.04.0385</t>
  </si>
  <si>
    <t>INSTITUTO CAPACITAR DE EDUCACAO PROF</t>
  </si>
  <si>
    <t>2.1.1.04.0386</t>
  </si>
  <si>
    <t>13242948/0001-03</t>
  </si>
  <si>
    <t>DATAGRO MARKETS DADOS E ANALISES LTDA</t>
  </si>
  <si>
    <t>2.1.1.04.0387</t>
  </si>
  <si>
    <t>66542002/0017-88</t>
  </si>
  <si>
    <t>BLUE TREE HOTELS &amp; RESORTS DO BRASIL S.A</t>
  </si>
  <si>
    <t>2.1.1.04.0388</t>
  </si>
  <si>
    <t>73681603/0001-70</t>
  </si>
  <si>
    <t>NEO CARE CONSUL INFANTIL LTDA</t>
  </si>
  <si>
    <t>2.1.1.04.0389</t>
  </si>
  <si>
    <t>08493691/0001-14</t>
  </si>
  <si>
    <t>FLAMAM IND E COM DE FILTROS INDUS LTDA</t>
  </si>
  <si>
    <t>2.1.1.04.0390</t>
  </si>
  <si>
    <t>04629369/000119</t>
  </si>
  <si>
    <t>CA SIMPLES COMERCIO E TECNOLOGIA LTDA</t>
  </si>
  <si>
    <t>2.1.1.04.0391</t>
  </si>
  <si>
    <t>14242413/000197</t>
  </si>
  <si>
    <t>GL GARRAD HASSAN ENER RENOVAVEL BR LTDA</t>
  </si>
  <si>
    <t>2.1.1.04.0392</t>
  </si>
  <si>
    <t>32059016/0001-66</t>
  </si>
  <si>
    <t>ENGEPLAC SIST DE COM VISU LTDA</t>
  </si>
  <si>
    <t>2.1.1.04.0393</t>
  </si>
  <si>
    <t>13425600/0001-43</t>
  </si>
  <si>
    <t>SAID AUDIOVISUAL LOC DE EQUI P/ TRAD SIM</t>
  </si>
  <si>
    <t>2.1.1.04.0394</t>
  </si>
  <si>
    <t>11290557/0001-20</t>
  </si>
  <si>
    <t>FRANCA COM DE ELTR IMP E EXP</t>
  </si>
  <si>
    <t>2.1.1.04.0395</t>
  </si>
  <si>
    <t>28948222/0001-50</t>
  </si>
  <si>
    <t>PAPELARIA ZAP LTDA</t>
  </si>
  <si>
    <t>2.1.1.04.0396</t>
  </si>
  <si>
    <t>87270690/0001-87</t>
  </si>
  <si>
    <t>COMERCIO DE APAR MUSICAIS MIL SONS LTDA</t>
  </si>
  <si>
    <t>2.1.1.04.0397</t>
  </si>
  <si>
    <t>08463170/0003-86</t>
  </si>
  <si>
    <t>EDITORA WMF MARTINS FONTES LTDA</t>
  </si>
  <si>
    <t>2.1.1.04.0398</t>
  </si>
  <si>
    <t>32578387/0001-54</t>
  </si>
  <si>
    <t>UNITECH RIO COMERCIO E SERV LTDA</t>
  </si>
  <si>
    <t>2.1.1.04.0399</t>
  </si>
  <si>
    <t>07661783/0001-01</t>
  </si>
  <si>
    <t>AGC RIO FRETAMENTO E TURISMO LTDA</t>
  </si>
  <si>
    <t>2.1.1.04.0400</t>
  </si>
  <si>
    <t>27158039/0001-98</t>
  </si>
  <si>
    <t>AGEL COP SERVICOS GERAIS LTDA</t>
  </si>
  <si>
    <t>2.1.1.04.0401</t>
  </si>
  <si>
    <t>01000601/0001-57</t>
  </si>
  <si>
    <t>KAHN CONSULTORIA E TREINAMENTO</t>
  </si>
  <si>
    <t>2.1.1.04.0402</t>
  </si>
  <si>
    <t>07797967/0001-95</t>
  </si>
  <si>
    <t>NP-EVENTOS E SERVICOS LTDA</t>
  </si>
  <si>
    <t>2.1.1.04.0403</t>
  </si>
  <si>
    <t>54394630/0002-06</t>
  </si>
  <si>
    <t>SERVICES LIVRARIA E EDITORA LTDA</t>
  </si>
  <si>
    <t>2.1.1.04.0404</t>
  </si>
  <si>
    <t>02660104/0001-58</t>
  </si>
  <si>
    <t>LOGUS DETETIZADORA LTDA</t>
  </si>
  <si>
    <t>2.1.1.04.0405</t>
  </si>
  <si>
    <t>06326048/0001-70</t>
  </si>
  <si>
    <t>OVERSTRESS RIO SERVICOS DE RELAXAMENTO</t>
  </si>
  <si>
    <t>2.1.1.04.0406</t>
  </si>
  <si>
    <t>07271878/0001-00</t>
  </si>
  <si>
    <t>GRUPO JAM AGENC DE PUBLICIDADE LTDA</t>
  </si>
  <si>
    <t>2.1.1.04.0407</t>
  </si>
  <si>
    <t>81241515/0001-85</t>
  </si>
  <si>
    <t>AEROIMAGENS S/A</t>
  </si>
  <si>
    <t>2.1.1.04.0408</t>
  </si>
  <si>
    <t>01312265/0001-98</t>
  </si>
  <si>
    <t>VIRTUAL OFFICE COM E IND DE PROD</t>
  </si>
  <si>
    <t>2.1.1.04.0409</t>
  </si>
  <si>
    <t>05816526/0001-68</t>
  </si>
  <si>
    <t>ZIVA TECNOLOGIA E SOLUCOES</t>
  </si>
  <si>
    <t>2.1.1.04.0410</t>
  </si>
  <si>
    <t>35949858/0001-81</t>
  </si>
  <si>
    <t>ESCOLA DA MAGISTRATURA DO ESTADO RJ</t>
  </si>
  <si>
    <t>2.1.1.04.0411</t>
  </si>
  <si>
    <t>04183043/0001-00</t>
  </si>
  <si>
    <t>INNOLAB DO BRASIL LTDA</t>
  </si>
  <si>
    <t>2.1.1.04.0412</t>
  </si>
  <si>
    <t>62567821/0001-61</t>
  </si>
  <si>
    <t>ABEGAS - ASSOCIACAO BRASILEIRA DAS EMPRE</t>
  </si>
  <si>
    <t>2.1.1.04.0413</t>
  </si>
  <si>
    <t>02457524/0001-31</t>
  </si>
  <si>
    <t>PUBLINT-PUBL NAC E INT LTDA</t>
  </si>
  <si>
    <t>2.1.1.04.0414</t>
  </si>
  <si>
    <t>12711505/0001-43</t>
  </si>
  <si>
    <t>EDITORA PAPEIS NOVA ALIANCA LTDA</t>
  </si>
  <si>
    <t>2.1.1.04.0415</t>
  </si>
  <si>
    <t>12964018/0001-92</t>
  </si>
  <si>
    <t>AS MARIAS PROPAGANDA LTDA</t>
  </si>
  <si>
    <t>2.1.1.04.0416</t>
  </si>
  <si>
    <t>09385180/0001-41</t>
  </si>
  <si>
    <t>IMPRIMINDO CONHECIMENTOS GRAF EDIT LTDA</t>
  </si>
  <si>
    <t>2.1.1.04.0417</t>
  </si>
  <si>
    <t>04576573/0001-19</t>
  </si>
  <si>
    <t>IGPLAN INTELIGENCIA GEOGRAFICA LTDA</t>
  </si>
  <si>
    <t>2.1.1.04.0418</t>
  </si>
  <si>
    <t>11050925/0001-63</t>
  </si>
  <si>
    <t>GESEQ COMERCIO E SERVICOS DE SEGURANCA</t>
  </si>
  <si>
    <t>2.1.1.04.0419</t>
  </si>
  <si>
    <t>07134279/0001-45</t>
  </si>
  <si>
    <t>NOVATERRA GEOP. E CONS. EM MEIO AMBIENTE</t>
  </si>
  <si>
    <t>2.1.1.04.0420</t>
  </si>
  <si>
    <t>35808948/00001-52</t>
  </si>
  <si>
    <t>HABTEC ENGENHARIA SANITARIA E AMBIENTAL</t>
  </si>
  <si>
    <t>2.1.1.04.0421</t>
  </si>
  <si>
    <t>10785597/0001-80</t>
  </si>
  <si>
    <t>PALISADE COMERCIALIZADORA  DE SOFTWARES</t>
  </si>
  <si>
    <t>2.1.1.04.0422</t>
  </si>
  <si>
    <t>36084895/0001-37</t>
  </si>
  <si>
    <t>STRAICK CENTRO DE TREINAMENTO E INF LTDA</t>
  </si>
  <si>
    <t>2.1.1.04.0423</t>
  </si>
  <si>
    <t>31304371/00001-90</t>
  </si>
  <si>
    <t>JOALHERIA SILVA CAMPOS  LTDA</t>
  </si>
  <si>
    <t>2.1.1.04.0424</t>
  </si>
  <si>
    <t>08942118-0001/40</t>
  </si>
  <si>
    <t>ART DECOR CARPETES PISOS  E REVESTIMENTO</t>
  </si>
  <si>
    <t>2.1.1.04.0425</t>
  </si>
  <si>
    <t>05325136/0001-95</t>
  </si>
  <si>
    <t>UB BRASIL EVENTOS LTDA</t>
  </si>
  <si>
    <t>2.1.1.04.0426</t>
  </si>
  <si>
    <t>08824171/0003-09</t>
  </si>
  <si>
    <t>JCM NITEROI REFRIGERACAO LTDA</t>
  </si>
  <si>
    <t>2.1.1.04.0427</t>
  </si>
  <si>
    <t>35808088/0001-57</t>
  </si>
  <si>
    <t>P C E PROJETOS E CONSULT DE ENG LTDA</t>
  </si>
  <si>
    <t>2.1.1.04.0428</t>
  </si>
  <si>
    <t>03851171/0001-12</t>
  </si>
  <si>
    <t>SERVICO SOCIAL DA INDUSTRIA - SESI</t>
  </si>
  <si>
    <t>2.1.1.04.0429</t>
  </si>
  <si>
    <t>05396069/0001-08</t>
  </si>
  <si>
    <t>NOVO PONTO DIGITAL COMERCIO LTDA EPP</t>
  </si>
  <si>
    <t>2.1.1.04.0430</t>
  </si>
  <si>
    <t>11209430/0001-34</t>
  </si>
  <si>
    <t>EASYTS ASSESSORIA LINGUISTICA LTDA</t>
  </si>
  <si>
    <t>2.1.1.04.0431</t>
  </si>
  <si>
    <t>03928633/0017-10</t>
  </si>
  <si>
    <t>HOUTER DO BRASIL LTDA</t>
  </si>
  <si>
    <t>2.1.1.04.0432</t>
  </si>
  <si>
    <t>10411968/0001-64</t>
  </si>
  <si>
    <t>WOOD MACKENZE CONSULTORIA E ASSESSORIA</t>
  </si>
  <si>
    <t>2.1.1.04.0433</t>
  </si>
  <si>
    <t>72381189/0006-25</t>
  </si>
  <si>
    <t>DELL COMPUTADORES DO BRASIL LTDA</t>
  </si>
  <si>
    <t>2.1.1.04.0434</t>
  </si>
  <si>
    <t>01113391/0001-13</t>
  </si>
  <si>
    <t>DOCUMENTAR TECNOLOGIA E INFORMACAO  LTDA</t>
  </si>
  <si>
    <t>2.1.1.04.0435</t>
  </si>
  <si>
    <t>15208337/0001-66</t>
  </si>
  <si>
    <t>RICETE CONSERTOS E MANUTENCAO LTDA</t>
  </si>
  <si>
    <t>2.1.1.04.0436</t>
  </si>
  <si>
    <t>15276795/0001-32</t>
  </si>
  <si>
    <t>SERCOM SOLUCOES LTDA</t>
  </si>
  <si>
    <t>2.1.1.04.0437</t>
  </si>
  <si>
    <t>88766936/0001-79</t>
  </si>
  <si>
    <t>MARELLI MOVEIS PARA ESCRITORIO LTDA</t>
  </si>
  <si>
    <t>2.1.1.04.0438</t>
  </si>
  <si>
    <t>13098174/0001-80</t>
  </si>
  <si>
    <t>MACIEL AUDITORES S/S - EPP</t>
  </si>
  <si>
    <t>2.1.1.04.0439</t>
  </si>
  <si>
    <t>36207710/0001-34</t>
  </si>
  <si>
    <t>DUPLICA SOM IND. COM. LTDA</t>
  </si>
  <si>
    <t>2.1.1.04.0440</t>
  </si>
  <si>
    <t>07815873/0001-00</t>
  </si>
  <si>
    <t>FUNDACAO TROMPOWSKY</t>
  </si>
  <si>
    <t>2.1.1.04.0441</t>
  </si>
  <si>
    <t>04234330/0001-00</t>
  </si>
  <si>
    <t>MENEGATTI SOLUCOES SOFTWARE LTDA</t>
  </si>
  <si>
    <t>2.1.1.04.0442</t>
  </si>
  <si>
    <t>05102374/0001-31</t>
  </si>
  <si>
    <t>EXTINFIRE EXTINTORES LTDA</t>
  </si>
  <si>
    <t>2.1.1.04.0443</t>
  </si>
  <si>
    <t>07055987/0001-90</t>
  </si>
  <si>
    <t>INOVAMAX TELEINFORMATICA LTDA</t>
  </si>
  <si>
    <t>2.1.1.04.0445</t>
  </si>
  <si>
    <t>09308557/0001-69</t>
  </si>
  <si>
    <t>BUREAURIO REPROGRAFIA E SERVICOS LTDA</t>
  </si>
  <si>
    <t>2.1.1.04.0446</t>
  </si>
  <si>
    <t>76703404/0001-03</t>
  </si>
  <si>
    <t>FERMA ENGENHARIA LTDA</t>
  </si>
  <si>
    <t>2.1.1.04.0447</t>
  </si>
  <si>
    <t>33683111/0008-75</t>
  </si>
  <si>
    <t>SERVICO FEDERAL DE PROC DE DADOS SERPRO</t>
  </si>
  <si>
    <t>2.1.1.04.0448</t>
  </si>
  <si>
    <t>02249861/0001-33</t>
  </si>
  <si>
    <t>ASMEP ASSISTENCIAL DE MOLAS E PORTAS LTD</t>
  </si>
  <si>
    <t>2.1.1.04.0450</t>
  </si>
  <si>
    <t>INSTITUTO SOCIAL IRIS</t>
  </si>
  <si>
    <t>2.1.1.04.0451</t>
  </si>
  <si>
    <t>04672955/0001-46</t>
  </si>
  <si>
    <t>MR IRMAO MANSUR LTDA</t>
  </si>
  <si>
    <t>2.1.1.04.0452</t>
  </si>
  <si>
    <t>90051160/0001-52</t>
  </si>
  <si>
    <t>BORTOLINI INDUSTRIA DE MOVEIS LTDA</t>
  </si>
  <si>
    <t>2.1.1.04.0453</t>
  </si>
  <si>
    <t>31401128/0001-90</t>
  </si>
  <si>
    <t>META EXTINTORES LTDA</t>
  </si>
  <si>
    <t>2.1.1.04.0454</t>
  </si>
  <si>
    <t>17299828/0001-95</t>
  </si>
  <si>
    <t>JOSE ARMESINO RODRIGUES NETO</t>
  </si>
  <si>
    <t>2.1.1.04.0456</t>
  </si>
  <si>
    <t>06309379/0001-00</t>
  </si>
  <si>
    <t>NOVE ORGANIZACAO DE EVENTOS LTDA</t>
  </si>
  <si>
    <t>2.1.1.04.0457</t>
  </si>
  <si>
    <t>03734114/0001-53</t>
  </si>
  <si>
    <t>A. ALMEIDA NAVEGACAO E TURISMO LTDA - ME</t>
  </si>
  <si>
    <t>2.1.1.04.0458</t>
  </si>
  <si>
    <t>09545938/0001-61</t>
  </si>
  <si>
    <t>INDUSTRIA GOMES MOVEIS DE ACO LTDA</t>
  </si>
  <si>
    <t>2.1.1.04.0459</t>
  </si>
  <si>
    <t>01802270/0001-89</t>
  </si>
  <si>
    <t>SOCIEDADE BRASILEIRA DE METROLOGIA</t>
  </si>
  <si>
    <t>2.1.1.04.0460</t>
  </si>
  <si>
    <t>16455078/0001-30</t>
  </si>
  <si>
    <t>BRASILIMP LIMPEZA CERTA LTDA</t>
  </si>
  <si>
    <t>2.1.1.04.0461</t>
  </si>
  <si>
    <t>05276095/0001-94</t>
  </si>
  <si>
    <t>M. M. 36 MATERIAIS DE LIMPEZA LTDA</t>
  </si>
  <si>
    <t>2.1.1.04.0462</t>
  </si>
  <si>
    <t>08726836/0001-80</t>
  </si>
  <si>
    <t>SUPRIWEB COM E SERV INFORMATICA LTDA</t>
  </si>
  <si>
    <t>2.1.1.04.0465</t>
  </si>
  <si>
    <t>00276225/0001-75</t>
  </si>
  <si>
    <t>BELO HORIZONTE SISTEMAS LTDA</t>
  </si>
  <si>
    <t>2.1.1.04.0466</t>
  </si>
  <si>
    <t>30055164/0001-87</t>
  </si>
  <si>
    <t>ROSARIO PLACAS E CARIMBOS</t>
  </si>
  <si>
    <t>2.1.1.04.0467</t>
  </si>
  <si>
    <t>10828695/0001-58</t>
  </si>
  <si>
    <t>V3 AGENCIA DE PUBLICIDADE E EVENTOS LTDA</t>
  </si>
  <si>
    <t>2.1.1.04.0468</t>
  </si>
  <si>
    <t>18546745/0001-16</t>
  </si>
  <si>
    <t>LB SERVICOS DE INSTALACOES EIRELI EPP</t>
  </si>
  <si>
    <t>2.1.1.04.0469</t>
  </si>
  <si>
    <t>06954157/0001-32</t>
  </si>
  <si>
    <t>FRANCISCO A A MEDEIRO IND E COMERCIO</t>
  </si>
  <si>
    <t>2.1.1.04.0470</t>
  </si>
  <si>
    <t>10646995/0001-16</t>
  </si>
  <si>
    <t>DCL BRASIL DISTRIBUIDORA LTDA</t>
  </si>
  <si>
    <t>2.1.1.04.0472</t>
  </si>
  <si>
    <t>20198527/0001-80</t>
  </si>
  <si>
    <t>PABIO FERREIRA VILELA - ME</t>
  </si>
  <si>
    <t>2.1.1.04.0473</t>
  </si>
  <si>
    <t>UILIAN DE OLIVEIRA JUNIOR</t>
  </si>
  <si>
    <t>2.1.1.04.0474</t>
  </si>
  <si>
    <t>08060705/0001-06</t>
  </si>
  <si>
    <t>BCA SERVICOS DE INFORMATICA LTDA</t>
  </si>
  <si>
    <t>2.1.1.04.0475</t>
  </si>
  <si>
    <t>31823255/0001-88</t>
  </si>
  <si>
    <t>AGENCIA PORA LTDA ME</t>
  </si>
  <si>
    <t>2.1.1.04.0476</t>
  </si>
  <si>
    <t>08050705/0001-06</t>
  </si>
  <si>
    <t>2.1.1.04.0477</t>
  </si>
  <si>
    <t>INSTITUTO BRAMANTE DE DESEN PROFISSIONAL</t>
  </si>
  <si>
    <t>2.1.1.04.0478</t>
  </si>
  <si>
    <t>16887672/0001-09</t>
  </si>
  <si>
    <t>PROTON COM DE ELETRO-ELETRONICOS EIRELI</t>
  </si>
  <si>
    <t>2.1.1.04.0479</t>
  </si>
  <si>
    <t>03718164/0001-47</t>
  </si>
  <si>
    <t>WEINSTEIN INFORMATICA LTDA</t>
  </si>
  <si>
    <t>2.1.1.04.0480</t>
  </si>
  <si>
    <t>15165950/0001-43</t>
  </si>
  <si>
    <t>ATUALIZACAO PROFISSIONAL CONT E JUR LTDA</t>
  </si>
  <si>
    <t>2.1.1.04.0481</t>
  </si>
  <si>
    <t>06955770/0001-74</t>
  </si>
  <si>
    <t>P&amp;P TURISMO LTDA ME</t>
  </si>
  <si>
    <t>2.1.1.04.0482</t>
  </si>
  <si>
    <t>59527788/0002-12</t>
  </si>
  <si>
    <t>ERNST &amp; YOUNG ASSESSORIA EMPRESARIAL LTD</t>
  </si>
  <si>
    <t>2.1.1.04.0483</t>
  </si>
  <si>
    <t>49058654/0001-65</t>
  </si>
  <si>
    <t>FLEXFORM INDUSTRIA METALURGICA LTDA</t>
  </si>
  <si>
    <t>2.1.1.04.0484</t>
  </si>
  <si>
    <t>00714403/0001-80</t>
  </si>
  <si>
    <t>ELO CONSULTORIA EMP. E PROD. DE EVENTOS</t>
  </si>
  <si>
    <t>2.1.1.04.0485</t>
  </si>
  <si>
    <t>15691419/0001-04</t>
  </si>
  <si>
    <t>STRUTTURA COM E INST DE PERFIS MET LTDA</t>
  </si>
  <si>
    <t>2.1.1.04.0486</t>
  </si>
  <si>
    <t>17066652/0001-21</t>
  </si>
  <si>
    <t>COMFAST COMERCIO DE MATERIAL DE</t>
  </si>
  <si>
    <t>2.1.1.04.0487</t>
  </si>
  <si>
    <t>01516572/0001-90</t>
  </si>
  <si>
    <t>COMPUSOFTWARE INFORMATICA LTDA</t>
  </si>
  <si>
    <t>2.1.1.04.0488</t>
  </si>
  <si>
    <t>09604060/0001-98</t>
  </si>
  <si>
    <t>BRACIER - COMITE BRASILEIRO</t>
  </si>
  <si>
    <t>2.1.1.04.0489</t>
  </si>
  <si>
    <t>11373634/0001-06</t>
  </si>
  <si>
    <t>MEC ETIQUETAS E ROTULOS LTDA</t>
  </si>
  <si>
    <t>2.1.1.04.0490</t>
  </si>
  <si>
    <t>03148451/0001-69</t>
  </si>
  <si>
    <t>SECULLUM SOFTWARES LTDA EPP</t>
  </si>
  <si>
    <t>2.1.1.04.0491</t>
  </si>
  <si>
    <t>07639095/0001-37</t>
  </si>
  <si>
    <t>INTITUTO ILOS</t>
  </si>
  <si>
    <t>2.1.1.04.0492</t>
  </si>
  <si>
    <t>17869849/0001-07</t>
  </si>
  <si>
    <t>AIR TIME RJ AR CONDICIONADO LTDA</t>
  </si>
  <si>
    <t>2.1.1.04.0493</t>
  </si>
  <si>
    <t>18457113/0001-86</t>
  </si>
  <si>
    <t>ALL GOOD SUPRIMENTOS E EQUIPAMENTOS LTDA</t>
  </si>
  <si>
    <t>2.1.1.04.0494</t>
  </si>
  <si>
    <t>07341418/0001-01</t>
  </si>
  <si>
    <t>INFORMA ECONOMICS FNP CONSULT LTDA</t>
  </si>
  <si>
    <t>2.1.1.04.0495</t>
  </si>
  <si>
    <t>09388567/0001-51</t>
  </si>
  <si>
    <t>SHOW TECNOLOGIA DA INFORMACAO LTDA</t>
  </si>
  <si>
    <t>2.1.1.04.0496</t>
  </si>
  <si>
    <t>12157917/0001-83</t>
  </si>
  <si>
    <t>ELETRICA KVA LTDA</t>
  </si>
  <si>
    <t>2.1.1.04.0497</t>
  </si>
  <si>
    <t>16735032/0001-75</t>
  </si>
  <si>
    <t>FABIO DUTRA DECORACOES LTDA</t>
  </si>
  <si>
    <t>2.1.1.04.0498</t>
  </si>
  <si>
    <t>05673029/0001-58</t>
  </si>
  <si>
    <t>DROGARIA MONTANA LTDA</t>
  </si>
  <si>
    <t>2.1.1.04.0499</t>
  </si>
  <si>
    <t>04481410/000152</t>
  </si>
  <si>
    <t>NÃO USAR</t>
  </si>
  <si>
    <t>2.1.1.04.0501</t>
  </si>
  <si>
    <t>12432924/0001-46</t>
  </si>
  <si>
    <t>CASA VIVA EVENTOS AMBIENTAIS LTDA</t>
  </si>
  <si>
    <t>2.1.1.04.0502</t>
  </si>
  <si>
    <t>71584338/0001-86</t>
  </si>
  <si>
    <t>ELO ENGENHARIA COMERCIO E CONSTRUÇOES</t>
  </si>
  <si>
    <t>2.1.1.04.0503</t>
  </si>
  <si>
    <t>34275982/0001-46</t>
  </si>
  <si>
    <t>PAPELARIA APOLLO LTDA</t>
  </si>
  <si>
    <t>2.1.1.04.0504</t>
  </si>
  <si>
    <t>08881332/0001-34</t>
  </si>
  <si>
    <t>VOLGA ENGENHARIA DE PRODUCAO LTDA</t>
  </si>
  <si>
    <t>2.1.1.04.0505</t>
  </si>
  <si>
    <t>12622028/0001-40</t>
  </si>
  <si>
    <t>GLOBALPRINT EDITORA GRAFICA LTDA</t>
  </si>
  <si>
    <t>2.1.1.04.0507</t>
  </si>
  <si>
    <t>05340639/0001-30</t>
  </si>
  <si>
    <t>PRIME CONSULTORIA E ASSESSORIA EMP. LTDA</t>
  </si>
  <si>
    <t>2.1.1.04.0508</t>
  </si>
  <si>
    <t>40432544/0001-47</t>
  </si>
  <si>
    <t>CLARO S/A</t>
  </si>
  <si>
    <t>2.1.1.04.0509</t>
  </si>
  <si>
    <t>02191676/0001-35</t>
  </si>
  <si>
    <t>FORSEG COMERCIO DE EXTINTORES LTDA -ME</t>
  </si>
  <si>
    <t>2.1.1.04.0510</t>
  </si>
  <si>
    <t>07692685/0001-23</t>
  </si>
  <si>
    <t>J S R C GNV SEGURANCA CONTRA INCENDIO</t>
  </si>
  <si>
    <t>2.1.1.04.0511</t>
  </si>
  <si>
    <t>01513667/0001-50</t>
  </si>
  <si>
    <t>KA IQUE COMERCIO E SERVICOS EIRELI EPP</t>
  </si>
  <si>
    <t>2.1.1.04.0512</t>
  </si>
  <si>
    <t>05930146/0001-50</t>
  </si>
  <si>
    <t>FERNANDO JC PINASSO ASSESSORIA  EVENTOS</t>
  </si>
  <si>
    <t>2.1.1.04.0513</t>
  </si>
  <si>
    <t>00849315/0001-08</t>
  </si>
  <si>
    <t>FN EQUIP TECNOLOGICOS E  SEGURANCA LTDA</t>
  </si>
  <si>
    <t>2.1.1.04.0514</t>
  </si>
  <si>
    <t>10777099/0001-96</t>
  </si>
  <si>
    <t>BRXNQ TELECOMUNICACOES LTDA</t>
  </si>
  <si>
    <t>2.1.1.04.0516</t>
  </si>
  <si>
    <t>62652961/0001-38</t>
  </si>
  <si>
    <t>AGENCIA ESTADO S.A</t>
  </si>
  <si>
    <t>2.1.1.04.0517</t>
  </si>
  <si>
    <t>10727138/0001-40</t>
  </si>
  <si>
    <t>CVNI CENTRO DE VACINACAO NOVA IGUACU</t>
  </si>
  <si>
    <t>2.1.1.04.0518</t>
  </si>
  <si>
    <t>00055671/0001-50</t>
  </si>
  <si>
    <t>VAN MEX COMERCIAL E SERVIÇOS LTDA</t>
  </si>
  <si>
    <t>2.1.1.04.0519</t>
  </si>
  <si>
    <t>01436782/0001-79</t>
  </si>
  <si>
    <t>KANTRO SERVICOS TERCEIRIZADOS LTDA</t>
  </si>
  <si>
    <t>2.1.1.04.0520</t>
  </si>
  <si>
    <t>16465373/0001-78</t>
  </si>
  <si>
    <t>L R B NEVES GRAFICA EDITORA</t>
  </si>
  <si>
    <t>2.1.1.04.0521</t>
  </si>
  <si>
    <t>14438757/0001-76</t>
  </si>
  <si>
    <t>CAM TECNOLOGIA LTDA ME</t>
  </si>
  <si>
    <t>2.1.1.04.0522</t>
  </si>
  <si>
    <t>08286246/0001-83</t>
  </si>
  <si>
    <t>NEWCREATIVE ARTESHOW LTDA</t>
  </si>
  <si>
    <t>2.1.1.04.0524</t>
  </si>
  <si>
    <t>INSTITUTO ACENDE BRASIL</t>
  </si>
  <si>
    <t>2.1.1.04.0525</t>
  </si>
  <si>
    <t>13060810/0001-85</t>
  </si>
  <si>
    <t>SUPRIZ COMERCIO DE SUPRIMENTOS LTDA</t>
  </si>
  <si>
    <t>2.1.1.04.0527</t>
  </si>
  <si>
    <t>INSTITUTO BRASILEIRO DE DIREITO PUBLICO</t>
  </si>
  <si>
    <t>2.1.1.04.0528</t>
  </si>
  <si>
    <t>10825457/0001-99</t>
  </si>
  <si>
    <t>IOC CAPACITACAO LTDA</t>
  </si>
  <si>
    <t>2.1.1.04.0529</t>
  </si>
  <si>
    <t>94526480/0001-72</t>
  </si>
  <si>
    <t>M R S ESTUDOS AMBIENTAIS LTDA</t>
  </si>
  <si>
    <t>2.1.1.04.0530</t>
  </si>
  <si>
    <t>08379106/0001-50</t>
  </si>
  <si>
    <t>PAPELARIA BASE DAS ARTES LTDA ME</t>
  </si>
  <si>
    <t>2.1.1.04.0531</t>
  </si>
  <si>
    <t>03746938/0001-43</t>
  </si>
  <si>
    <t>STAPLES BRASIL COM DE MATERIAIS DE ESCR</t>
  </si>
  <si>
    <t>2.1.1.04.0532</t>
  </si>
  <si>
    <t>19950386/0001-20</t>
  </si>
  <si>
    <t>SINERGIA COM E SERV DE EQUI ELETRO</t>
  </si>
  <si>
    <t>2.1.1.04.0533</t>
  </si>
  <si>
    <t>3259002/0001-74</t>
  </si>
  <si>
    <t>ARACAJU ELETRO FERRAGENS LTDA</t>
  </si>
  <si>
    <t>2.1.1.04.0534</t>
  </si>
  <si>
    <t>59105999/0001-86</t>
  </si>
  <si>
    <t>WHIRLPOOL SA</t>
  </si>
  <si>
    <t>2.1.1.04.0535</t>
  </si>
  <si>
    <t>18090313/0001-43</t>
  </si>
  <si>
    <t>DALA SERVICE AR CONDICIONADO LTDA</t>
  </si>
  <si>
    <t>2.1.1.04.0538</t>
  </si>
  <si>
    <t>03090756/0001-67</t>
  </si>
  <si>
    <t>AMAZONAVES TÁXI AÉREO LTDA</t>
  </si>
  <si>
    <t>2.1.1.04.0539</t>
  </si>
  <si>
    <t>03618435/0001-92</t>
  </si>
  <si>
    <t>BRASILL INFORMATICA E PRODUTOS LTDA</t>
  </si>
  <si>
    <t>2.1.1.04.0540</t>
  </si>
  <si>
    <t>06161716/0001-57</t>
  </si>
  <si>
    <t>AVELAR &amp; DUARTE SERVIÇOS CULTURAIS LTDA</t>
  </si>
  <si>
    <t>2.1.1.04.0542</t>
  </si>
  <si>
    <t>49045552/0001-05</t>
  </si>
  <si>
    <t>ELASTICOS OLIMPIA LTDA</t>
  </si>
  <si>
    <t>2.1.1.04.0543</t>
  </si>
  <si>
    <t>07446868/0001-69</t>
  </si>
  <si>
    <t>DANDY LOCAÇÃO DE VEÍCULOS LTDA.</t>
  </si>
  <si>
    <t>2.1.1.04.0544</t>
  </si>
  <si>
    <t>07101088/0001-87</t>
  </si>
  <si>
    <t>DEALWAY INFORMATICA LTDA</t>
  </si>
  <si>
    <t>2.1.1.04.0545</t>
  </si>
  <si>
    <t>04556971/0001-73</t>
  </si>
  <si>
    <t>ANGELTEC COPIADORA LTDA</t>
  </si>
  <si>
    <t>2.1.1.04.0546</t>
  </si>
  <si>
    <t>10548069/0001-08</t>
  </si>
  <si>
    <t>DANIELA RISSON - JORNALISTA</t>
  </si>
  <si>
    <t>2.1.1.04.0547</t>
  </si>
  <si>
    <t>33267642/0001-00</t>
  </si>
  <si>
    <t>GRAFICA EDITORA JORNAL DO COMERCIO S/A</t>
  </si>
  <si>
    <t>2.1.1.04.0548</t>
  </si>
  <si>
    <t>21051277/0001-13</t>
  </si>
  <si>
    <t>RT EDITORA E DISTRIBUIDORA DE PAPEIS</t>
  </si>
  <si>
    <t>2.1.1.04.0550</t>
  </si>
  <si>
    <t>18023708/0001-23</t>
  </si>
  <si>
    <t>ALFREDO ALVES DA COSTA NETO</t>
  </si>
  <si>
    <t>2.1.1.04.0551</t>
  </si>
  <si>
    <t>05214413/0001-92</t>
  </si>
  <si>
    <t>FUNDACAO MIGUEL DE CERVANTES DE APOIO</t>
  </si>
  <si>
    <t>2.1.1.04.0552</t>
  </si>
  <si>
    <t>22238694/0001-32</t>
  </si>
  <si>
    <t>BERNARDES COM E IND GRAF EIRELI</t>
  </si>
  <si>
    <t>2.1.1.04.0553</t>
  </si>
  <si>
    <t>03831133/0001-06</t>
  </si>
  <si>
    <t>ROTAPLAN GRAFICA E EDITORA LTDA</t>
  </si>
  <si>
    <t>2.1.1.04.0554</t>
  </si>
  <si>
    <t>73415655/0001-02</t>
  </si>
  <si>
    <t>TEMATICA CARTOGRAFO</t>
  </si>
  <si>
    <t>2.1.1.04.0555</t>
  </si>
  <si>
    <t>00274602/0001-37</t>
  </si>
  <si>
    <t>ART GLORIA SERRALHERIA LTDA</t>
  </si>
  <si>
    <t>2.1.1.04.0556</t>
  </si>
  <si>
    <t>54102785/0001-32</t>
  </si>
  <si>
    <t>EDITORIA NDJ LTDA</t>
  </si>
  <si>
    <t>2.1.1.04.0557</t>
  </si>
  <si>
    <t>12369441/0001-44</t>
  </si>
  <si>
    <t>CONSEG EQUP E SIST CONTRA INCENDIO LTDA</t>
  </si>
  <si>
    <t>2.1.1.04.0558</t>
  </si>
  <si>
    <t>24221596/0001-82</t>
  </si>
  <si>
    <t>EASY SR SERVICOS LTDA ME</t>
  </si>
  <si>
    <t>2.1.1.04.0559</t>
  </si>
  <si>
    <t>02550956/0001-92</t>
  </si>
  <si>
    <t>CASA DE IDEIAS COMUNICACAO LTDA</t>
  </si>
  <si>
    <t>2.1.1.04.0561</t>
  </si>
  <si>
    <t>08513498/0001-06</t>
  </si>
  <si>
    <t>CVI CURSOS E TREINAMENTOS EMPRESARIAIS</t>
  </si>
  <si>
    <t>2.1.1.04.0562</t>
  </si>
  <si>
    <t>11013199/0001-09</t>
  </si>
  <si>
    <t>INT PRINT SERVICOS DE INFORMATICA LTDA</t>
  </si>
  <si>
    <t>2.1.1.04.0563</t>
  </si>
  <si>
    <t>04154489/0001-07</t>
  </si>
  <si>
    <t>ABACO FORROS E DIVISORIAS LTDA</t>
  </si>
  <si>
    <t>2.1.1.04.0564</t>
  </si>
  <si>
    <t>09012638/0001-07</t>
  </si>
  <si>
    <t>J L CLEAN COM E SERV DE ART DE VESTUARIO</t>
  </si>
  <si>
    <t>2.1.1.04.0565</t>
  </si>
  <si>
    <t>ASSOCIAÇÃO DOS CONDÔMINIOS DO ED. DA AV.</t>
  </si>
  <si>
    <t>2.1.1.04.0566</t>
  </si>
  <si>
    <t>LABORINFO TECNOLOGIA DA INFORMAÇÃO LTDA</t>
  </si>
  <si>
    <t>2.1.1.04.0567</t>
  </si>
  <si>
    <t>AZURE PROPAGANDA LTDA</t>
  </si>
  <si>
    <t>2.1.1.04.0569</t>
  </si>
  <si>
    <t>15135210/0001-64</t>
  </si>
  <si>
    <t>TECPARTS IMP. E DISTRIB. DE PECAS LTDA</t>
  </si>
  <si>
    <t>2.1.1.04.0570</t>
  </si>
  <si>
    <t>15249200/0001-50</t>
  </si>
  <si>
    <t>CEOX - PLANEJAMENTO E OTIMIZAÇÃO LTDA</t>
  </si>
  <si>
    <t>2.1.1.04.0571</t>
  </si>
  <si>
    <t>147834160001/38</t>
  </si>
  <si>
    <t>GRUPOJAM MIDIA INTEGRADA EIRELI - ME</t>
  </si>
  <si>
    <t>2.1.1.04.0572</t>
  </si>
  <si>
    <t>10320951/0001-00</t>
  </si>
  <si>
    <t>TNS COMERCIAL LTDA</t>
  </si>
  <si>
    <t>2.1.1.04.0573</t>
  </si>
  <si>
    <t>SAUDE &amp; BEM ESTAR FISIOTERAPIA LTDA</t>
  </si>
  <si>
    <t>2.1.1.04.0574</t>
  </si>
  <si>
    <t>BSL COMÉRCIO, IMPORTAÇÃO E EXPORTAÇÃO</t>
  </si>
  <si>
    <t>2.1.1.04.0576</t>
  </si>
  <si>
    <t>LIVRARIA BIOTEC LTDA</t>
  </si>
  <si>
    <t>2.1.1.04.0578</t>
  </si>
  <si>
    <t>EDITORA FORUM LTDA</t>
  </si>
  <si>
    <t>2.1.1.04.0579</t>
  </si>
  <si>
    <t>CABRERA CONSULT. CONTÁBIL E TRIBUTÁRIA L</t>
  </si>
  <si>
    <t>2.1.1.04.0580</t>
  </si>
  <si>
    <t>PRO VIDEO SERVIÇOS LTDA</t>
  </si>
  <si>
    <t>2.1.1.04.0581</t>
  </si>
  <si>
    <t>LIVRARIA ENGETEC LTDA</t>
  </si>
  <si>
    <t>2.1.1.04.0582</t>
  </si>
  <si>
    <t>SIP VOX TCNOLOGIA LTDA</t>
  </si>
  <si>
    <t>2.1.1.04.0583</t>
  </si>
  <si>
    <t>DIVINO LOCADORA DE VEÍCULOS LTDA</t>
  </si>
  <si>
    <t>2.1.1.04.0584</t>
  </si>
  <si>
    <t>APRC ENGENHARIA LTDA</t>
  </si>
  <si>
    <t>2.1.1.04.0585</t>
  </si>
  <si>
    <t>SOLARIZE SERVICOS EM TEC AMBIENTAL LTDA</t>
  </si>
  <si>
    <t>2.1.1.04.0586</t>
  </si>
  <si>
    <t>BE COACHING BRASIL LTDA</t>
  </si>
  <si>
    <t>2.1.1.04.0587</t>
  </si>
  <si>
    <t>BRASFILTER INDUSTRIA E COMÉRCIO LTDA</t>
  </si>
  <si>
    <t>2.1.1.04.0588</t>
  </si>
  <si>
    <t>BORTOLAI LIVROS LTDA - EPP</t>
  </si>
  <si>
    <t>2.1.1.04.0589</t>
  </si>
  <si>
    <t>MOLICAR PUBLICAÇÕES AUTOMOTIVAS S/A</t>
  </si>
  <si>
    <t>2.1.1.04.0590</t>
  </si>
  <si>
    <t>SECULO XXI COMERCIO DE LIVROS E LIVRARIA</t>
  </si>
  <si>
    <t>2.1.1.04.0592</t>
  </si>
  <si>
    <t>KAPX COMÉRCIO E SERVIÇOS LTDA - ME</t>
  </si>
  <si>
    <t>2.1.1.04.0594</t>
  </si>
  <si>
    <t>30258404/0001-40</t>
  </si>
  <si>
    <t>ASSOCIAÇÃO DAS EMP. BRAS. DE TECNOLOGIA</t>
  </si>
  <si>
    <t>2.1.1.04.0596</t>
  </si>
  <si>
    <t>08863523/0002-54</t>
  </si>
  <si>
    <t>ADVENTURE VIAGENS E ART ESPORTIVOS LTDA</t>
  </si>
  <si>
    <t>2.1.1.04.0597</t>
  </si>
  <si>
    <t>11318047/0001-14</t>
  </si>
  <si>
    <t>CONSULCANA - SOLUÇÕES APLICADAS A CANA</t>
  </si>
  <si>
    <t>2.1.1.04.0598</t>
  </si>
  <si>
    <t>05565257/0001-04</t>
  </si>
  <si>
    <t>ELETRONICA PLAY POWER LTDA - ME</t>
  </si>
  <si>
    <t>2.1.1.04.0599</t>
  </si>
  <si>
    <t>05500641/0001-29</t>
  </si>
  <si>
    <t>GIOM COMERCIO DE MOVEIS E REPRESENTAÇÕES</t>
  </si>
  <si>
    <t>2.1.1.04.0600</t>
  </si>
  <si>
    <t>03493782/0001-36</t>
  </si>
  <si>
    <t>INTEGRAÇÃO - ESCOLA DE NEGOCIOS LTDA</t>
  </si>
  <si>
    <t>2.1.1.04.0601</t>
  </si>
  <si>
    <t>NIMAWORLD LTDA - ME</t>
  </si>
  <si>
    <t>2.1.1.04.0603</t>
  </si>
  <si>
    <t>UNITY BRINDES LTDA - ME</t>
  </si>
  <si>
    <t>2.1.1.04.0604</t>
  </si>
  <si>
    <t>ZAG CONSULTORIA EM EXP. DE PET.</t>
  </si>
  <si>
    <t>2.1.1.04.0605</t>
  </si>
  <si>
    <t>14784795/0001-80</t>
  </si>
  <si>
    <t>GIGA MATERIAIS ELETRICOS LTDA</t>
  </si>
  <si>
    <t>2.1.1.04.0606</t>
  </si>
  <si>
    <t>19509519/0001-28</t>
  </si>
  <si>
    <t>SOFTLINE INT BRASIL COM E LIC SOFTWARE</t>
  </si>
  <si>
    <t>2.1.1.04.0607</t>
  </si>
  <si>
    <t>ARGUS MEDIA BRASIL RELATÓRIOS DE PREÇOS</t>
  </si>
  <si>
    <t>2.1.1.04.0608</t>
  </si>
  <si>
    <t>ROMABOOKS EDUCAÇÃO E TURISMO EIRELI</t>
  </si>
  <si>
    <t>2.1.1.04.0609</t>
  </si>
  <si>
    <t>VENUS WORLD COM. DE EQUIP. E MAT.</t>
  </si>
  <si>
    <t>2.1.1.04.0610</t>
  </si>
  <si>
    <t>INQC - INSTITUTO NACIONAL DE QUALIFICAÇÃ</t>
  </si>
  <si>
    <t>2.1.1.04.0611</t>
  </si>
  <si>
    <t>10806106/000130</t>
  </si>
  <si>
    <t>R&amp;R EQUIPAMENTOS ELETRONICOS LTDA</t>
  </si>
  <si>
    <t>2.1.1.04.0612</t>
  </si>
  <si>
    <t>16951665/000110</t>
  </si>
  <si>
    <t>RB GRAFICA DIGITAL EIRELI ME</t>
  </si>
  <si>
    <t>2.1.1.04.0613</t>
  </si>
  <si>
    <t>18343644/000148</t>
  </si>
  <si>
    <t>SUPERMIX COM DE UTIL VARIEDADES LTDA</t>
  </si>
  <si>
    <t>2.1.1.04.0614</t>
  </si>
  <si>
    <t>02558157/0002-43</t>
  </si>
  <si>
    <t>2.1.1.04.0615</t>
  </si>
  <si>
    <t>02629884/0001-73</t>
  </si>
  <si>
    <t>CROMA ELETRONICA LTDA</t>
  </si>
  <si>
    <t>2.1.1.04.0616</t>
  </si>
  <si>
    <t>12480720/0001-80</t>
  </si>
  <si>
    <t>CENTRAL GLASS ALUMINIUM COMERCIO DE VIDR</t>
  </si>
  <si>
    <t>2.1.1.04.0617</t>
  </si>
  <si>
    <t>33000118/0001-79</t>
  </si>
  <si>
    <t>TELEMAR NORTE LESTE S/A</t>
  </si>
  <si>
    <t>2.1.1.04.0618</t>
  </si>
  <si>
    <t>INSTITUTO NEGOCIOS PUBLICOS DO BRASIL</t>
  </si>
  <si>
    <t>2.1.1.04.0619</t>
  </si>
  <si>
    <t>03014670/0001-55</t>
  </si>
  <si>
    <t>LAUTEC EQUIPE TECNICA ENGENHARIA S/C LTD</t>
  </si>
  <si>
    <t>2.1.1.04.0620</t>
  </si>
  <si>
    <t>37535259/0001-47</t>
  </si>
  <si>
    <t>SEDEP-SERVIÇO DE ENTREGA DE DESPACHOS E</t>
  </si>
  <si>
    <t>2.1.1.04.0621</t>
  </si>
  <si>
    <t>26528905/0001-47</t>
  </si>
  <si>
    <t>CONFIT ASSESSORIA E CONSULTORIA EMPRESAR</t>
  </si>
  <si>
    <t>2.1.1.04.0622</t>
  </si>
  <si>
    <t>05607657/0001-35</t>
  </si>
  <si>
    <t>SCANSOURCE BRASIL DISTRIBUIDORA DE TECNO</t>
  </si>
  <si>
    <t>2.1.1.04.0623</t>
  </si>
  <si>
    <t>61873469/0001-20</t>
  </si>
  <si>
    <t>ASSOCIAÇÃO DE ESPECIALISTAS LATINOAMERIC</t>
  </si>
  <si>
    <t>2.1.1.04.0624</t>
  </si>
  <si>
    <t>MONIQUE PERRONE AGUEDA ASSESSORIA DE EVE</t>
  </si>
  <si>
    <t>2.1.1.04.0625</t>
  </si>
  <si>
    <t>NINJA SOM COMERCIO DE ELETRONICOS LTDA</t>
  </si>
  <si>
    <t>2.1.1.04.0626</t>
  </si>
  <si>
    <t>OXFORD PORCELANAS S/A</t>
  </si>
  <si>
    <t>2.1.1.04.0627</t>
  </si>
  <si>
    <t>LINTER FILTROS INDUSTRIAIS LTDA</t>
  </si>
  <si>
    <t>2.1.1.04.0628</t>
  </si>
  <si>
    <t>QUALITEC ENGENHARIA DA QUALIDADE LTDA</t>
  </si>
  <si>
    <t>2.1.1.04.0629</t>
  </si>
  <si>
    <t>NEO DESIGN DECOR COMERCIO E DECORACOES</t>
  </si>
  <si>
    <t>2.1.1.04.0630</t>
  </si>
  <si>
    <t>ROCA SERVICOS CONTABEIS E FISCAIS LTDA</t>
  </si>
  <si>
    <t>2.1.1.04.0631</t>
  </si>
  <si>
    <t>WALLERRY FLECK &amp; CIA LTDA ME</t>
  </si>
  <si>
    <t>2.1.1.04.0634</t>
  </si>
  <si>
    <t>FUNDACAO PADRE LEONEL FRANCA</t>
  </si>
  <si>
    <t>2.1.1.04.0635</t>
  </si>
  <si>
    <t>PAULO RICARDO BRAGA - ME</t>
  </si>
  <si>
    <t>2.1.1.04.0636</t>
  </si>
  <si>
    <t>RTA - REDE DE TECNOLOGIA AVANÇADA LTDA</t>
  </si>
  <si>
    <t>2.1.1.04.0637</t>
  </si>
  <si>
    <t>BOBINA SUPER INDUSTRIA E COMERCIO EIRELI</t>
  </si>
  <si>
    <t>2.1.1.04.0638</t>
  </si>
  <si>
    <t>UNISOMA COMPUTAÇÃO LTDA</t>
  </si>
  <si>
    <t>2.1.1.04.0639</t>
  </si>
  <si>
    <t>ESCOLA DE GESTÃO TRIBUTÁRIA E AUDITORIA</t>
  </si>
  <si>
    <t>2.1.1.04.0640</t>
  </si>
  <si>
    <t>I GRAFICCI PROGRAMACAO VISUAL LTDA - ME</t>
  </si>
  <si>
    <t>2.1.1.04.0641</t>
  </si>
  <si>
    <t>PENTAC ACRILICOS</t>
  </si>
  <si>
    <t>2.1.1.04.0642</t>
  </si>
  <si>
    <t>TOTVS SERVICOS LTDA</t>
  </si>
  <si>
    <t>2.1.1.04.0643</t>
  </si>
  <si>
    <t>TIM CELULAR S.A.</t>
  </si>
  <si>
    <t>2.1.1.04.0644</t>
  </si>
  <si>
    <t>ECONET TREINAMENTO E DESENVOLVIMENTO</t>
  </si>
  <si>
    <t>2.1.1.04.0645</t>
  </si>
  <si>
    <t>NOVACANA EVENTOS LTDA - ME</t>
  </si>
  <si>
    <t>2.1.1.04.0646</t>
  </si>
  <si>
    <t>NOVACANA INFORMAÇÃO ESPECIALIZADA LTDA</t>
  </si>
  <si>
    <t>2.1.1.04.0647</t>
  </si>
  <si>
    <t>SOLAZER TRANSPORTES E TURISMO LTDA</t>
  </si>
  <si>
    <t>2.1.1.04.0649</t>
  </si>
  <si>
    <t>INOVA EMPRESA BRASILEIRA EM SOLUCOES E N</t>
  </si>
  <si>
    <t>2.1.1.04.0650</t>
  </si>
  <si>
    <t>PORTO NOVO PAPEL E MATERIAL DE ESCRITORI</t>
  </si>
  <si>
    <t>2.1.1.04.0651</t>
  </si>
  <si>
    <t>SHAREPRIME TECNOLOGIA LTDA</t>
  </si>
  <si>
    <t>2.1.1.04.0653</t>
  </si>
  <si>
    <t>DIVISANIT INSTALACOES E MONTAGENS LTDA</t>
  </si>
  <si>
    <t>2.1.1.04.0654</t>
  </si>
  <si>
    <t>MR EVENTOS TREINAMENTO E AGENCIAMENTO</t>
  </si>
  <si>
    <t>2.1.1.04.0655</t>
  </si>
  <si>
    <t>EDITORA SIGNER LTDA</t>
  </si>
  <si>
    <t>2.1.1.04.0656</t>
  </si>
  <si>
    <t>JML MENDES &amp; LOPES PESQUISA, TREINAMENTO E</t>
  </si>
  <si>
    <t>2.1.1.04.0657</t>
  </si>
  <si>
    <t>JP DA SILVA SOUSA DIVISORIAS</t>
  </si>
  <si>
    <t>2.1.1.04.0658</t>
  </si>
  <si>
    <t>SEENERGIA SER ESPECIALIZADOS ENG SS</t>
  </si>
  <si>
    <t>2.1.1.04.0659</t>
  </si>
  <si>
    <t>MERCADO ARAGUAIA LTDA - ME</t>
  </si>
  <si>
    <t>2.1.1.04.0660</t>
  </si>
  <si>
    <t>CENTRO DE APERFEICOAMENTO DA VOZ FALA E</t>
  </si>
  <si>
    <t>2.1.1.04.0661</t>
  </si>
  <si>
    <t>UP MIDIA INTEGRADA EIRELI</t>
  </si>
  <si>
    <t>2.1.1.04.0662</t>
  </si>
  <si>
    <t>FUNDAÇÃO DO INSTITUTO DE BIOCIENCIAS - F</t>
  </si>
  <si>
    <t>2.1.1.04.0663</t>
  </si>
  <si>
    <t>INSTITUTO BRASILEIRO DE AVALIAÇÕES IBAPE</t>
  </si>
  <si>
    <t>2.1.1.04.0664</t>
  </si>
  <si>
    <t>LCM TREINAMENTO EMPRESARIAL LTDA</t>
  </si>
  <si>
    <t>2.1.1.04.0666</t>
  </si>
  <si>
    <t>MANAGEMENT SCIENCE LTDA ME</t>
  </si>
  <si>
    <t>2.1.1.04.0667</t>
  </si>
  <si>
    <t>ASSOC. PROF. DA IND. DE FABRIC. ALCOOL</t>
  </si>
  <si>
    <t>2.1.1.04.0668</t>
  </si>
  <si>
    <t>EDOCAVONI AUTOMAÇÃO E INFORMÁTICA LTDA</t>
  </si>
  <si>
    <t>2.1.1.04.0669</t>
  </si>
  <si>
    <t>ONE ENGLISH CULTURAL E EDUCACIONAL LTDA</t>
  </si>
  <si>
    <t>2.1.1.04.0670</t>
  </si>
  <si>
    <t>SINERCONSULT CONSULTORIA E TREIN. LTDA</t>
  </si>
  <si>
    <t>2.1.1.04.0671</t>
  </si>
  <si>
    <t>AMBIENTE DIRETO CONSULT.SOCIOAMBIENTAL L</t>
  </si>
  <si>
    <t>2.1.1.04.0672</t>
  </si>
  <si>
    <t>PRO OCEANO SERV.OCEANOGRAFICO E AMBIENTA</t>
  </si>
  <si>
    <t>2.1.1.04.0673</t>
  </si>
  <si>
    <t>RIO LETRAS LETREIROS LTDA. - ME</t>
  </si>
  <si>
    <t>2.1.1.04.0674</t>
  </si>
  <si>
    <t>IPEC TREINAMENTO LTDA</t>
  </si>
  <si>
    <t>2.1.1.04.0675</t>
  </si>
  <si>
    <t>PHONOWAY SOLUÇOES TELEINFORMATICA</t>
  </si>
  <si>
    <t>2.1.1.04.0676</t>
  </si>
  <si>
    <t>ARV BRADFORD CURSOS E TREINAMENTO</t>
  </si>
  <si>
    <t>2.1.1.04.0677</t>
  </si>
  <si>
    <t>GRUPO IBEMEC EDUCACIONAL S/A</t>
  </si>
  <si>
    <t>2.1.1.04.0678</t>
  </si>
  <si>
    <t>JRM HELOANI DESENVOLVIMENTO GERENCIAL</t>
  </si>
  <si>
    <t>2.1.1.04.0681</t>
  </si>
  <si>
    <t>SOLLUS COMERCIO EM TECNOLOGIA E CONTROLE</t>
  </si>
  <si>
    <t>2.1.1.04.0682</t>
  </si>
  <si>
    <t>CROMOS EDIT. E IND. GRAFICA LTDA</t>
  </si>
  <si>
    <t>2.1.1.04.0684</t>
  </si>
  <si>
    <t>GRUPO GENIAL ME LTDA</t>
  </si>
  <si>
    <t>2.1.1.04.0685</t>
  </si>
  <si>
    <t>GREEN RABBIT DESENV. DE SOFTWARE LTDA</t>
  </si>
  <si>
    <t>2.1.1.04.0686</t>
  </si>
  <si>
    <t>PRDW BRASIL ENGENHARIA LTDA</t>
  </si>
  <si>
    <t>2.1.1.04.0688</t>
  </si>
  <si>
    <t>REPROPAPER SERVIÇOS DE REPROGRAFIA LTDA</t>
  </si>
  <si>
    <t>2.1.1.04.0689</t>
  </si>
  <si>
    <t>TRANSTATHICA AG. DE VIAGEM E TURISMO</t>
  </si>
  <si>
    <t>2.1.1.04.0690</t>
  </si>
  <si>
    <t>FOX SMART BUSINESS DO BRASIL LTDA</t>
  </si>
  <si>
    <t>2.1.1.04.0691</t>
  </si>
  <si>
    <t>AX4B SISTEMAS DE INFORMATICA LTDA</t>
  </si>
  <si>
    <t>2.1.1.04.0692</t>
  </si>
  <si>
    <t>HSR SISTEMAS E REDES LTDA</t>
  </si>
  <si>
    <t>2.1.1.04.0693</t>
  </si>
  <si>
    <t>F5 SOFTWARE LTDA</t>
  </si>
  <si>
    <t>2.1.1.04.0694</t>
  </si>
  <si>
    <t>CARTÃO CORPORATIVO - SCDP</t>
  </si>
  <si>
    <t>2.1.1.04.0695</t>
  </si>
  <si>
    <t>PREMIER IT GLOBAL SERVICES LTDA</t>
  </si>
  <si>
    <t>2.1.1.04.0696</t>
  </si>
  <si>
    <t>CENTRO EMPRESARIAL INTERNACIONAL RIO</t>
  </si>
  <si>
    <t>2.1.1.04.0697</t>
  </si>
  <si>
    <t>PROJUD TECNOLOGIA LTDA</t>
  </si>
  <si>
    <t>2.1.1.04.0698</t>
  </si>
  <si>
    <t>ELO EVENTOS LTDA</t>
  </si>
  <si>
    <t>2.1.1.04.0699</t>
  </si>
  <si>
    <t>LEANDRO ANDRÉ DE QUEIROZ - MEI</t>
  </si>
  <si>
    <t>2.1.1.04.0700</t>
  </si>
  <si>
    <t>DIVIGAMA DIVISÓRIAS LTDA</t>
  </si>
  <si>
    <t>2.1.1.04.0701</t>
  </si>
  <si>
    <t>RA2 PRINT ETIQUETAS</t>
  </si>
  <si>
    <t>2.1.1.04.0702</t>
  </si>
  <si>
    <t>GENESIS COACHING TREIN. E DESENV. LTDA</t>
  </si>
  <si>
    <t>2.1.1.04.0705</t>
  </si>
  <si>
    <t>LUAN MACEDO FERNANDES EI</t>
  </si>
  <si>
    <t>2.1.1.04.0706</t>
  </si>
  <si>
    <t>CLAMED CLINICA VACINAÇÃO</t>
  </si>
  <si>
    <t>2.1.1.04.0707</t>
  </si>
  <si>
    <t>DANGERCOMERCIAL E INDUSTRIAL LTDA</t>
  </si>
  <si>
    <t>2.1.1.04.0708</t>
  </si>
  <si>
    <t>AEPE</t>
  </si>
  <si>
    <t>ASSOCIAÇÃO DOS EMPREGADOS DA EPE - AEPE</t>
  </si>
  <si>
    <t>2.1.1.04.0709</t>
  </si>
  <si>
    <t>LUANDA COM. SUPR. INFORMÁTICA LTDA</t>
  </si>
  <si>
    <t>2.1.1.04.0710</t>
  </si>
  <si>
    <t>ASSOCIAÇÃO BRASILEIRA DE ANTROPOLOGIA</t>
  </si>
  <si>
    <t>2.1.1.04.0711</t>
  </si>
  <si>
    <t>LIMA COM. DE MAT. E SERVIÇOS</t>
  </si>
  <si>
    <t>2.1.1.04.0712</t>
  </si>
  <si>
    <t>ASS.BRAS. DAS EMPRESAS DE SERV.COS.ENG</t>
  </si>
  <si>
    <t>2.1.1.04.0713</t>
  </si>
  <si>
    <t>ENGDTP E MULTIMÍDIA COMÉRCIO E PRESTAÇÃO</t>
  </si>
  <si>
    <t>2.1.1.04.0714</t>
  </si>
  <si>
    <t>ZUGNI GESTÃO DE CONHECIMENTO EIRELI - ME</t>
  </si>
  <si>
    <t>2.1.1.04.0715</t>
  </si>
  <si>
    <t>RSA SOLUÇÕES ELETRICAS LTDA - EPP</t>
  </si>
  <si>
    <t>2.1.1.04.0716</t>
  </si>
  <si>
    <t>TI ENGENHARIA COMERCIO E SERVIÇO DE INFO</t>
  </si>
  <si>
    <t>2.1.1.04.0717</t>
  </si>
  <si>
    <t>HICON ENGENHARIA LTDA</t>
  </si>
  <si>
    <t>2.1.1.04.0718</t>
  </si>
  <si>
    <t>INSTITUTO BRAS. DE ENGENHARIA DE CUSTOS</t>
  </si>
  <si>
    <t>2.1.1.04.0719</t>
  </si>
  <si>
    <t>GL EVENTSLIVE SA</t>
  </si>
  <si>
    <t>2.1.1.04.0720</t>
  </si>
  <si>
    <t>SAUDE E GINASTICA LABORAL</t>
  </si>
  <si>
    <t>2.1.1.04.0721</t>
  </si>
  <si>
    <t>GS TELECOM COMÉRCIO DE INFORMÁTICA LTDA</t>
  </si>
  <si>
    <t>2.1.1.04.0722</t>
  </si>
  <si>
    <t>INSTITUTO DE ARQUEOLOGIA BRASILEIRA</t>
  </si>
  <si>
    <t>2.1.1.04.0723</t>
  </si>
  <si>
    <t>HITSS DO BRASIL SERV. TECNOLOGICOS LTDA</t>
  </si>
  <si>
    <t>2.1.1.04.0724</t>
  </si>
  <si>
    <t>HOTELARIA ACCOR BRASIL</t>
  </si>
  <si>
    <t>2.1.1.04.0725</t>
  </si>
  <si>
    <t>FRG EVENTOS DO BRASIL LTDA</t>
  </si>
  <si>
    <t>2.1.1.04.0726</t>
  </si>
  <si>
    <t>M&amp;W COMUN. INTEGRADA LTDA</t>
  </si>
  <si>
    <t>2.1.1.04.0727</t>
  </si>
  <si>
    <t>CIRILO CABOS IMPORTAÇÃO EXPORTAÇÃO LTDA</t>
  </si>
  <si>
    <t>2.1.1.04.0728</t>
  </si>
  <si>
    <t>PRINTCOM ASSESSORIA DE COMUNICAÇÃO</t>
  </si>
  <si>
    <t>2.1.1.04.0729</t>
  </si>
  <si>
    <t>B2W COMPANHIA DIGITAL</t>
  </si>
  <si>
    <t>2.1.1.04.0730</t>
  </si>
  <si>
    <t>SUPERCOMMERCE LTDA</t>
  </si>
  <si>
    <t>2.1.1.04.0731</t>
  </si>
  <si>
    <t>CAFÉ BRASIL EDITORIAL LTDA</t>
  </si>
  <si>
    <t>2.1.1.04.0732</t>
  </si>
  <si>
    <t>INSTITUTO PIATAM</t>
  </si>
  <si>
    <t>2.1.1.04.0733</t>
  </si>
  <si>
    <t>REIVAX S.A AUTOMAÇÃO E CONTROLE</t>
  </si>
  <si>
    <t>2.1.1.04.0734</t>
  </si>
  <si>
    <t>EBSCO BRASIL LTDA</t>
  </si>
  <si>
    <t>2.1.1.04.0735</t>
  </si>
  <si>
    <t>INSTITUTO NACIONAL DE QUALIDADE DE VIDA</t>
  </si>
  <si>
    <t>2.1.1.04.0736</t>
  </si>
  <si>
    <t>TS1 IT SOLUTIONS</t>
  </si>
  <si>
    <t>2.1.1.04.0737</t>
  </si>
  <si>
    <t>HVNA DESIGN PROJETOS E CONSULTORIA LTDA</t>
  </si>
  <si>
    <t>2.1.1.04.0738</t>
  </si>
  <si>
    <t>GAF EVENTOS SPE LTDA</t>
  </si>
  <si>
    <t>2.1.1.04.0739</t>
  </si>
  <si>
    <t>MR PROMOÇÕES E EVENTOS</t>
  </si>
  <si>
    <t>2.1.1.04.0740</t>
  </si>
  <si>
    <t>KONO IT CONSULTORIA E TECNOLOGIA EIRELI</t>
  </si>
  <si>
    <t>2.1.1.04.0741</t>
  </si>
  <si>
    <t>PLANUS INFORMÁTICA E TECNOLOGIA LTDA</t>
  </si>
  <si>
    <t>2.1.1.04.0742</t>
  </si>
  <si>
    <t>TIM S.A</t>
  </si>
  <si>
    <t>2.1.1.04.0743</t>
  </si>
  <si>
    <t>REDE BRAS. PARA DESENV. METROLOGIA E TEC</t>
  </si>
  <si>
    <t>2.1.1.04.0745</t>
  </si>
  <si>
    <t>CONTROL C. COOP E TRANSPORTES LTDA</t>
  </si>
  <si>
    <t>2.1.1.04.0746</t>
  </si>
  <si>
    <t>BRIGHTNETWORKS COM. E SERV. TELECOMUN.</t>
  </si>
  <si>
    <t>2.1.1.04.0747</t>
  </si>
  <si>
    <t>TREINAMENTO MÍDIA E DESEN.PROFISSIONAL</t>
  </si>
  <si>
    <t>2.1.1.04.0748</t>
  </si>
  <si>
    <t>LEC EDITORA  ORGANIZAÇÃO DE EVENTOS LTDA</t>
  </si>
  <si>
    <t>2.1.1.04.0749</t>
  </si>
  <si>
    <t>ZETECH MAN. SERV. EM ENERGIA LTDA</t>
  </si>
  <si>
    <t>2.1.1.04.0750</t>
  </si>
  <si>
    <t>MULTPAINEL SOL CORP VID DEC LTDA</t>
  </si>
  <si>
    <t>2.1.1.04.0753</t>
  </si>
  <si>
    <t>IMPRENSA OF. DO ESTADO DO RIO DE JANEIRO</t>
  </si>
  <si>
    <t>2.1.1.04.0754</t>
  </si>
  <si>
    <t>CASTELO DE PAIVA VIDROS E FERRAGENS</t>
  </si>
  <si>
    <t>2.1.1.04.0755</t>
  </si>
  <si>
    <t>HOMER ENERGY</t>
  </si>
  <si>
    <t>2.1.1.04.0756</t>
  </si>
  <si>
    <t>EMERSON PROCESS MANAGEMENT</t>
  </si>
  <si>
    <t>2.1.1.04.0757</t>
  </si>
  <si>
    <t>VENTANA SYSTEMS</t>
  </si>
  <si>
    <t>2.1.1.04.0758</t>
  </si>
  <si>
    <t>A4A SOLUÇÕES E SERVIÇOS EIRELI</t>
  </si>
  <si>
    <t>2.1.1.04.0759</t>
  </si>
  <si>
    <t>MFC CONSULTORIA E ASS. EMPRESARIAL</t>
  </si>
  <si>
    <t>2.1.1.04.0760</t>
  </si>
  <si>
    <t>WORK TEMPORARY SERV. EMPRESARIAIS</t>
  </si>
  <si>
    <t>2.1.1.04.0762</t>
  </si>
  <si>
    <t>INFOJET COMÉRCIO E SERVIÇOS DE INFORMÁTI</t>
  </si>
  <si>
    <t>2.1.1.04.0763</t>
  </si>
  <si>
    <t>INST.BRAS.DO MEIO AMBIENTE IBAMA</t>
  </si>
  <si>
    <t>2.1.1.04.0765</t>
  </si>
  <si>
    <t>GLOBAL DISTRIBUIÇÃO DE BENS DE CONSUMO</t>
  </si>
  <si>
    <t>2.1.1.04.0766</t>
  </si>
  <si>
    <t>EUNICE MARIA GONÇALVES DE OLIVEIRA - EPP</t>
  </si>
  <si>
    <t>2.1.1.04.0767</t>
  </si>
  <si>
    <t>CORUJET IMPORTAÇÃO E EXPORTAÇÃO LTDA ME</t>
  </si>
  <si>
    <t>2.1.1.04.0768</t>
  </si>
  <si>
    <t>MICROTECNICA INFORMATICA LTDA</t>
  </si>
  <si>
    <t>2.1.1.04.0769</t>
  </si>
  <si>
    <t>DATEN TECNOLOGIA LTDA</t>
  </si>
  <si>
    <t>2.1.1.04.0770</t>
  </si>
  <si>
    <t>UBM BRAZIL FEIRAS E EVENTOS LTDA</t>
  </si>
  <si>
    <t>2.1.1.04.0771</t>
  </si>
  <si>
    <t>ACQUA AIR MICROBIOLÓGICA ANÁLISES AMBIEN</t>
  </si>
  <si>
    <t>2.1.1.04.0772</t>
  </si>
  <si>
    <t>SANDECH CONSULTORIA EM ENGENHARIA E GEST</t>
  </si>
  <si>
    <t>2.1.1.04.0773</t>
  </si>
  <si>
    <t>MORENO BOOKSTORE LIVRARIA LTDA</t>
  </si>
  <si>
    <t>2.1.1.04.0774</t>
  </si>
  <si>
    <t>TL COMÉRCIO DE MATERIAL DE INFORMÁTICA</t>
  </si>
  <si>
    <t>2.1.1.04.0775</t>
  </si>
  <si>
    <t>GLOBAL TTI SOLUCOES EM TECNOLOGIA LTDA</t>
  </si>
  <si>
    <t>2.1.1.04.0776</t>
  </si>
  <si>
    <t>PRINT GRAF GRÁFICA E EDITORA LTDA.</t>
  </si>
  <si>
    <t>2.1.1.04.0778</t>
  </si>
  <si>
    <t>AEROGLASS BRASILEIRA SA FIBRAS DE VIDRO</t>
  </si>
  <si>
    <t>2.1.1.04.0779</t>
  </si>
  <si>
    <t>EDITORA IRACEMA LTDA-ME</t>
  </si>
  <si>
    <t>2.1.1.04.0780</t>
  </si>
  <si>
    <t>ASSOCIAÇÃO BRASILEIRA DE NORMAS TÉCNICAS</t>
  </si>
  <si>
    <t>2.1.1.04.0782</t>
  </si>
  <si>
    <t>R W REIS COMÉRCIO E SERVIÇOS LTDA-ME</t>
  </si>
  <si>
    <t>2.1.1.04.0783</t>
  </si>
  <si>
    <t>LIVRARIA STUDIUM</t>
  </si>
  <si>
    <t>2.1.1.04.0784</t>
  </si>
  <si>
    <t>SOCIEDADE BRASILEIRA DE ESPELEOLOGIA</t>
  </si>
  <si>
    <t>2.1.1.04.0785</t>
  </si>
  <si>
    <t>TAMANDUA PRESTADORA DE SERVIÇOS LTDA</t>
  </si>
  <si>
    <t>2.1.1.04.0786</t>
  </si>
  <si>
    <t>CERTSYS TECNOLOGIA DA INFORMAÇÃO LTDA</t>
  </si>
  <si>
    <t>2.1.1.04.0787</t>
  </si>
  <si>
    <t>AMERICAN CHAMBER OF COMMERCE FOR BRAZIL</t>
  </si>
  <si>
    <t>2.1.1.04.0788</t>
  </si>
  <si>
    <t>REFRIMEC REFRIGERAÇÃO LTDA</t>
  </si>
  <si>
    <t>2.1.1.04.0789</t>
  </si>
  <si>
    <t>NILZA ROGERIA DE ANDRADE NUNES</t>
  </si>
  <si>
    <t>2.1.1.04.0790</t>
  </si>
  <si>
    <t>PRESSCLIPPING PRODUÇÕES DE CLIPPING LTDA</t>
  </si>
  <si>
    <t>2.1.1.04.0791</t>
  </si>
  <si>
    <t>SOLO NETWORK BRASIL S/A</t>
  </si>
  <si>
    <t>2.1.1.04.0792</t>
  </si>
  <si>
    <t>RIOMEGA SERVIÇOS GRAFICOS LTDA ME</t>
  </si>
  <si>
    <t>2.1.1.04.0793</t>
  </si>
  <si>
    <t>HM ROUPAS PROFISSIONAIS EIRELI</t>
  </si>
  <si>
    <t>2.1.1.04.0794</t>
  </si>
  <si>
    <t>ARANDA EVENTOS E CONGRESSOS LTDA</t>
  </si>
  <si>
    <t>2.1.1.04.0795</t>
  </si>
  <si>
    <t>ASSOCIAÇÃO BRASILEIRA INDÚSTRIA QUÍMICA</t>
  </si>
  <si>
    <t>2.1.1.04.0796</t>
  </si>
  <si>
    <t>ROTA 183 EVENTOS EIRELI</t>
  </si>
  <si>
    <t>2.1.1.04.0797</t>
  </si>
  <si>
    <t>IVAN LEONARDO MACHADO</t>
  </si>
  <si>
    <t>2.1.1.04.0798</t>
  </si>
  <si>
    <t>INSTITUTO BRASILEIRO PRO-CIDADANIA</t>
  </si>
  <si>
    <t>2.1.1.04.0799</t>
  </si>
  <si>
    <t>COND. DO ED.CENTRO EMPRESARIAL RB1</t>
  </si>
  <si>
    <t>2.1.1.04.0800</t>
  </si>
  <si>
    <t>V OFFICE CONSULTORES ASSOCIADOS LTDA</t>
  </si>
  <si>
    <t>2.1.1.04.0801</t>
  </si>
  <si>
    <t>KA SOLUTION INFORMATICA LTDA</t>
  </si>
  <si>
    <t>2.1.1.04.0802</t>
  </si>
  <si>
    <t>FUNDAÇÃO INST PESQ CONT ATUARIAIS E FINA</t>
  </si>
  <si>
    <t>2.1.1.04.0803</t>
  </si>
  <si>
    <t>TRUE SERV E CONSULTORIA EM ENERGIA LTDA</t>
  </si>
  <si>
    <t>2.1.1.04.0804</t>
  </si>
  <si>
    <t>DCIDE LTDA EPP</t>
  </si>
  <si>
    <t>2.1.1.04.0805</t>
  </si>
  <si>
    <t>INST NEGÓCIOS PÚBLICOS DO BRASIL -FILIAL</t>
  </si>
  <si>
    <t>2.1.1.04.0806</t>
  </si>
  <si>
    <t>DPI COMERCIO DE ELETRO EIRELI</t>
  </si>
  <si>
    <t>2.1.1.04.0808</t>
  </si>
  <si>
    <t>LR SOLUÇÕES LTDA</t>
  </si>
  <si>
    <t>2.1.1.04.0809</t>
  </si>
  <si>
    <t>RH CURSOS E TREINAMENTO EMPRESARIAL LTDA</t>
  </si>
  <si>
    <t>2.1.1.04.0810</t>
  </si>
  <si>
    <t>IDEALLE EDITORA E PUBLICIDADE LTDA ME</t>
  </si>
  <si>
    <t>2.1.1.04.0812</t>
  </si>
  <si>
    <t>ASSOCIAÇÃO CULTURAL E DE PESQ NOEL ROSA</t>
  </si>
  <si>
    <t>2.1.1.04.0813</t>
  </si>
  <si>
    <t>INSTITUTO PROMUNDO</t>
  </si>
  <si>
    <t>2.1.1.04.0814</t>
  </si>
  <si>
    <t>JOSE RODRIGUES DE SOUZA NETO</t>
  </si>
  <si>
    <t>2.1.1.04.0815</t>
  </si>
  <si>
    <t>MM DESENVOLVIMENTO LTDA</t>
  </si>
  <si>
    <t>2.1.1.04.0816</t>
  </si>
  <si>
    <t>NORTE EDUCAÇÃO EXECUTIVA LTDA ME</t>
  </si>
  <si>
    <t>2.1.1.04.0817</t>
  </si>
  <si>
    <t>VINICIUS JOSE EUGENIO - ME</t>
  </si>
  <si>
    <t>2.1.1.04.0818</t>
  </si>
  <si>
    <t>ENE TREINAMENTOS CURSOS E EVENTOS EIRELI</t>
  </si>
  <si>
    <t>2.1.1.04.0819</t>
  </si>
  <si>
    <t>ASS BRASILEIRA DE RECURSOS HIDRICOS</t>
  </si>
  <si>
    <t>2.1.1.04.0820</t>
  </si>
  <si>
    <t>UNITIZA CONSULTORIA EM ENERGIA LTDA</t>
  </si>
  <si>
    <t>2.1.1.04.0821</t>
  </si>
  <si>
    <t>CEDIN-CENTRO DE ESTUDOS EM DIR E NEG LTD</t>
  </si>
  <si>
    <t>2.1.1.04.0822</t>
  </si>
  <si>
    <t>LAUDOS ENGENHARIA LTDA</t>
  </si>
  <si>
    <t>2.1.1.04.0823</t>
  </si>
  <si>
    <t>FL SOLUCOES COORPORATIVAS INTELIGENTES L</t>
  </si>
  <si>
    <t>2.1.1.04.0824</t>
  </si>
  <si>
    <t>AL NETTO COMERCIAL E SERVIÇOS EIRELI ME</t>
  </si>
  <si>
    <t>2.1.1.04.0825</t>
  </si>
  <si>
    <t>O2 SOLUÇÕES EM TECNOLOGIA DIGITAL LTDA</t>
  </si>
  <si>
    <t>2.1.1.04.0826</t>
  </si>
  <si>
    <t>AGBT TRADUCOES LTDA</t>
  </si>
  <si>
    <t>2.1.1.04.0827</t>
  </si>
  <si>
    <t>LVD SOLUÇÕES EM INFORMÁTICA EIRELI</t>
  </si>
  <si>
    <t>2.1.1.04.0828</t>
  </si>
  <si>
    <t>TIKINET EDICAO LTDA</t>
  </si>
  <si>
    <t>2.1.1.04.0829</t>
  </si>
  <si>
    <t>ARQUITETURA PROCESSUAL INTELIGENTE</t>
  </si>
  <si>
    <t>2.1.1.04.0831</t>
  </si>
  <si>
    <t>SUPER ACESSO INFORMAÇÃO LTDA ME</t>
  </si>
  <si>
    <t>2.1.1.04.0832</t>
  </si>
  <si>
    <t>EFICAZ GESTÃO EM SAUDE LTDA</t>
  </si>
  <si>
    <t>2.1.1.04.0835</t>
  </si>
  <si>
    <t>NP TREINAMENTOS E CURSOS LTDA</t>
  </si>
  <si>
    <t>2.1.1.04.0836</t>
  </si>
  <si>
    <t>AUTODATA EDITORA E EVENTOS LTDA</t>
  </si>
  <si>
    <t>2.1.1.04.0837</t>
  </si>
  <si>
    <t>HOLLANDA LOPES IMUNIZAÇÃO E VACINAÇÃO</t>
  </si>
  <si>
    <t>2.1.1.04.0838</t>
  </si>
  <si>
    <t>INSTITUTO DOS AUDITORES INTERNOS BRASIL</t>
  </si>
  <si>
    <t>2.1.1.04.0839</t>
  </si>
  <si>
    <t>INSTITUTO NACIONAL DE CAPACITAÇÃO EPP</t>
  </si>
  <si>
    <t>2.1.1.04.0841</t>
  </si>
  <si>
    <t>REAL PROTECT INFORMÁTICA LTDA ME</t>
  </si>
  <si>
    <t>2.1.1.04.0845</t>
  </si>
  <si>
    <t>M2P ENGENHARIA LTDA</t>
  </si>
  <si>
    <t>2.1.1.04.0847</t>
  </si>
  <si>
    <t>QSP - CENTRO DE Q. SEG. E PROD. P/BR E A</t>
  </si>
  <si>
    <t>2.1.1.04.0848</t>
  </si>
  <si>
    <t>TRAINSEC SEGURANCA EIRELI</t>
  </si>
  <si>
    <t>2.1.1.04.0849</t>
  </si>
  <si>
    <t>MAGNOPLAN GERENCIAMENTO DE PROJETOS LTDA</t>
  </si>
  <si>
    <t>2.1.1.04.0850</t>
  </si>
  <si>
    <t>SENAI RN</t>
  </si>
  <si>
    <t>2.1.1.04.0852</t>
  </si>
  <si>
    <t>ECOAMB CONSULTORIA ECONOMICA</t>
  </si>
  <si>
    <t>2.1.1.04.0854</t>
  </si>
  <si>
    <t>AP12 FILMES E PRODUÇÕES LTDA</t>
  </si>
  <si>
    <t>2.1.1.04.0855</t>
  </si>
  <si>
    <t>UNIEDUCAR INTELIGÊNCIA EDUCACIONAL LTDA</t>
  </si>
  <si>
    <t>2.1.1.04.0856</t>
  </si>
  <si>
    <t>WORKING ASSOCIAÇÃO DE INTEGRAÇÃO PROFIS</t>
  </si>
  <si>
    <t>2.1.1.04.0858</t>
  </si>
  <si>
    <t>FUNCAMP - FUND. DE DES. DA UNICAMP</t>
  </si>
  <si>
    <t>2.1.1.04.0859</t>
  </si>
  <si>
    <t>ALPHA &amp; OMEGA TRANSCRIÇÕES</t>
  </si>
  <si>
    <t>2.1.1.04.0860</t>
  </si>
  <si>
    <t>AF FIGUEIREDO - PALESTRAS, CURSOS E CONGR.</t>
  </si>
  <si>
    <t>2.1.1.04.0861</t>
  </si>
  <si>
    <t>IQUALI - INST. DE QUALIFICAÇÃO PROFISSIONAL</t>
  </si>
  <si>
    <t>2.1.1.04.0862</t>
  </si>
  <si>
    <t>JAIRO ADELINO DOS SANTOS</t>
  </si>
  <si>
    <t>2.1.1.04.0863</t>
  </si>
  <si>
    <t>TREINAR CAPACITAÇÃO E DESENVOLVIMENTO</t>
  </si>
  <si>
    <t>2.1.1.04.0865</t>
  </si>
  <si>
    <t>NELISE CARDOSO DOS SANTOS WALDER ME</t>
  </si>
  <si>
    <t>2.1.1.04.0866</t>
  </si>
  <si>
    <t>BRAZIL IT SOLUÇÕES EM INFORMÁTICA</t>
  </si>
  <si>
    <t>2.1.1.04.0867</t>
  </si>
  <si>
    <t>CLINICARE MEDICINA E SEGURANÇA</t>
  </si>
  <si>
    <t>2.1.1.04.0868</t>
  </si>
  <si>
    <t>PROPULSÃO SERVIÇOS DE TRANSPORTE</t>
  </si>
  <si>
    <t>2.1.1.04.0871</t>
  </si>
  <si>
    <t>QUALITY SOFTWARE S/A</t>
  </si>
  <si>
    <t>2.1.1.04.0872</t>
  </si>
  <si>
    <t>JUMP SERVICOS GRAFICOS LTDA</t>
  </si>
  <si>
    <t>2.1.1.04.0873</t>
  </si>
  <si>
    <t>TECHDOC SERVICOS TECNOLOGICOS LTDA</t>
  </si>
  <si>
    <t>2.1.1.04.0874</t>
  </si>
  <si>
    <t>SOLUTIAL SOLUCOES E ANALISE DE DADOS LTDA</t>
  </si>
  <si>
    <t>2.1.1.04.0876</t>
  </si>
  <si>
    <t>LEONARDO AGUIAR MARTIN</t>
  </si>
  <si>
    <t>2.1.1.04.0877</t>
  </si>
  <si>
    <t>GFARIAS EDUCAÇÃO LTDA</t>
  </si>
  <si>
    <t>2.1.1.04.0878</t>
  </si>
  <si>
    <t>MARIA DAS NEVES FERREIRA PINTO VIEIRA</t>
  </si>
  <si>
    <t>2.1.1.04.0879</t>
  </si>
  <si>
    <t>PROSA DO MUNDO SERV. EDITORIAS</t>
  </si>
  <si>
    <t>2.1.1.04.0882</t>
  </si>
  <si>
    <t>R PEOTTA ENGENHARIA E CONSULTORIA</t>
  </si>
  <si>
    <t>2.1.1.04.0883</t>
  </si>
  <si>
    <t>JSM SOLUÇÕES LOGÍSTICAS E TRANSPORTE</t>
  </si>
  <si>
    <t>2.1.1.04.0884</t>
  </si>
  <si>
    <t>CENOFISCO EDIT. DE PUBLICAÇÕES TRIBUTÁRIAS</t>
  </si>
  <si>
    <t>2.1.1.04.0885</t>
  </si>
  <si>
    <t>CHÁ COM NOZES PROPAGANDA LTDA</t>
  </si>
  <si>
    <t>2.1.1.04.0887</t>
  </si>
  <si>
    <t>SINAPSIS INOVACAO EM ENERGIA S/S LTDA</t>
  </si>
  <si>
    <t>2.1.1.04.0888</t>
  </si>
  <si>
    <t>MIRIAN ISABEL SAY - MEI</t>
  </si>
  <si>
    <t>2.1.1.04.0889</t>
  </si>
  <si>
    <t>M&amp;D CURSOS E TREINAMENTOS</t>
  </si>
  <si>
    <t>2.1.1.04.0890</t>
  </si>
  <si>
    <t>INSTITUTO NACIONAL DA PROPRIEDADE INDUSTRIAL</t>
  </si>
  <si>
    <t>2.1.1.04.0893</t>
  </si>
  <si>
    <t>WETALK TECNOLOGIA DA INFORMAÇÃO</t>
  </si>
  <si>
    <t>2.1.1.04.0894</t>
  </si>
  <si>
    <t>GET CLEAN HIGIENIZACAO EIRELI</t>
  </si>
  <si>
    <t>2.1.1.04.0896</t>
  </si>
  <si>
    <t>UNIVET SERVIÇOS ESPECIALIZADOS DE DESINSETIZAÇAO LTDA</t>
  </si>
  <si>
    <t>2.1.1.04.0897</t>
  </si>
  <si>
    <t>AEA ASSOCIAÇÃO BRAS. DE ENGENHARIA AUTOMOTIVA</t>
  </si>
  <si>
    <t>2.1.1.04.0898</t>
  </si>
  <si>
    <t>SISTAB TEC-COMERCIO E SERVIÇOS</t>
  </si>
  <si>
    <t>2.1.1.04.0899</t>
  </si>
  <si>
    <t>VACIVITTA IMUNIZAÇÃO HUMANA</t>
  </si>
  <si>
    <t>2.1.1.04.0902</t>
  </si>
  <si>
    <t>JARDEL BECK PALESTRAS MAGICAS EIRELI</t>
  </si>
  <si>
    <t>2.1.1.04.0903</t>
  </si>
  <si>
    <t>OFFICELESS EMPREENDEDORISMO E CONSULTORIA</t>
  </si>
  <si>
    <t>2.1.1.04.0908</t>
  </si>
  <si>
    <t>LSF COM. E SERV. DE IMPRESSAO EIRELLI-EPP</t>
  </si>
  <si>
    <t>2.1.1.04.0909</t>
  </si>
  <si>
    <t>CONPROVE TECNOLOGIA E PESQUISAS LTDA - EPP</t>
  </si>
  <si>
    <t>2.1.1.04.0910</t>
  </si>
  <si>
    <t>POTENCIA DIVERSA CONSULTORIA</t>
  </si>
  <si>
    <t>2.1.1.04.0915</t>
  </si>
  <si>
    <t>BSD CONSULTORIA LTDA</t>
  </si>
  <si>
    <t>2.1.1.04.0916</t>
  </si>
  <si>
    <t>ASSOCIAÇÃO BRASILEIRA DE GERADORAS TERMELETRICAS ABRAG</t>
  </si>
  <si>
    <t>2.1.1.04.0917</t>
  </si>
  <si>
    <t>NAYANA AGNI LOURENÇO MARINS</t>
  </si>
  <si>
    <t>2.1.1.04.0918</t>
  </si>
  <si>
    <t>DIEGO MARCELO F. TRAVEZ</t>
  </si>
  <si>
    <t>2.1.1.04.0919</t>
  </si>
  <si>
    <t>NÚCLEO DE INFORMAÇÃO E COORDENAÇÃO DO PONTO BR - NIC.BR</t>
  </si>
  <si>
    <t>2.1.1.04.0920</t>
  </si>
  <si>
    <t>RAPHAEL DIAS XAVIER</t>
  </si>
  <si>
    <t>2.1.1.04.0922</t>
  </si>
  <si>
    <t>000000004906-95</t>
  </si>
  <si>
    <t>BANCO DO BRASIL S/A</t>
  </si>
  <si>
    <t>2.1.1.04.0923</t>
  </si>
  <si>
    <t>X VOTE SISTEMAS DE VOTACAO ELETRONICA LTDA</t>
  </si>
  <si>
    <t>2.1.1.04.0924</t>
  </si>
  <si>
    <t>SINERGYA TREINAMENTOS LTDA</t>
  </si>
  <si>
    <t>2.1.1.04.0925</t>
  </si>
  <si>
    <t>DM CRIACAO E DISTRIBUICAO DE CONTEUDO EIRELI</t>
  </si>
  <si>
    <t>2.1.1.04.0928</t>
  </si>
  <si>
    <t>DAIMON ENGENHARIA E SISTEMAS S/S LTDA</t>
  </si>
  <si>
    <t>2.1.1.04.0929</t>
  </si>
  <si>
    <t>FREE JOBS DESENVOLVIMENTO DE SOFTWARE LTDA</t>
  </si>
  <si>
    <t>2.1.1.04.0934</t>
  </si>
  <si>
    <t>PSYDEMY ENGENHARIA LTDA</t>
  </si>
  <si>
    <t>2.1.1.04.0936</t>
  </si>
  <si>
    <t>CONQUER HOLDING EDUCACIONAL S.A.</t>
  </si>
  <si>
    <t>2.1.1.04.0938</t>
  </si>
  <si>
    <t>KEILA AMORIM DE MELO</t>
  </si>
  <si>
    <t>2.1.1.04.0939</t>
  </si>
  <si>
    <t>DELOITTE TOUCHE TOHMATSU CONSULTORES LTDA</t>
  </si>
  <si>
    <t>2.1.1.04.0941</t>
  </si>
  <si>
    <t>GD TREINAMENTOS LTDA</t>
  </si>
  <si>
    <t>2.1.1.04.0982</t>
  </si>
  <si>
    <t>2.1.1.04.0999</t>
  </si>
  <si>
    <t>Provisão de Fornecedores</t>
  </si>
  <si>
    <t>2.1.1.04.1012</t>
  </si>
  <si>
    <t>SAAS - SOLUÇÕES E SISTEMAS DE GESTÃO S/S LTDA</t>
  </si>
  <si>
    <t>2.1.1.04.1013</t>
  </si>
  <si>
    <t>WA 2 SERVIÇOS DE SEGURANÇA DA INFORMAÇÃO E CONTINUIDADE</t>
  </si>
  <si>
    <t>2.1.1.04.1014</t>
  </si>
  <si>
    <t>SATELITE COMERCIO DE MATERIAIS DE ESCRITORIO DE LIMPEZA</t>
  </si>
  <si>
    <t>2.1.1.04.1015</t>
  </si>
  <si>
    <t>REDE NACIONAL DE APRENDIZAGEM, PROMOÇÃO SOCIAL E INTEGRAÇÃO RENAPSI</t>
  </si>
  <si>
    <t>2.1.1.04.1016</t>
  </si>
  <si>
    <t>5F SOLUÇÕES, SERVIÇOS E COMERCIO DE PRODUTOS DE INFORMATICA</t>
  </si>
  <si>
    <t>2.1.1.04.1017</t>
  </si>
  <si>
    <t>FUNDACAO UNIVERSITARIA JOSE BONIFACIO</t>
  </si>
  <si>
    <t>2.1.1.04.1018</t>
  </si>
  <si>
    <t>SERVICO FEDERAL DE PROCESSAMENTO DE DADOS SERPRO</t>
  </si>
  <si>
    <t>2.1.1.04.1019</t>
  </si>
  <si>
    <t>GEOWORKS CONSULTING SERVICES LTDA</t>
  </si>
  <si>
    <t>2.1.1.04.1020</t>
  </si>
  <si>
    <t>2.1.1.04.1021</t>
  </si>
  <si>
    <t>GM SAUDE LTDA</t>
  </si>
  <si>
    <t>2.1.1.04.1022</t>
  </si>
  <si>
    <t>GREEN DOMUS DESENVOLVIMENTO SUSTENTAVEL LTDA</t>
  </si>
  <si>
    <t>2.1.1.04.1023</t>
  </si>
  <si>
    <t>ANKLESA INCORPORAÇÃO DE EMPREENDIMENTOS LTDA</t>
  </si>
  <si>
    <t>2.1.1.04.1024</t>
  </si>
  <si>
    <t>SOLUCOES INTERATIVAS PERSONALIZADAS LTDA</t>
  </si>
  <si>
    <t>2.1.1.04.1025</t>
  </si>
  <si>
    <t>NALI FRETAMENTO TURISMO E LOCADORA LTDA ME</t>
  </si>
  <si>
    <t>2.1.1.04.1026</t>
  </si>
  <si>
    <t>GAR-6 CONSULTORIA EM RELAÇÕES TRABALHISTAS LTDA ME</t>
  </si>
  <si>
    <t>2.1.1.05</t>
  </si>
  <si>
    <t>Fornecedores Estrangeiros</t>
  </si>
  <si>
    <t>2.1.1.05.0999</t>
  </si>
  <si>
    <t>Fornecedores de Materiais e Serviços</t>
  </si>
  <si>
    <t>2.1.1.06.0004</t>
  </si>
  <si>
    <t>ICMS a Recolher</t>
  </si>
  <si>
    <t>2.1.1.06.0005</t>
  </si>
  <si>
    <t>ISS a Recolher</t>
  </si>
  <si>
    <t>2.1.1.06.0006</t>
  </si>
  <si>
    <t>IPTU a Recolher</t>
  </si>
  <si>
    <t>2.1.1.06.0008</t>
  </si>
  <si>
    <t>CIDE s/Remessas p/ o exterior a Recolher</t>
  </si>
  <si>
    <t>2.1.1.06.0009</t>
  </si>
  <si>
    <t>Tributos a Recolher - Exerc Ant</t>
  </si>
  <si>
    <t>2.1.1.07.0004</t>
  </si>
  <si>
    <t>PIS</t>
  </si>
  <si>
    <t>PIS/PASEP de Terceiros</t>
  </si>
  <si>
    <t>2.1.1.07.0005</t>
  </si>
  <si>
    <t>COFINS</t>
  </si>
  <si>
    <t>COFINS de Terceiros</t>
  </si>
  <si>
    <t>2.1.1.07.0006</t>
  </si>
  <si>
    <t>CSLL de Terceiros</t>
  </si>
  <si>
    <t>2.1.1.07.0007</t>
  </si>
  <si>
    <t>IRPJ de Terceiros</t>
  </si>
  <si>
    <t>2.1.1.07.0012</t>
  </si>
  <si>
    <t>Ret IN 539/05 - IR/CS/PIS/COFINS - 4,89%</t>
  </si>
  <si>
    <t>2.1.1.07.0014</t>
  </si>
  <si>
    <t>IRRF Pessoa Física</t>
  </si>
  <si>
    <t>2.1.1.07.0016</t>
  </si>
  <si>
    <t>Ret  IR e Contrib. 6147 Conv. 035</t>
  </si>
  <si>
    <t>2.1.1.07.0017</t>
  </si>
  <si>
    <t>Ret IR e Contrib. 6147 Conv. 039</t>
  </si>
  <si>
    <t>2.1.1.07.0018</t>
  </si>
  <si>
    <t>Ret IR e Contrib. 6190 Conv. 032</t>
  </si>
  <si>
    <t>2.1.1.07.0019</t>
  </si>
  <si>
    <t>Ret IR e Contrib. 6190 Conv. 034</t>
  </si>
  <si>
    <t>2.1.1.07.0020</t>
  </si>
  <si>
    <t>Ret. ISS de Terceiros Conv. 013</t>
  </si>
  <si>
    <t>2.1.1.07.0021</t>
  </si>
  <si>
    <t>Ret. ISS de Terceiros Conv. 039</t>
  </si>
  <si>
    <t>2.1.1.07.0022</t>
  </si>
  <si>
    <t>Ret. INSS de Terceiros Conv. 013</t>
  </si>
  <si>
    <t>2.1.1.07.0023</t>
  </si>
  <si>
    <t>Ret. INSS de Terceiros Conv. 039</t>
  </si>
  <si>
    <t>2.1.1.07.0024</t>
  </si>
  <si>
    <t>Ret  IR e Contrib. 6147 Conv. 022</t>
  </si>
  <si>
    <t>2.1.1.07.0025</t>
  </si>
  <si>
    <t>Ret  IR e Contrib. 6190 Conv. 022</t>
  </si>
  <si>
    <t>2.1.1.07.0026</t>
  </si>
  <si>
    <t>Ret  IR e Contrib. 6190 Conv. 013</t>
  </si>
  <si>
    <t>2.1.1.07.0027</t>
  </si>
  <si>
    <t>Ret  IR e Contrib. 6147 Conv. 029</t>
  </si>
  <si>
    <t>2.1.1.07.0028</t>
  </si>
  <si>
    <t>Ret  IR e Contrib. 6190 Conv. 029</t>
  </si>
  <si>
    <t>2.1.1.07.0029</t>
  </si>
  <si>
    <t>Ret  IR e Contrib. 6147 Conv. 013</t>
  </si>
  <si>
    <t>2.1.1.07.0030</t>
  </si>
  <si>
    <t>Ret  IR e Contrib. 6175 Conv. 034</t>
  </si>
  <si>
    <t>2.1.1.07.0031</t>
  </si>
  <si>
    <t>Ret  IR e Contrib. 6175 Conv. 035</t>
  </si>
  <si>
    <t>2.1.1.07.0032</t>
  </si>
  <si>
    <t>Ret  IR e Contrib. 6175 Conv. 013</t>
  </si>
  <si>
    <t>2.1.1.07.0033</t>
  </si>
  <si>
    <t>Ret  IR e Contrib. 6190 Conv. 039</t>
  </si>
  <si>
    <t>2.1.1.07.0034</t>
  </si>
  <si>
    <t>Ret  IR e Contrib. 6175 Conv. 039</t>
  </si>
  <si>
    <t>2.1.1.07.0035</t>
  </si>
  <si>
    <t>Ret  IR e Contrib. 6175 Conv. 029</t>
  </si>
  <si>
    <t>2.1.1.07.0036</t>
  </si>
  <si>
    <t>Ret  IR e Contrib. 6190 Conv. 031</t>
  </si>
  <si>
    <t>2.1.1.07.0037</t>
  </si>
  <si>
    <t>Ret  IR e Contrib. 6190 Conv. 030</t>
  </si>
  <si>
    <t>2.1.1.07.0038</t>
  </si>
  <si>
    <t>Ret  IR e Contrib. 6190 Conv. 033</t>
  </si>
  <si>
    <t>2.1.1.07.0039</t>
  </si>
  <si>
    <t>Ret  IR e Contrib. 6175 Conv. 033</t>
  </si>
  <si>
    <t>2.1.1.07.0040</t>
  </si>
  <si>
    <t>Ret. INSS de Terceiros Conv. 022</t>
  </si>
  <si>
    <t>2.1.1.07.0041</t>
  </si>
  <si>
    <t>Ret  IR e Contrib. 6190 Conv. 025</t>
  </si>
  <si>
    <t>2.1.1.07.0042</t>
  </si>
  <si>
    <t>Ret  IR e Contrib. 6190 Conv. 035</t>
  </si>
  <si>
    <t>2.1.1.07.0043</t>
  </si>
  <si>
    <t>Ret  IR e Contrib. 6190 Conv. 023</t>
  </si>
  <si>
    <t>2.1.1.07.0044</t>
  </si>
  <si>
    <t>Ret  IR e Contrib. 6175 Conv. 032</t>
  </si>
  <si>
    <t>2.1.1.07.0045</t>
  </si>
  <si>
    <t>Ret  IR e Contrib. 6190 Conv. 026</t>
  </si>
  <si>
    <t>2.1.1.07.0046</t>
  </si>
  <si>
    <t>IRRF a Recolher de Terceiros Conv. 026</t>
  </si>
  <si>
    <t>2.1.1.07.0047</t>
  </si>
  <si>
    <t>PIS/PASEP de Terceiros Conv. 026</t>
  </si>
  <si>
    <t>2.1.1.07.0048</t>
  </si>
  <si>
    <t>CSLL de Terceiros Conv. 026</t>
  </si>
  <si>
    <t>2.1.1.07.0049</t>
  </si>
  <si>
    <t>Ret  IR e Contrib. 6175 Conv. 025</t>
  </si>
  <si>
    <t>2.1.1.07.0050</t>
  </si>
  <si>
    <t>Ret  IR e Contrib. 6175 Conv. 028</t>
  </si>
  <si>
    <t>2.1.1.07.0051</t>
  </si>
  <si>
    <t>Ret. ISS de Terceiros Conv. 032</t>
  </si>
  <si>
    <t>2.1.1.07.0052</t>
  </si>
  <si>
    <t>Ret. ISS de Terceiros Conv. 033</t>
  </si>
  <si>
    <t>2.1.1.07.0053</t>
  </si>
  <si>
    <t>Ret. ISS de Terceiros Conv. 034</t>
  </si>
  <si>
    <t>2.1.1.07.0054</t>
  </si>
  <si>
    <t>Ret. ISS de Terceiros Conv. 029</t>
  </si>
  <si>
    <t>2.1.1.07.0055</t>
  </si>
  <si>
    <t>Ret  IR e Contrib. 6175 Conv. 023</t>
  </si>
  <si>
    <t>2.1.1.07.0056</t>
  </si>
  <si>
    <t>Ret  IR e Contrib. 6175 Conv. 030</t>
  </si>
  <si>
    <t>2.1.1.07.0057</t>
  </si>
  <si>
    <t>Ret  IR e Contrib. 6175 Conv. 031</t>
  </si>
  <si>
    <t>2.1.1.07.0058</t>
  </si>
  <si>
    <t>Ret. ISS de Terceiros Conv. 035</t>
  </si>
  <si>
    <t>2.1.1.07.0059</t>
  </si>
  <si>
    <t>Ret. INSS de Terceiros Conv. 030</t>
  </si>
  <si>
    <t>2.1.1.07.0060</t>
  </si>
  <si>
    <t>Ret. ISS de Terceiros Conv. 025</t>
  </si>
  <si>
    <t>2.1.1.07.0061</t>
  </si>
  <si>
    <t>Ret. ISS de Terceiros Conv. 022</t>
  </si>
  <si>
    <t>2.1.1.07.0062</t>
  </si>
  <si>
    <t>Ret. ISS de Terceiros Conv. 030</t>
  </si>
  <si>
    <t>2.1.1.07.0063</t>
  </si>
  <si>
    <t>Ret  IR e Contrib. 6175 Conv. 022</t>
  </si>
  <si>
    <t>2.1.1.07.0064</t>
  </si>
  <si>
    <t>Ret  IR e Contrib. 6175 Conv. 026</t>
  </si>
  <si>
    <t>2.1.1.07.0065</t>
  </si>
  <si>
    <t>Ret  IR e Contrib. 6175 Conv. 027</t>
  </si>
  <si>
    <t>2.1.1.07.0066</t>
  </si>
  <si>
    <t>Ret  IR e Contrib. 6190 Conv. 034</t>
  </si>
  <si>
    <t>2.1.1.07.0067</t>
  </si>
  <si>
    <t>Ret  IR e Contrib. 6147 Conv. 026</t>
  </si>
  <si>
    <t>2.1.1.07.0068</t>
  </si>
  <si>
    <t>Retenção IN 480/2004 - IRPJ</t>
  </si>
  <si>
    <t>2.1.1.07.0069</t>
  </si>
  <si>
    <t>Retenção IN 480/2004 - CSLL</t>
  </si>
  <si>
    <t>2.1.1.07.0070</t>
  </si>
  <si>
    <t>Retenção IN 480/2004 - COFINS</t>
  </si>
  <si>
    <t>2.1.1.07.0071</t>
  </si>
  <si>
    <t>Retenção IN 480/2004 - PIS</t>
  </si>
  <si>
    <t>2.1.1.07.0072</t>
  </si>
  <si>
    <t>IRRF - ALUGUEL PF</t>
  </si>
  <si>
    <t>2.1.1.07.0073</t>
  </si>
  <si>
    <t>Ret IN 539/05 - IRPJ - 2,4%</t>
  </si>
  <si>
    <t>2.1.1.07.0074</t>
  </si>
  <si>
    <t>Ret IN 539/05 - CSLL - 1%</t>
  </si>
  <si>
    <t>2.1.1.07.0999</t>
  </si>
  <si>
    <t>A Classificar</t>
  </si>
  <si>
    <t>2.1.1.09</t>
  </si>
  <si>
    <t>Obrigações c/ Acionistas e Diretores</t>
  </si>
  <si>
    <t>2.1.1.09.0001</t>
  </si>
  <si>
    <t>Dividendos a Pagar</t>
  </si>
  <si>
    <t>2.1.1.09.0002</t>
  </si>
  <si>
    <t>Juros Sobre o Capital Próprio a Pagar</t>
  </si>
  <si>
    <t>2.1.1.09.0003</t>
  </si>
  <si>
    <t>2.1.1.09.0004</t>
  </si>
  <si>
    <t>Honorários dos Conselhos</t>
  </si>
  <si>
    <t>2.1.1.09.0005</t>
  </si>
  <si>
    <t>Dividendos Complementar a Pagar</t>
  </si>
  <si>
    <t>2.1.1.09.0006</t>
  </si>
  <si>
    <t>Juros s/ Dividendos a Pagar</t>
  </si>
  <si>
    <t>2.1.1.10</t>
  </si>
  <si>
    <t>Provisões Societárias</t>
  </si>
  <si>
    <t>2.1.1.10.0001</t>
  </si>
  <si>
    <t>Dividendos Propostos</t>
  </si>
  <si>
    <t>2.1.1.10.0002</t>
  </si>
  <si>
    <t>Participações nos Lucros - Diretores</t>
  </si>
  <si>
    <t>2.1.1.10.0003</t>
  </si>
  <si>
    <t>Participações nos Lucros - Empregados</t>
  </si>
  <si>
    <t>2.1.1.11.0002</t>
  </si>
  <si>
    <t>2.1.1.11.0003</t>
  </si>
  <si>
    <t>2.1.1.12</t>
  </si>
  <si>
    <t>Convênios</t>
  </si>
  <si>
    <t>2.1.1.12.0001</t>
  </si>
  <si>
    <t>Convênio 013 Bco. Brasil - 420.729-7</t>
  </si>
  <si>
    <t>2.1.1.12.0002</t>
  </si>
  <si>
    <t>Pagamentos por Conta de Convênios</t>
  </si>
  <si>
    <t>2.1.1.12.0003</t>
  </si>
  <si>
    <t>Convênio 022 Bco. Brasil - 420.712-2</t>
  </si>
  <si>
    <t>2.1.1.12.0004</t>
  </si>
  <si>
    <t>Convênio 023 Bco. Brasil - 420.713-0</t>
  </si>
  <si>
    <t>2.1.1.12.0005</t>
  </si>
  <si>
    <t>Convênio 024 Bco. Brasil - 420.714-9</t>
  </si>
  <si>
    <t>2.1.1.12.0006</t>
  </si>
  <si>
    <t>Convênio 025 Bco. Brasil - 420.715-7</t>
  </si>
  <si>
    <t>2.1.1.12.0007</t>
  </si>
  <si>
    <t>Convênio 026 Bco. Brasil - 420.716-5</t>
  </si>
  <si>
    <t>2.1.1.12.0008</t>
  </si>
  <si>
    <t>Convênio 027 Bco. Brasil - 420.718-1</t>
  </si>
  <si>
    <t>2.1.1.12.0009</t>
  </si>
  <si>
    <t>Convênio 028 Bco  Brasil - 420.717-3</t>
  </si>
  <si>
    <t>2.1.1.12.0010</t>
  </si>
  <si>
    <t>Convênio 029 Bco. Brasil - 420.719-X</t>
  </si>
  <si>
    <t>2.1.1.12.0011</t>
  </si>
  <si>
    <t>Convênio 030 Bco. Brasil - 420.720-3</t>
  </si>
  <si>
    <t>2.1.1.12.0012</t>
  </si>
  <si>
    <t>Convênio 031 Bco. Brasil - 420.721-1</t>
  </si>
  <si>
    <t>2.1.1.12.0013</t>
  </si>
  <si>
    <t>Convênio 032 Bco. Brasil - 420.722-X</t>
  </si>
  <si>
    <t>2.1.1.12.0014</t>
  </si>
  <si>
    <t>Convênio 033 Bco. Brasil - 420.723-8</t>
  </si>
  <si>
    <t>2.1.1.12.0015</t>
  </si>
  <si>
    <t>Convênio 034 Bco. Brasil - 420.724-6</t>
  </si>
  <si>
    <t>2.1.1.12.0016</t>
  </si>
  <si>
    <t>Convênio 035 Bco. Brasil - 420.725-4</t>
  </si>
  <si>
    <t>2.1.1.12.0017</t>
  </si>
  <si>
    <t>Convênio 036 Bco. Brasil - 420.726-2</t>
  </si>
  <si>
    <t>2.1.1.12.0018</t>
  </si>
  <si>
    <t>Convênio 039 Bco. Brasil - 420.727-0</t>
  </si>
  <si>
    <t>2.1.1.13</t>
  </si>
  <si>
    <t>Contratos</t>
  </si>
  <si>
    <t>2.1.1.13.0001</t>
  </si>
  <si>
    <t>Adiantamentos por Conta de Contratos</t>
  </si>
  <si>
    <t>2.1.1.13.0002</t>
  </si>
  <si>
    <t>RETENCÕES CONTRATUAIS</t>
  </si>
  <si>
    <t>2.1.1.14.0001</t>
  </si>
  <si>
    <t>Órgãos Públicos e Empresas Estatais</t>
  </si>
  <si>
    <t>2.1.1.14.0002</t>
  </si>
  <si>
    <t>Obrigações com a Petrobras</t>
  </si>
  <si>
    <t>2.1.1.14.0003</t>
  </si>
  <si>
    <t>Obrigações com Furnas</t>
  </si>
  <si>
    <t>2.1.1.14.0004</t>
  </si>
  <si>
    <t>Obrigações com a Cepel</t>
  </si>
  <si>
    <t>2.1.1.99</t>
  </si>
  <si>
    <t>Outras Obrigações</t>
  </si>
  <si>
    <t>2.1.1.99.0001</t>
  </si>
  <si>
    <t>Adiantamento de Clientes</t>
  </si>
  <si>
    <t>2.1.1.99.0002</t>
  </si>
  <si>
    <t>Retenções Contratuais</t>
  </si>
  <si>
    <t>2.1.1.99.0003</t>
  </si>
  <si>
    <t>Cauções em Garantia e Concorrências</t>
  </si>
  <si>
    <t>2.1.1.99.0004</t>
  </si>
  <si>
    <t>Adiantamento p/ Seminários - Patrocínios</t>
  </si>
  <si>
    <t>2.1.1.99.0998</t>
  </si>
  <si>
    <t>Serviços de Pessoa Física</t>
  </si>
  <si>
    <t>2.1.1.99.0999</t>
  </si>
  <si>
    <t>Outras Contas a Pagar</t>
  </si>
  <si>
    <t>2.2.1.01</t>
  </si>
  <si>
    <t>2.2.1.01.0001</t>
  </si>
  <si>
    <t>2.2.1.01.0002</t>
  </si>
  <si>
    <t>2.2.1.02</t>
  </si>
  <si>
    <t>2.2.1.02.0001</t>
  </si>
  <si>
    <t>2.2.1.02.0002</t>
  </si>
  <si>
    <t>2.2.1.06</t>
  </si>
  <si>
    <t>2.2.1.06.0001</t>
  </si>
  <si>
    <t>2.2.1.07</t>
  </si>
  <si>
    <t>2.2.1.07.0001</t>
  </si>
  <si>
    <t>2.2.1.99</t>
  </si>
  <si>
    <t>Outras Passivos Exigível a Longo Prazo</t>
  </si>
  <si>
    <t>2.2.1.99.0001</t>
  </si>
  <si>
    <t>2.2.1.99.0002</t>
  </si>
  <si>
    <t>CSLL Diferido</t>
  </si>
  <si>
    <t>2.4.1.02</t>
  </si>
  <si>
    <t>(-) Capital a Integralizar</t>
  </si>
  <si>
    <t>2.4.1.02.0001</t>
  </si>
  <si>
    <t>2.4.2</t>
  </si>
  <si>
    <t>Reservas de Lucros</t>
  </si>
  <si>
    <t>2.4.2.01</t>
  </si>
  <si>
    <t>Reserva Legal</t>
  </si>
  <si>
    <t>2.4.2.01.0001</t>
  </si>
  <si>
    <t>2.4.2.04</t>
  </si>
  <si>
    <t>Reserva de Lucros para Investimento</t>
  </si>
  <si>
    <t>2.4.2.04.0001</t>
  </si>
  <si>
    <t>2.4.2.05</t>
  </si>
  <si>
    <t>Dividendo Adicional Proposto</t>
  </si>
  <si>
    <t>2.4.2.05.0001</t>
  </si>
  <si>
    <t>2.4.2.07</t>
  </si>
  <si>
    <t>Reserva Especial p/ Dividendos</t>
  </si>
  <si>
    <t>2.4.2.07.0001</t>
  </si>
  <si>
    <t>2.4.6.01</t>
  </si>
  <si>
    <t>Lucros Acumulados</t>
  </si>
  <si>
    <t>2.4.6.01.0001</t>
  </si>
  <si>
    <t>2.4.6.01.0002</t>
  </si>
  <si>
    <t>Lucros Acumulados - Ajust Exerc Ant</t>
  </si>
  <si>
    <t>2.4.6.01.0003</t>
  </si>
  <si>
    <t>Lucros Acumulados - DMO</t>
  </si>
  <si>
    <t>2.4.6.02.0001</t>
  </si>
  <si>
    <t>(-) Prejuízo Acumulado de 2005</t>
  </si>
  <si>
    <t>2.4.6.02.0003</t>
  </si>
  <si>
    <t>(-) Prejuízo Acumulado de 2009</t>
  </si>
  <si>
    <t>2.4.6.02.0004</t>
  </si>
  <si>
    <t>(-) Prejuízo Acumulado - Ajust Exerc Ant</t>
  </si>
  <si>
    <t>2.4.6.03</t>
  </si>
  <si>
    <t>Ajustes de Exercícios Anteriores</t>
  </si>
  <si>
    <t>2.4.6.03.0001</t>
  </si>
  <si>
    <t>Lucros Acumulados Ajustes Exerc. Ant.</t>
  </si>
  <si>
    <t>2.4.6.03.0002</t>
  </si>
  <si>
    <t>Prejuízos Acumulados Ajustes Exerc. Ant.</t>
  </si>
  <si>
    <t>3.2</t>
  </si>
  <si>
    <t>Receitas Operacionais</t>
  </si>
  <si>
    <t>3.2.1</t>
  </si>
  <si>
    <t>Receitas de Prestações de Serviços</t>
  </si>
  <si>
    <t>3.2.1.01</t>
  </si>
  <si>
    <t>Prestação de Serviços a Órgãos Públicos</t>
  </si>
  <si>
    <t>3.2.1.01.0001</t>
  </si>
  <si>
    <t>Rec. Serv. Prest. a Órgãos Públicos</t>
  </si>
  <si>
    <t>3.2.1.02</t>
  </si>
  <si>
    <t>Prestação Serviços a Empresas Estatais</t>
  </si>
  <si>
    <t>3.2.1.02.0001</t>
  </si>
  <si>
    <t>Rec. Serv. Prest. a Empresas Estatais</t>
  </si>
  <si>
    <t>3.2.1.03</t>
  </si>
  <si>
    <t>Prestação Serviços a Empresas Privadas</t>
  </si>
  <si>
    <t>3.2.1.03.0001</t>
  </si>
  <si>
    <t>Rec. Serv. Prest. a Empresas Privadas</t>
  </si>
  <si>
    <t>3.2.2</t>
  </si>
  <si>
    <t>(-) Deduções da Receita Bruta</t>
  </si>
  <si>
    <t>3.2.2.01</t>
  </si>
  <si>
    <t>(-) Tributos Incidentes s/ Vendas</t>
  </si>
  <si>
    <t>3.2.2.01.0001</t>
  </si>
  <si>
    <t>3.2.2.01.0002</t>
  </si>
  <si>
    <t>PASEP</t>
  </si>
  <si>
    <t>3.2.2.01.0003</t>
  </si>
  <si>
    <t>3.2.3</t>
  </si>
  <si>
    <t>Receitas de Vendas de Mercadorias</t>
  </si>
  <si>
    <t>3.2.3.01</t>
  </si>
  <si>
    <t>3.2.3.01.0001</t>
  </si>
  <si>
    <t>Venda a Órgãos Públicos e Empresas Estat</t>
  </si>
  <si>
    <t>3.2.3.01.0002</t>
  </si>
  <si>
    <t>Venda a Empresas Privadas</t>
  </si>
  <si>
    <t>3.2.3.01.0003</t>
  </si>
  <si>
    <t>Venda a Pessoas Físicas</t>
  </si>
  <si>
    <t>3.3.1.01.0001</t>
  </si>
  <si>
    <t>Rendas de Juros Moratórios</t>
  </si>
  <si>
    <t>3.3.1.01.0002</t>
  </si>
  <si>
    <t>Rendas de Multas Aplicadas</t>
  </si>
  <si>
    <t>3.3.1.01.0999</t>
  </si>
  <si>
    <t>Outras Rendas</t>
  </si>
  <si>
    <t>3.3.1.02</t>
  </si>
  <si>
    <t>Receitas s/ Transações Bancárias</t>
  </si>
  <si>
    <t>3.3.1.02.0001</t>
  </si>
  <si>
    <t>Rendas de Aplicações Financeiras</t>
  </si>
  <si>
    <t>3.3.1.02.0999</t>
  </si>
  <si>
    <t>3.3.1.03</t>
  </si>
  <si>
    <t>Receitas de Títulos e Valores Mobiliário</t>
  </si>
  <si>
    <t>3.3.1.03.0001</t>
  </si>
  <si>
    <t>Lucro na Venda de Ações</t>
  </si>
  <si>
    <t>3.3.1.03.0002</t>
  </si>
  <si>
    <t>Divid. e Juros s/ Cap. Próprio Recebidos</t>
  </si>
  <si>
    <t>3.3.1.05</t>
  </si>
  <si>
    <t>Atualização Monetária – Créd. Tributário</t>
  </si>
  <si>
    <t>3.3.1.05.0001</t>
  </si>
  <si>
    <t>Tributos a Recup ou Compens – Federais</t>
  </si>
  <si>
    <t>3.3.1.05.0002</t>
  </si>
  <si>
    <t>Tributos a Recup ou Compens – Estaduais</t>
  </si>
  <si>
    <t>3.3.1.05.0003</t>
  </si>
  <si>
    <t>Tributos a Recup ou Compens – Municipais</t>
  </si>
  <si>
    <t>3.3.1.99</t>
  </si>
  <si>
    <t>Outras Receitas Financeiras</t>
  </si>
  <si>
    <t>3.3.1.99.0999</t>
  </si>
  <si>
    <t>3.3.2.01.0001</t>
  </si>
  <si>
    <t>Leilões ANEEL – Geração de Energia</t>
  </si>
  <si>
    <t>3.3.6.01.0001</t>
  </si>
  <si>
    <t>Contingência Trabalhistas</t>
  </si>
  <si>
    <t>3.3.6.01.0004</t>
  </si>
  <si>
    <t>Reversão Variação Monetária Contingências</t>
  </si>
  <si>
    <t>3.3.9.01</t>
  </si>
  <si>
    <t>Receitas Alienação do Permanente</t>
  </si>
  <si>
    <t>3.3.9.01.0001</t>
  </si>
  <si>
    <t>Ganho Alienação - Investimentos</t>
  </si>
  <si>
    <t>3.3.9.01.0002</t>
  </si>
  <si>
    <t>Ganho Alienação - Imobilizado</t>
  </si>
  <si>
    <t>3.3.9.01.0003</t>
  </si>
  <si>
    <t>Ganho Alienação - Intangível</t>
  </si>
  <si>
    <t>3.3.9.03.0002</t>
  </si>
  <si>
    <t>Reversão Provisão de Contingências</t>
  </si>
  <si>
    <t>3.3.9.04</t>
  </si>
  <si>
    <t>Receita de Alienação de Investimento</t>
  </si>
  <si>
    <t>3.3.9.04.0001</t>
  </si>
  <si>
    <t>Ganhos na Alienação de Investimentos</t>
  </si>
  <si>
    <t>3.3.9.05</t>
  </si>
  <si>
    <t>Receitas de Equivalência Patrimonial</t>
  </si>
  <si>
    <t>3.3.9.05.0001</t>
  </si>
  <si>
    <t>Resultado Positivo de Equiv. Patrimonial</t>
  </si>
  <si>
    <t>3.3.9.06</t>
  </si>
  <si>
    <t>Receita de Alienação de Imobilizado</t>
  </si>
  <si>
    <t>3.3.9.06.0001</t>
  </si>
  <si>
    <t>Ganho na Alienação de Imobilizado</t>
  </si>
  <si>
    <t>3.3.9.07</t>
  </si>
  <si>
    <t>Receitas de Alienação de Diferido</t>
  </si>
  <si>
    <t>3.3.9.07.0001</t>
  </si>
  <si>
    <t>Ganho na Alienação de Diferido</t>
  </si>
  <si>
    <t>3.3.9.08</t>
  </si>
  <si>
    <t>Reversão de Perda com Impairment</t>
  </si>
  <si>
    <t>3.3.9.08.0001</t>
  </si>
  <si>
    <t>3.3.9.99</t>
  </si>
  <si>
    <t>3.3.9.99.0001</t>
  </si>
  <si>
    <t>3.3.9.99.0002</t>
  </si>
  <si>
    <t>4.1.1.01.0002</t>
  </si>
  <si>
    <t>Gratificações</t>
  </si>
  <si>
    <t>4.1.1.01.0003</t>
  </si>
  <si>
    <t>Adicionais por Tempo de Serviço</t>
  </si>
  <si>
    <t>4.1.1.01.0004</t>
  </si>
  <si>
    <t>Horas Extraordinárias</t>
  </si>
  <si>
    <t>4.1.1.01.0005</t>
  </si>
  <si>
    <t>Abonos</t>
  </si>
  <si>
    <t>4.1.1.01.0006</t>
  </si>
  <si>
    <t>Aviso Prévio e Indenizações</t>
  </si>
  <si>
    <t>4.1.1.01.0010</t>
  </si>
  <si>
    <t>4.1.1.01.0999</t>
  </si>
  <si>
    <t>Outras Remunerações</t>
  </si>
  <si>
    <t>4.1.1.02.0003</t>
  </si>
  <si>
    <t>Contribuições Sindicais</t>
  </si>
  <si>
    <t>4.1.1.02.0999</t>
  </si>
  <si>
    <t>Outros Encargos</t>
  </si>
  <si>
    <t>4.1.1.03.0004</t>
  </si>
  <si>
    <t>4.1.1.03.0007</t>
  </si>
  <si>
    <t>Seguro de Vida</t>
  </si>
  <si>
    <t>4.1.1.03.0008</t>
  </si>
  <si>
    <t>Recreação e Lazer</t>
  </si>
  <si>
    <t>4.1.1.03.0009</t>
  </si>
  <si>
    <t>Assistência e Capacitação Profissional</t>
  </si>
  <si>
    <t>4.1.1.03.0999</t>
  </si>
  <si>
    <t>Outros benefícios</t>
  </si>
  <si>
    <t>4.1.1.09</t>
  </si>
  <si>
    <t>Outros Gastos de Pessoal</t>
  </si>
  <si>
    <t>4.1.1.09.0999</t>
  </si>
  <si>
    <t>Outros Custos</t>
  </si>
  <si>
    <t>4.1.1.99</t>
  </si>
  <si>
    <t>(-) Reembolso de Custos de Pessoal</t>
  </si>
  <si>
    <t>4.1.1.99.0998</t>
  </si>
  <si>
    <t>(-) Reembolso de custos - Convênios</t>
  </si>
  <si>
    <t>4.1.2</t>
  </si>
  <si>
    <t>Custos com Materiais - Serviços</t>
  </si>
  <si>
    <t>4.1.2.01</t>
  </si>
  <si>
    <t>Materiais Nacionais</t>
  </si>
  <si>
    <t>4.1.2.01.0001</t>
  </si>
  <si>
    <t>4.1.2.01.0002</t>
  </si>
  <si>
    <t>Combustíveis e Lubrificantes</t>
  </si>
  <si>
    <t>4.1.2.01.0003</t>
  </si>
  <si>
    <t>4.1.2.01.0998</t>
  </si>
  <si>
    <t>(-) Reemb. Custos  de Materiais Convenio</t>
  </si>
  <si>
    <t>4.1.2.01.0999</t>
  </si>
  <si>
    <t>Outros Materiais Nacionais</t>
  </si>
  <si>
    <t>4.1.2.02</t>
  </si>
  <si>
    <t>Materiais Estrangeiros</t>
  </si>
  <si>
    <t>4.1.2.02.0001</t>
  </si>
  <si>
    <t>4.1.2.02.0999</t>
  </si>
  <si>
    <t>Outros Materiais Estrangeiros</t>
  </si>
  <si>
    <t>4.1.2.99</t>
  </si>
  <si>
    <t>(-) Reembolso de Custos de Materiais</t>
  </si>
  <si>
    <t>4.1.2.99.0998</t>
  </si>
  <si>
    <t>(-) Reemb. de  Custos - Convênios</t>
  </si>
  <si>
    <t>4.1.3.01.0004</t>
  </si>
  <si>
    <t>Publicidade</t>
  </si>
  <si>
    <t>4.1.3.01.0006</t>
  </si>
  <si>
    <t>4.1.3.01.0007</t>
  </si>
  <si>
    <t>Serviços de Manut. Equip. de Informática</t>
  </si>
  <si>
    <t>4.1.3.01.0008</t>
  </si>
  <si>
    <t>Serv. Contábeis, Folha Pgto e  Auditoria</t>
  </si>
  <si>
    <t>4.1.3.01.0009</t>
  </si>
  <si>
    <t>Serviços de Limpeza</t>
  </si>
  <si>
    <t>4.1.3.01.0010</t>
  </si>
  <si>
    <t>Serviços de Segurança</t>
  </si>
  <si>
    <t>4.1.3.01.0011</t>
  </si>
  <si>
    <t>Gastos com licença ambiental</t>
  </si>
  <si>
    <t>4.1.3.01.0012</t>
  </si>
  <si>
    <t>4.1.3.01.0013</t>
  </si>
  <si>
    <t>4.1.3.01.0015</t>
  </si>
  <si>
    <t>Serviços de Clipping e Multimídia</t>
  </si>
  <si>
    <t>4.1.3.01.0018</t>
  </si>
  <si>
    <t>Custos com Jovens Aprendiz</t>
  </si>
  <si>
    <t>4.1.3.01.0998</t>
  </si>
  <si>
    <t>(-) Reemb. de custos - Convênios</t>
  </si>
  <si>
    <t>4.1.3.01.0999</t>
  </si>
  <si>
    <t>Outros Serviços</t>
  </si>
  <si>
    <t>4.1.3.02</t>
  </si>
  <si>
    <t>Serviços de Terceiros Estrangeiros</t>
  </si>
  <si>
    <t>4.1.3.02.0001</t>
  </si>
  <si>
    <t>4.1.3.02.0002</t>
  </si>
  <si>
    <t>4.1.3.02.0999</t>
  </si>
  <si>
    <t>4.1.4.01.0001</t>
  </si>
  <si>
    <t>ITR</t>
  </si>
  <si>
    <t>4.1.4.01.0003</t>
  </si>
  <si>
    <t>IPVA</t>
  </si>
  <si>
    <t>4.1.4.01.0004</t>
  </si>
  <si>
    <t>Taxas Municipais</t>
  </si>
  <si>
    <t>4.1.4.01.0005</t>
  </si>
  <si>
    <t>Taxas de Licenciamento Ambiental Município</t>
  </si>
  <si>
    <t>4.1.4.01.0006</t>
  </si>
  <si>
    <t>4.1.4.01.0007</t>
  </si>
  <si>
    <t>Taxas de Licenciamento Ambiental Estado</t>
  </si>
  <si>
    <t>4.1.5</t>
  </si>
  <si>
    <t>Custos c/ Provisões - Serviços</t>
  </si>
  <si>
    <t>4.1.5.01</t>
  </si>
  <si>
    <t>Provisões p/Contingências</t>
  </si>
  <si>
    <t>4.1.5.01.0001</t>
  </si>
  <si>
    <t>4.1.5.01.0002</t>
  </si>
  <si>
    <t>Provisões p/ Contingências Cíveis</t>
  </si>
  <si>
    <t>4.1.5.01.0003</t>
  </si>
  <si>
    <t>4.1.5.01.0999</t>
  </si>
  <si>
    <t>Outras Provisões</t>
  </si>
  <si>
    <t>4.1.6.01.0002</t>
  </si>
  <si>
    <t>Arrendamento Mercantil</t>
  </si>
  <si>
    <t>4.1.6.01.0003</t>
  </si>
  <si>
    <t>4.1.6.01.0005</t>
  </si>
  <si>
    <t>Água e Esgoto</t>
  </si>
  <si>
    <t>4.1.6.01.0007</t>
  </si>
  <si>
    <t>4.1.6.01.0008</t>
  </si>
  <si>
    <t>4.1.6.01.0009</t>
  </si>
  <si>
    <t>Seguros</t>
  </si>
  <si>
    <t>4.1.6.01.0011</t>
  </si>
  <si>
    <t>4.1.6.01.0013</t>
  </si>
  <si>
    <t>Aluguel de Eq de Processamento de Dados</t>
  </si>
  <si>
    <t>4.1.6.01.0998</t>
  </si>
  <si>
    <t>4.1.6.01.0999</t>
  </si>
  <si>
    <t>Outros Custos Func. das Instalações</t>
  </si>
  <si>
    <t>4.1.6.02.0003</t>
  </si>
  <si>
    <t>Custos com Estagiários</t>
  </si>
  <si>
    <t>4.1.6.02.0008</t>
  </si>
  <si>
    <t>Donativos e Contribuições</t>
  </si>
  <si>
    <t>4.1.6.02.0009</t>
  </si>
  <si>
    <t>Custos Legais e Judiciais</t>
  </si>
  <si>
    <t>4.1.6.02.0011</t>
  </si>
  <si>
    <t>4.1.6.02.0998</t>
  </si>
  <si>
    <t>4.1.6.02.0999</t>
  </si>
  <si>
    <t>Outros Custos Gerais da Administração</t>
  </si>
  <si>
    <t>4.1.6.03</t>
  </si>
  <si>
    <t>4.1.6.03.0001</t>
  </si>
  <si>
    <t>Outras Indenizações</t>
  </si>
  <si>
    <t>4.1.7</t>
  </si>
  <si>
    <t>4.1.7.01</t>
  </si>
  <si>
    <t>Redução ao Valor Recuperável Impairment</t>
  </si>
  <si>
    <t>4.1.7.01.0001</t>
  </si>
  <si>
    <t>4.1.9</t>
  </si>
  <si>
    <t>Custo das Mercadorias Vendidas</t>
  </si>
  <si>
    <t>4.1.9.01</t>
  </si>
  <si>
    <t>4.1.9.01.0001</t>
  </si>
  <si>
    <t>4.2.1.01.0002</t>
  </si>
  <si>
    <t>4.2.1.01.0003</t>
  </si>
  <si>
    <t>4.2.1.01.0004</t>
  </si>
  <si>
    <t>4.2.1.01.0005</t>
  </si>
  <si>
    <t>4.2.1.01.0006</t>
  </si>
  <si>
    <t>4.2.1.01.0012</t>
  </si>
  <si>
    <t>4.2.1.01.0998</t>
  </si>
  <si>
    <t>(-)Reemb. Despesas de Remunerações Conve</t>
  </si>
  <si>
    <t>4.2.1.01.0999</t>
  </si>
  <si>
    <t>4.2.1.02.0003</t>
  </si>
  <si>
    <t>4.2.1.02.0999</t>
  </si>
  <si>
    <t>4.2.1.03.0007</t>
  </si>
  <si>
    <t>4.2.1.03.0008</t>
  </si>
  <si>
    <t>4.2.1.03.0009</t>
  </si>
  <si>
    <t>4.2.1.03.0999</t>
  </si>
  <si>
    <t>4.2.1.04</t>
  </si>
  <si>
    <t>4.2.1.04.0999</t>
  </si>
  <si>
    <t>4.2.1.05</t>
  </si>
  <si>
    <t>4.2.1.05.0001</t>
  </si>
  <si>
    <t>4.2.2.01.0002</t>
  </si>
  <si>
    <t>4.2.2.01.0004</t>
  </si>
  <si>
    <t>4.2.2.01.0098</t>
  </si>
  <si>
    <t>(-)  Reemb. Despesas de Materiais Conven</t>
  </si>
  <si>
    <t>4.2.2.02</t>
  </si>
  <si>
    <t>Despesas com Materiais Estrangeiros</t>
  </si>
  <si>
    <t>4.2.2.02.0001</t>
  </si>
  <si>
    <t>4.2.2.02.0999</t>
  </si>
  <si>
    <t>4.2.3.01.0004</t>
  </si>
  <si>
    <t>4.2.3.01.0009</t>
  </si>
  <si>
    <t>4.2.3.01.0010</t>
  </si>
  <si>
    <t>4.2.3.01.0012</t>
  </si>
  <si>
    <t>Servicos Gerais</t>
  </si>
  <si>
    <t>4.2.3.01.0015</t>
  </si>
  <si>
    <t>Serviços de Clipping de Multimídia</t>
  </si>
  <si>
    <t>4.2.3.01.0018</t>
  </si>
  <si>
    <t>Despesas com Eventos e Confraternizações</t>
  </si>
  <si>
    <t>4.2.3.01.0997</t>
  </si>
  <si>
    <t>4.2.3.01.0998</t>
  </si>
  <si>
    <t>(-) Reemb. de desp. c/ Serviço de Terc.</t>
  </si>
  <si>
    <t>4.2.3.01.0999</t>
  </si>
  <si>
    <t>4.2.3.02</t>
  </si>
  <si>
    <t>Desp.c/Serv. de Terceiros - Estrangeiros</t>
  </si>
  <si>
    <t>4.2.3.02.0001</t>
  </si>
  <si>
    <t>4.2.3.02.0002</t>
  </si>
  <si>
    <t>4.2.3.02.0999</t>
  </si>
  <si>
    <t>4.2.4.01.0001</t>
  </si>
  <si>
    <t>4.2.4.01.0003</t>
  </si>
  <si>
    <t>4.2.4.01.0004</t>
  </si>
  <si>
    <t>4.2.4.01.0007</t>
  </si>
  <si>
    <t>ICMS</t>
  </si>
  <si>
    <t>4.2.4.01.0009</t>
  </si>
  <si>
    <t>REFORMA DAS INSTALAÇÕES</t>
  </si>
  <si>
    <t>4.2.4.01.0010</t>
  </si>
  <si>
    <t>Despesas com IRPJ - Anos Anteriores</t>
  </si>
  <si>
    <t>4.2.4.01.0011</t>
  </si>
  <si>
    <t>Despesas com CSLL - Anos Anteriores</t>
  </si>
  <si>
    <t>4.2.4.01.0013</t>
  </si>
  <si>
    <t>Perdas de Créditos Tributários</t>
  </si>
  <si>
    <t>4.2.5.01.0002</t>
  </si>
  <si>
    <t>Provisao p/ IRPJ Diferido</t>
  </si>
  <si>
    <t>4.2.5.02.0002</t>
  </si>
  <si>
    <t>Provisao p/ CSLL Diferido</t>
  </si>
  <si>
    <t>4.2.5.03</t>
  </si>
  <si>
    <t>Desp. c/ Provisões-Retific. de Créditos</t>
  </si>
  <si>
    <t>4.2.5.03.0001</t>
  </si>
  <si>
    <t>Provisões p/ Devedores Duvidosos</t>
  </si>
  <si>
    <t>4.2.5.03.0002</t>
  </si>
  <si>
    <t>Provisões p/Perdas em Valores Mobiliário</t>
  </si>
  <si>
    <t>4.2.5.04.0002</t>
  </si>
  <si>
    <t>4.2.5.04.0999</t>
  </si>
  <si>
    <t>4.2.6.01.0002</t>
  </si>
  <si>
    <t>4.2.6.01.0005</t>
  </si>
  <si>
    <t>4.2.6.01.0009</t>
  </si>
  <si>
    <t>4.2.6.01.0010</t>
  </si>
  <si>
    <t>4.2.6.01.0013</t>
  </si>
  <si>
    <t>4.2.6.01.0015</t>
  </si>
  <si>
    <t>Projeto de Eficiência Energética</t>
  </si>
  <si>
    <t>4.2.6.01.0998</t>
  </si>
  <si>
    <t>(-) Reemb despesas Gerais de funcionamen</t>
  </si>
  <si>
    <t>4.2.6.01.0999</t>
  </si>
  <si>
    <t>4.2.6.02.0003</t>
  </si>
  <si>
    <t>Despesas com Estagiários</t>
  </si>
  <si>
    <t>4.2.6.02.0008</t>
  </si>
  <si>
    <t>4.2.6.02.0011</t>
  </si>
  <si>
    <t>Doação de Livros Técnicos</t>
  </si>
  <si>
    <t>4.2.6.02.0012</t>
  </si>
  <si>
    <t>DESPESAS NAO DEDUTIVEIS</t>
  </si>
  <si>
    <t>4.2.6.02.0998</t>
  </si>
  <si>
    <t>(-) Reemb. de desp. Gerais da Administ.</t>
  </si>
  <si>
    <t>4.2.6.02.0999</t>
  </si>
  <si>
    <t>4.2.6.02.1001</t>
  </si>
  <si>
    <t>Despesas com Concurso Publico</t>
  </si>
  <si>
    <t>4.2.7.01.0002</t>
  </si>
  <si>
    <t>Descontos Concedidos</t>
  </si>
  <si>
    <t>4.2.7.01.0003</t>
  </si>
  <si>
    <t>Comissões e Despesas Bancárias</t>
  </si>
  <si>
    <t>4.2.7.01.0004</t>
  </si>
  <si>
    <t>4.2.7.01.0005</t>
  </si>
  <si>
    <t>Despesas Financeiras Comerciais</t>
  </si>
  <si>
    <t>4.2.7.01.0007</t>
  </si>
  <si>
    <t>CPMF</t>
  </si>
  <si>
    <t>4.2.7.01.0009</t>
  </si>
  <si>
    <t>Despesa c/Juros s/Capital Próprio</t>
  </si>
  <si>
    <t>4.2.7.01.0010</t>
  </si>
  <si>
    <t>Multas Indedutiveis</t>
  </si>
  <si>
    <t>4.2.7.01.0021</t>
  </si>
  <si>
    <t>Prov. Contingências Multas</t>
  </si>
  <si>
    <t>4.2.7.01.0999</t>
  </si>
  <si>
    <t>Outras Despesas Financeiras</t>
  </si>
  <si>
    <t>4.2.8</t>
  </si>
  <si>
    <t>Despesas com Indenizações</t>
  </si>
  <si>
    <t>4.2.8.01</t>
  </si>
  <si>
    <t>4.2.8.01.0001</t>
  </si>
  <si>
    <t>4.2.8.01.0002</t>
  </si>
  <si>
    <t>Indenizações Civeis</t>
  </si>
  <si>
    <t>4.2.8.01.0003</t>
  </si>
  <si>
    <t>Indenizações Fiscais</t>
  </si>
  <si>
    <t>4.2.9.01</t>
  </si>
  <si>
    <t>Perdas de Alienação de Investimento</t>
  </si>
  <si>
    <t>4.2.9.01.0001</t>
  </si>
  <si>
    <t>Result. Negativo Venda de Investimentos</t>
  </si>
  <si>
    <t>4.2.9.02</t>
  </si>
  <si>
    <t>Perdas de Equivalência Patrimonial</t>
  </si>
  <si>
    <t>4.2.9.02.0001</t>
  </si>
  <si>
    <t>Result.Negativo Equivalência Patrimonial</t>
  </si>
  <si>
    <t>4.2.9.03</t>
  </si>
  <si>
    <t>Perdas na Alienação de Imobilizado</t>
  </si>
  <si>
    <t>4.2.9.03.0001</t>
  </si>
  <si>
    <t>Result. Negativo na Venda de Imobilizado</t>
  </si>
  <si>
    <t>4.2.9.03.0002</t>
  </si>
  <si>
    <t>PERDA DE BENS NO IMOBILIZADO</t>
  </si>
  <si>
    <t>4.2.9.03.0003</t>
  </si>
  <si>
    <t>4.2.9.04</t>
  </si>
  <si>
    <t>Perdas na Alienação de Diferido</t>
  </si>
  <si>
    <t>4.2.9.04.0001</t>
  </si>
  <si>
    <t>Resultado Negativo na Venda de Diferido</t>
  </si>
  <si>
    <t>4.2.9.06</t>
  </si>
  <si>
    <t>Participações nos Lucros ou  Resultados</t>
  </si>
  <si>
    <t>4.2.9.06.0001</t>
  </si>
  <si>
    <t>Empregados</t>
  </si>
  <si>
    <t>4.2.9.06.0002</t>
  </si>
  <si>
    <t>4.2.9.08</t>
  </si>
  <si>
    <t>Reversão de Juros s/Capital Proprio</t>
  </si>
  <si>
    <t>4.2.9.08.0001</t>
  </si>
  <si>
    <t>4.2.9.09.0001</t>
  </si>
  <si>
    <t>Perdas com Alienações - Investimento</t>
  </si>
  <si>
    <t>4.2.9.09.0002</t>
  </si>
  <si>
    <t>Perdas com Alienações - Imobilizado</t>
  </si>
  <si>
    <t>4.2.9.09.0003</t>
  </si>
  <si>
    <t>Perdas com Alienações - Intangível</t>
  </si>
  <si>
    <t>4.2.9.09.0005</t>
  </si>
  <si>
    <t>Perdas com Obsolescência de Bens</t>
  </si>
  <si>
    <t>4.2.9.09.0006</t>
  </si>
  <si>
    <t>INVENTARIO FISICO  - AJUSTE</t>
  </si>
  <si>
    <t>4.2.9.09.0007</t>
  </si>
  <si>
    <t>Doações de Imobilizado</t>
  </si>
  <si>
    <t>4.2.9.09.0008</t>
  </si>
  <si>
    <t>5.1.1.03</t>
  </si>
  <si>
    <t>5.1.1.05</t>
  </si>
  <si>
    <t>5.1.1.06</t>
  </si>
  <si>
    <t>5.1.1.08</t>
  </si>
  <si>
    <t>5.1.1.09</t>
  </si>
  <si>
    <t>5.1.1.11</t>
  </si>
  <si>
    <t>5.1.1.12</t>
  </si>
  <si>
    <t>5.1.2.01</t>
  </si>
  <si>
    <t>5.1.2.02</t>
  </si>
  <si>
    <t>5.1.2.04</t>
  </si>
  <si>
    <t>5.1.2.07</t>
  </si>
  <si>
    <t>5.1.2.10</t>
  </si>
  <si>
    <t>RESULTADO DO EXERCÍCIO DO ANO</t>
  </si>
  <si>
    <t>6.1</t>
  </si>
  <si>
    <t>ANKLESA INCORPO</t>
  </si>
  <si>
    <t>NF. 46 - ANKLESA INCORPORAÇÃO DE EMPREENDIMENTOS LTDA - VENC. 21/03/2023.</t>
  </si>
  <si>
    <t>Desc. C. Partid</t>
  </si>
  <si>
    <t>Fornecedores a</t>
  </si>
  <si>
    <t>1.5.03</t>
  </si>
  <si>
    <t>NF Nº 12741 - TORINO INFORMÁTICA LTDA</t>
  </si>
  <si>
    <t>Emissão: 20/04/2023</t>
  </si>
  <si>
    <t>01/01/2023 a 31/03/2023</t>
  </si>
  <si>
    <r>
      <t>LUCRO (PREJUÍZO) LÍQUIDO DO EXERCÍCIO</t>
    </r>
    <r>
      <rPr>
        <sz val="11"/>
        <rFont val="Arial"/>
        <family val="2"/>
      </rPr>
      <t/>
    </r>
  </si>
  <si>
    <t>LUCRO ANTES DO IRPJ E DA CSLL</t>
  </si>
  <si>
    <t>RESULTADO ANTES DAS RECEITAS E DESPESAS FINANCEIRAS</t>
  </si>
  <si>
    <t>Saldos em 31/03/2023</t>
  </si>
  <si>
    <t>Lucro do Exercício</t>
  </si>
  <si>
    <t>Contingências/indenizações trabalhistas</t>
  </si>
  <si>
    <t>Contingências fiscais</t>
  </si>
  <si>
    <t>Lucro (prejuízo) do exercício</t>
  </si>
  <si>
    <t>31.03.2023</t>
  </si>
  <si>
    <t>VALOR REFERENTE ATUALIZAÇÃO DEPÓSITOS JUDICIAIS - INDICE IPCA-E.</t>
  </si>
  <si>
    <t>01_2023</t>
  </si>
  <si>
    <t>02_2023</t>
  </si>
  <si>
    <t>03_2023</t>
  </si>
  <si>
    <t>VALOR REFERENTE PAGAMENTO DE DEPOSITO RECURSAL - PROCESSO JUDICIAL DE N¤ 0100431-72.2021.5.01.0060, EM QUE FIGURAM COMO PARTES MARIA DE FATIMA DE CARVALHO GAMA, RECLAMANTE, E EMPRESA DE PESQUISA ENERGETICA - EPE, RECLAMADA.</t>
  </si>
  <si>
    <t>2023OB800068</t>
  </si>
  <si>
    <t>VALOR REFERENTE ATUALIZAÇÃO DEPÓSITOS JUDICIAIS - INDICE POUPANÇA.</t>
  </si>
  <si>
    <t>VALOR REFERENTE DEPOSITO REFERENTE AO PROCESSO 0100723-64.2019.5.01.0048 QUE NÃO CONSTAVA NOS RELATORIOS ANTERIORES</t>
  </si>
  <si>
    <t>02_2020</t>
  </si>
  <si>
    <t>VALOR REFERENTE AJUSTE DEPOSITO 0000852.08.2011.5.01.0027 VLR 7.969,35 ATUALIZADO CONFORME PLANILHA DA CONJUR 03/2023</t>
  </si>
  <si>
    <t>VALOR REFERENTE AJUSTE DE VARIAÇÃO MONETARIA REFE. A ATUALIZAÇÃO DEPOSITO</t>
  </si>
  <si>
    <t>VALOR REFERENTE PAGAMENTO DE DEPOSITO RECURSAL - PROCESSO TRABALHISTA Nº 0101376-93.2016.5.01.0073 - BOLETO COM ID 081280000008492809.</t>
  </si>
  <si>
    <t>2023OB800249</t>
  </si>
  <si>
    <t>2023OB800294</t>
  </si>
  <si>
    <t>VALOR REFERENTE AUTLIZAÇÃO DO PROCESSO 0100723-64.2019.5.01.0048 REALIZADO EM 2020</t>
  </si>
  <si>
    <t>VALOR REFERENTE ATUALIZAÇÃO DEPÓSITOS JUDICIAIS - INDICE IPCA.</t>
  </si>
  <si>
    <t>VALOR REFERENTE ESTORNO ATUALIZAÇÃO DEPÓSITOS JUDICIAIS - INDICE IPCA.</t>
  </si>
  <si>
    <t>VALOR REFERENTE DEPOSITO JUDICIAL PROCESSO 5045000-02.2019.4.02.5101 QUE NÃO HAVIA NOS RELATÓRIOS ANTERIORES</t>
  </si>
  <si>
    <t>VALOR REFERENTE AJUSTE REF. DEPOSITO DO PROCESSO 5045000-02.2019.4.02.5101</t>
  </si>
  <si>
    <t>VALOR REFERENTE COMPLEMENTO DE ATUALIZAÇÃO DEPÓSITOS JUDICIAIS - INDICE IPCA.</t>
  </si>
  <si>
    <t>VALOR REFERENTE ATUALIZAÇÃO MONETÁRIA MÊS 01/2023 - SELIC 1,12%</t>
  </si>
  <si>
    <t>VALOR REFERENTE ATUALIZAÇÃO MONETÁRIA MÊS 02/2023 - SELIC 0,92%</t>
  </si>
  <si>
    <t>VALOR REFERENTE ATUALIZAÇÃO MONETÁRIA MÊS 03/2023 - SELIC 1,17%</t>
  </si>
  <si>
    <t>VALOR REFERENTE VALOR REFERENTE PAGAMENTO POR ESTIMATIVA 2022.</t>
  </si>
  <si>
    <t>VALOR REFERENTE ANTECIPAÇÃO DE IRRF COMP. 12/2022</t>
  </si>
  <si>
    <t>VALOR REFERENTE IRRF SOBRE REPROCESSAMENTO DE FÉRIAS PAGAS PARA CAMILA DE ARAUJO FERRAZ. 02/01/2023 A 20/01/2023.</t>
  </si>
  <si>
    <t>VALOR REFERENTE INSS FÉRIAS PAGO A MAIOR EM 20.03.2023 - MARIANA LUCAS BARROSO.</t>
  </si>
  <si>
    <t>**** Sem Movimento ****</t>
  </si>
  <si>
    <t>VALOR REFERENTE PARA ATENDER DESPESAS COM PAGAMENTO DE CUSTEIO E INVESTIMENTO.</t>
  </si>
  <si>
    <t>2023PF000214</t>
  </si>
  <si>
    <t>31/03/2023 (Acumulado)</t>
  </si>
  <si>
    <t>31/03/2023 (Trimestre)</t>
  </si>
  <si>
    <t>31/03/2022 (Acumulado)</t>
  </si>
  <si>
    <t>31/03/2022 (Trimestre)</t>
  </si>
  <si>
    <t xml:space="preserve">Provisão para contigênciais </t>
  </si>
  <si>
    <t>Reversão de Provisões para Contingências</t>
  </si>
  <si>
    <t>Outras receitas</t>
  </si>
  <si>
    <t>31/03/2023 (Trimestral)</t>
  </si>
  <si>
    <t>Outros resultados abrangentes</t>
  </si>
  <si>
    <t xml:space="preserve">Saldos em 31/12/2021 </t>
  </si>
  <si>
    <t>Saldos em 31/03/2022</t>
  </si>
  <si>
    <t>Ativo Circulante</t>
  </si>
  <si>
    <t>Total do Ativo</t>
  </si>
  <si>
    <t>Lei 4.320/64</t>
  </si>
  <si>
    <t>Lei 6.404/76</t>
  </si>
  <si>
    <t>Diferença</t>
  </si>
  <si>
    <t>Passivo Circulante</t>
  </si>
  <si>
    <t>As notas explicativas são parte integrante das demonstrações financeiras intermediárias.</t>
  </si>
  <si>
    <t>31/032022 (Acumulado)</t>
  </si>
  <si>
    <t>31/03/2022 (Trimestral)</t>
  </si>
  <si>
    <t>Despesa de imposto de renda (IRPJ) e contribuição social (CSLL)</t>
  </si>
  <si>
    <r>
      <t>31/03/2023</t>
    </r>
    <r>
      <rPr>
        <sz val="8"/>
        <color theme="1"/>
        <rFont val="Times New Roman"/>
        <family val="1"/>
      </rPr>
      <t> </t>
    </r>
  </si>
  <si>
    <t>12 meses findos em</t>
  </si>
  <si>
    <t xml:space="preserve">   Lucro/Prejuízo antes do IRPJ e da CSLL</t>
  </si>
  <si>
    <t xml:space="preserve">   Adições</t>
  </si>
  <si>
    <t>Lucro (prejuízo) antes do IRPJ e CSLL</t>
  </si>
  <si>
    <t xml:space="preserve">   Exclusões</t>
  </si>
  <si>
    <t>Alíquota nominal vigente</t>
  </si>
  <si>
    <t>Expectativa de crédito (débito) de imposto de renda e contribuição social às alíquotas vigentes</t>
  </si>
  <si>
    <t xml:space="preserve">   Alíquota nominal vigente 34%</t>
  </si>
  <si>
    <t>Reconciliação para a taxa efetiva</t>
  </si>
  <si>
    <r>
      <t xml:space="preserve">   </t>
    </r>
    <r>
      <rPr>
        <sz val="10"/>
        <color theme="1"/>
        <rFont val="Arial"/>
        <family val="2"/>
      </rPr>
      <t>Alíquota utilizada para cálculo</t>
    </r>
  </si>
  <si>
    <t>Adições:</t>
  </si>
  <si>
    <t xml:space="preserve">   Total dos incentivos fiscais</t>
  </si>
  <si>
    <t>Licença partenidade e maternidade prorrogada</t>
  </si>
  <si>
    <t>Provisões de processos</t>
  </si>
  <si>
    <t xml:space="preserve">   Despesa com IRPJ/CSLL </t>
  </si>
  <si>
    <t>Variações monetárias de provisões judiciais</t>
  </si>
  <si>
    <t>Outras adições</t>
  </si>
  <si>
    <t xml:space="preserve">   IRPJ/CSLL pagos por estimativa</t>
  </si>
  <si>
    <t>Exclusões:</t>
  </si>
  <si>
    <t xml:space="preserve">   IRPJ/ CSLL a recolher</t>
  </si>
  <si>
    <t>Reversão de provisão de processos</t>
  </si>
  <si>
    <t>Compensação base negativa e prejuízo fiscal</t>
  </si>
  <si>
    <t>Diferença do adicional de 10%</t>
  </si>
  <si>
    <t>Incentivos fiscais</t>
  </si>
  <si>
    <t>Ajustes de despesas de periodos anteriores</t>
  </si>
  <si>
    <t>Débito do imposto de renda e contribuição social</t>
  </si>
  <si>
    <t>Corrente efetiva do 2º  trimestre</t>
  </si>
  <si>
    <t>Diferido não reconhecido</t>
  </si>
  <si>
    <t>Alíquota efetiva</t>
  </si>
  <si>
    <t>EMPRESA DE PESQUISA ENERGÉTICA - 06.977747/0001-80</t>
  </si>
  <si>
    <t>PLANILHA DE APURAÇÃO IRPJ E CSLL - ANO CALENDÁRIO 2022</t>
  </si>
  <si>
    <t>TRIBUTAÇÃO Lucro Real/Estimativa mensal</t>
  </si>
  <si>
    <t>CONTRIBUIÇÃO SOCIAL - CSLL</t>
  </si>
  <si>
    <t>conta reduzida balancete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</si>
  <si>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</si>
  <si>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</si>
  <si>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</si>
  <si>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</si>
  <si>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</si>
  <si>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</si>
  <si>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</si>
  <si>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</si>
  <si>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</si>
  <si>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</si>
  <si>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</si>
  <si>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</si>
  <si>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LUCRO LÍQUIDO CONTÁBIL  - ANTES DOS AJUSTES RTT LEI 11.638 MP 449</t>
  </si>
  <si>
    <t>Resultado com IRPJ e CSLL</t>
  </si>
  <si>
    <t>42511 e 42521</t>
  </si>
  <si>
    <t>Provisão p/ IRPJ e  Provisão p/ CSLL</t>
  </si>
  <si>
    <t>LUCRO ANTES DA CSLL</t>
  </si>
  <si>
    <t xml:space="preserve">(+)ADIÇÕES </t>
  </si>
  <si>
    <t>DESPESAS NÃO DEDUTÍVEIS</t>
  </si>
  <si>
    <t>Salario Maternidade  - Prorrogação</t>
  </si>
  <si>
    <t>Despesas não Dedutíveis</t>
  </si>
  <si>
    <t>Provisões p/ Contingências Trabalhi</t>
  </si>
  <si>
    <t>Provisão P/ Contingências Cíveis</t>
  </si>
  <si>
    <t>Provisões p/ Contigências Processuais</t>
  </si>
  <si>
    <t>Prov. Contingências Variações Monet</t>
  </si>
  <si>
    <t>TOTAL DE ADIÇÕES</t>
  </si>
  <si>
    <t>(-)EXCLUSÕES</t>
  </si>
  <si>
    <t>REVERSÃO DE PROVISÃO OPERACIONAL</t>
  </si>
  <si>
    <t>TOTAL DE EXCLUSÕES</t>
  </si>
  <si>
    <t>BASE DE CÁLCULO ANTES COMP. BASE NEGATIVA</t>
  </si>
  <si>
    <t xml:space="preserve">(-) COMP. BASE NEGATVA </t>
  </si>
  <si>
    <t>LUCRO REAL APÓS COM. PREJUÍZOS FISCAIS</t>
  </si>
  <si>
    <t xml:space="preserve">CSLL ALÍQUOTA 9% </t>
  </si>
  <si>
    <t>(-)DEDUÇÕES DE PAGAMENTO</t>
  </si>
  <si>
    <t>CSLL PAGO POR ESTIMATIVAS ATÉ MÊS ANTERIOR</t>
  </si>
  <si>
    <t>CSLL PAGO A MAIOR ANOS ANTERIORES</t>
  </si>
  <si>
    <t>TOTAL DE DEDUÇÕES DE PAGAMENTO</t>
  </si>
  <si>
    <t>CSLL A PAGAR NO MÊS COD 2484</t>
  </si>
  <si>
    <t>IMPOSTO DE RENDA - IRPJ</t>
  </si>
  <si>
    <t>Resultado Liquido</t>
  </si>
  <si>
    <t>Lucro Antes do IR</t>
  </si>
  <si>
    <t>RESULTADO ANTES DO IR</t>
  </si>
  <si>
    <t>Provisões p/ Contingências Processuais</t>
  </si>
  <si>
    <t>LUCRO REAL ANTES COMP. PREJUÍZOS FISCAIS</t>
  </si>
  <si>
    <t>(-) COMP. DE PREJUÍZOS FISCAIS</t>
  </si>
  <si>
    <t>IRPJ ALÍQUOTA 15%</t>
  </si>
  <si>
    <t>ADICIONAL DO IR ALÍQUOTA 10%</t>
  </si>
  <si>
    <t>TOTAL DO IRPJ ANTES DOS INCENTIVOS FISCAIS</t>
  </si>
  <si>
    <t>(-)INCENTIVOS FISCAIS</t>
  </si>
  <si>
    <t>PAT-LIMITE 4% DO IRPJ (SEM ADICIONAL)</t>
  </si>
  <si>
    <t>TOTAL DE INCENTIVOS FISCAIS</t>
  </si>
  <si>
    <t xml:space="preserve">IRPJ APÓS INCENTIVOS FISCAIS </t>
  </si>
  <si>
    <t>(-)DEDUÇÕES DE PAGAMENTOS</t>
  </si>
  <si>
    <t>IRPJ PAGO POR ESTIMATIVA ATÉ MÊS ANTERIOR</t>
  </si>
  <si>
    <t>IRPJ PAGO A MAIOR ANOS ANTERIORES</t>
  </si>
  <si>
    <t>TOTAL DEDUÇÕES DE PAGAMENTOS</t>
  </si>
  <si>
    <t>IRPJ A PAGAR NO MÊS COD 2362</t>
  </si>
  <si>
    <t>COMPENSAÇÃO - BASE NEGATIVA 2020</t>
  </si>
  <si>
    <t>BASE NEGATIVA 2021</t>
  </si>
  <si>
    <t xml:space="preserve">(-) COMPENSAÇÃO BASE NEGATIVA </t>
  </si>
  <si>
    <t xml:space="preserve">SALDO BASE NEGATIVA </t>
  </si>
  <si>
    <t>INCENTIVO DE ALIMENTAÇÃO AO TRABALHADOR</t>
  </si>
  <si>
    <t>Despesa acumulada c/ alimentação trabalhador</t>
  </si>
  <si>
    <t>total</t>
  </si>
  <si>
    <t>Incentivo dedutível - 15%</t>
  </si>
  <si>
    <t>limite de 4% do Imposto de Renda devido</t>
  </si>
  <si>
    <t>(Nº de funcion X R$ 1,99 X nº Dias Trabalhado no mês X nº de mês)x15%</t>
  </si>
  <si>
    <t>Excesso a compensar em apurações subseqüentes</t>
  </si>
  <si>
    <t xml:space="preserve">CSLL </t>
  </si>
  <si>
    <t>D: 42521</t>
  </si>
  <si>
    <t>C: 21167</t>
  </si>
  <si>
    <t>D: 42511</t>
  </si>
  <si>
    <t>C: 21161</t>
  </si>
  <si>
    <t>PLANILHA DE APURAÇÃO IRPJ E CSLL - ANO CALENDÁRIO 2023</t>
  </si>
  <si>
    <t>COMPENSAÇÃO - BASE NEGATIVA 2022</t>
  </si>
  <si>
    <t>BASE NEGATIVA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</si>
</sst>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8" formatCode="&quot;R$&quot;\ #,##0.00;[Red]\-&quot;R$&quot;\ #,##0.00"/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_);_(* \(#,##0\);_(* &quot;-&quot;_);_(@_)"/>
    <numFmt numFmtId="165" formatCode="dd/mm/yyyy;@"/>
    <numFmt numFmtId="166" formatCode="_-* #,##0_-;\-* #,##0_-;_-* &quot;-&quot;??_-;_-@_-"/>
    <numFmt numFmtId="167" formatCode="_-* #,##0.00000_-;\-* #,##0.00000_-;_-* &quot;-&quot;??_-;_-@_-"/>
    <numFmt numFmtId="168" formatCode="d/mm/yyyy;@"/>
    <numFmt numFmtId="169" formatCode="_-* #,##0.0_-;\-* #,##0.0_-;_-* &quot;-&quot;??_-;_-@_-"/>
    <numFmt numFmtId="170" formatCode="_(* #,##0_);_(* \(#,##0\);_(* &quot;-&quot;??_);_(@_)"/>
    <numFmt numFmtId="171" formatCode="_(* #,##0.00_);_(* \(#,##0.00\);_(* &quot;-&quot;??_);_(@_)"/>
    <numFmt numFmtId="172" formatCode="&quot;R$&quot;\ #,##0.00"/>
    <numFmt numFmtId="173" formatCode="_-[$R$-416]\ * #,##0.00_-;\-[$R$-416]\ * #,##0.00_-;_-[$R$-416]\ * &quot;-&quot;??_-;_-@_-"/>
    <numFmt numFmtId="174" formatCode="0.0000%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sz val="10"/>
      <color rgb="FF000000"/>
      <name val="Times New Roman"/>
      <family val="1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Times New Roman"/>
      <family val="1"/>
    </font>
    <font>
      <u val="singleAccounting"/>
      <sz val="10"/>
      <name val="Arial"/>
      <family val="2"/>
    </font>
    <font>
      <sz val="12"/>
      <color theme="1"/>
      <name val="Times New Roman"/>
      <family val="1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Times New Roman"/>
      <family val="1"/>
    </font>
    <font>
      <sz val="13"/>
      <name val="Arial Narrow"/>
      <family val="2"/>
    </font>
    <font>
      <b/>
      <sz val="16"/>
      <name val="Arial Narrow"/>
      <family val="2"/>
    </font>
    <font>
      <sz val="13"/>
      <color theme="1"/>
      <name val="Arial Narrow"/>
      <family val="2"/>
    </font>
    <font>
      <b/>
      <sz val="16"/>
      <color theme="1"/>
      <name val="Arial Narrow"/>
      <family val="2"/>
    </font>
    <font>
      <b/>
      <sz val="13"/>
      <color theme="1"/>
      <name val="Arial Narrow"/>
      <family val="2"/>
    </font>
    <font>
      <b/>
      <sz val="13"/>
      <name val="Arial Narrow"/>
      <family val="2"/>
    </font>
    <font>
      <sz val="13"/>
      <color rgb="FF000000"/>
      <name val="Arial Narrow"/>
      <family val="2"/>
    </font>
    <font>
      <sz val="13"/>
      <color rgb="FFFF0000"/>
      <name val="Arial Narrow"/>
      <family val="2"/>
    </font>
    <font>
      <b/>
      <sz val="22"/>
      <color theme="1"/>
      <name val="Arial Narrow"/>
      <family val="2"/>
    </font>
    <font>
      <b/>
      <sz val="13"/>
      <color rgb="FFFF0000"/>
      <name val="Arial Narrow"/>
      <family val="2"/>
    </font>
    <font>
      <sz val="10"/>
      <color theme="1"/>
      <name val="Calibri"/>
      <family val="2"/>
      <scheme val="minor"/>
    </font>
    <font>
      <sz val="10"/>
      <color rgb="FF000000"/>
      <name val="Courier New"/>
      <family val="3"/>
    </font>
    <font>
      <b/>
      <sz val="10"/>
      <color rgb="FF000000"/>
      <name val="Courier New"/>
      <family val="3"/>
    </font>
    <font>
      <sz val="9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1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776">
    <xf numFmtId="0" fontId="0" fillId="0" borderId="0" xfId="0"/>
    <xf numFmtId="0" fontId="3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horizontal="center" vertical="center" wrapText="1"/>
    </xf>
    <xf numFmtId="4" fontId="5" fillId="2" borderId="0" xfId="0" applyNumberFormat="1" applyFont="1" applyFill="1" applyAlignment="1">
      <alignment horizontal="center" vertical="center" wrapText="1"/>
    </xf>
    <xf numFmtId="164" fontId="5" fillId="0" borderId="3" xfId="1" applyNumberFormat="1" applyFont="1" applyFill="1" applyBorder="1"/>
    <xf numFmtId="164" fontId="5" fillId="0" borderId="0" xfId="1" applyNumberFormat="1" applyFont="1" applyFill="1"/>
    <xf numFmtId="164" fontId="5" fillId="0" borderId="0" xfId="1" applyNumberFormat="1" applyFont="1" applyFill="1" applyBorder="1"/>
    <xf numFmtId="164" fontId="3" fillId="0" borderId="0" xfId="1" applyNumberFormat="1" applyFont="1" applyFill="1"/>
    <xf numFmtId="43" fontId="3" fillId="2" borderId="0" xfId="1" applyFont="1" applyFill="1"/>
    <xf numFmtId="43" fontId="3" fillId="2" borderId="0" xfId="0" applyNumberFormat="1" applyFont="1" applyFill="1"/>
    <xf numFmtId="164" fontId="3" fillId="2" borderId="0" xfId="0" applyNumberFormat="1" applyFont="1" applyFill="1"/>
    <xf numFmtId="4" fontId="3" fillId="2" borderId="0" xfId="0" applyNumberFormat="1" applyFont="1" applyFill="1"/>
    <xf numFmtId="164" fontId="3" fillId="0" borderId="0" xfId="0" applyNumberFormat="1" applyFont="1" applyFill="1"/>
    <xf numFmtId="0" fontId="6" fillId="0" borderId="0" xfId="0" applyFont="1" applyFill="1"/>
    <xf numFmtId="0" fontId="3" fillId="0" borderId="0" xfId="0" applyFont="1" applyFill="1"/>
    <xf numFmtId="0" fontId="3" fillId="0" borderId="0" xfId="0" applyFont="1" applyFill="1" applyBorder="1"/>
    <xf numFmtId="4" fontId="3" fillId="0" borderId="0" xfId="0" applyNumberFormat="1" applyFont="1" applyFill="1"/>
    <xf numFmtId="3" fontId="10" fillId="2" borderId="0" xfId="1" applyNumberFormat="1" applyFont="1" applyFill="1" applyBorder="1"/>
    <xf numFmtId="3" fontId="10" fillId="0" borderId="0" xfId="1" applyNumberFormat="1" applyFont="1" applyFill="1" applyBorder="1"/>
    <xf numFmtId="164" fontId="5" fillId="2" borderId="0" xfId="1" applyNumberFormat="1" applyFont="1" applyFill="1" applyBorder="1"/>
    <xf numFmtId="3" fontId="3" fillId="2" borderId="0" xfId="0" applyNumberFormat="1" applyFont="1" applyFill="1"/>
    <xf numFmtId="164" fontId="3" fillId="0" borderId="0" xfId="1" applyNumberFormat="1" applyFont="1" applyFill="1" applyBorder="1"/>
    <xf numFmtId="3" fontId="3" fillId="0" borderId="0" xfId="1" applyNumberFormat="1" applyFont="1" applyFill="1" applyBorder="1"/>
    <xf numFmtId="3" fontId="5" fillId="0" borderId="0" xfId="1" applyNumberFormat="1" applyFont="1" applyFill="1" applyBorder="1"/>
    <xf numFmtId="164" fontId="5" fillId="0" borderId="2" xfId="1" applyNumberFormat="1" applyFont="1" applyFill="1" applyBorder="1"/>
    <xf numFmtId="3" fontId="3" fillId="0" borderId="0" xfId="1" applyNumberFormat="1" applyFont="1" applyFill="1"/>
    <xf numFmtId="164" fontId="5" fillId="0" borderId="5" xfId="1" applyNumberFormat="1" applyFont="1" applyFill="1" applyBorder="1"/>
    <xf numFmtId="0" fontId="3" fillId="2" borderId="0" xfId="0" applyFont="1" applyFill="1" applyAlignment="1"/>
    <xf numFmtId="0" fontId="5" fillId="0" borderId="0" xfId="0" applyFont="1" applyFill="1"/>
    <xf numFmtId="0" fontId="3" fillId="0" borderId="0" xfId="0" applyFont="1" applyFill="1" applyAlignment="1">
      <alignment horizontal="left" indent="2"/>
    </xf>
    <xf numFmtId="49" fontId="3" fillId="0" borderId="0" xfId="0" applyNumberFormat="1" applyFont="1" applyFill="1" applyAlignment="1">
      <alignment horizontal="left"/>
    </xf>
    <xf numFmtId="49" fontId="3" fillId="0" borderId="0" xfId="0" applyNumberFormat="1" applyFont="1" applyFill="1"/>
    <xf numFmtId="39" fontId="3" fillId="0" borderId="0" xfId="0" applyNumberFormat="1" applyFont="1" applyFill="1" applyBorder="1"/>
    <xf numFmtId="0" fontId="3" fillId="0" borderId="0" xfId="0" applyFont="1" applyFill="1" applyAlignment="1">
      <alignment horizontal="left" indent="1"/>
    </xf>
    <xf numFmtId="49" fontId="3" fillId="0" borderId="0" xfId="0" applyNumberFormat="1" applyFont="1" applyFill="1" applyBorder="1"/>
    <xf numFmtId="164" fontId="3" fillId="0" borderId="0" xfId="0" applyNumberFormat="1" applyFont="1" applyFill="1" applyBorder="1"/>
    <xf numFmtId="0" fontId="5" fillId="0" borderId="0" xfId="0" applyFont="1" applyFill="1" applyAlignment="1">
      <alignment horizontal="left"/>
    </xf>
    <xf numFmtId="49" fontId="5" fillId="0" borderId="0" xfId="0" applyNumberFormat="1" applyFont="1" applyFill="1"/>
    <xf numFmtId="0" fontId="5" fillId="0" borderId="0" xfId="0" applyNumberFormat="1" applyFont="1" applyFill="1" applyBorder="1" applyAlignment="1">
      <alignment horizontal="left" vertical="center"/>
    </xf>
    <xf numFmtId="0" fontId="5" fillId="0" borderId="0" xfId="0" applyFont="1" applyFill="1" applyAlignment="1">
      <alignment horizontal="left" indent="1"/>
    </xf>
    <xf numFmtId="43" fontId="3" fillId="0" borderId="0" xfId="1" applyFont="1" applyFill="1"/>
    <xf numFmtId="3" fontId="5" fillId="0" borderId="0" xfId="1" quotePrefix="1" applyNumberFormat="1" applyFont="1" applyFill="1" applyBorder="1" applyAlignment="1">
      <alignment horizontal="right"/>
    </xf>
    <xf numFmtId="3" fontId="10" fillId="0" borderId="1" xfId="1" applyNumberFormat="1" applyFont="1" applyFill="1" applyBorder="1"/>
    <xf numFmtId="14" fontId="5" fillId="0" borderId="1" xfId="0" applyNumberFormat="1" applyFont="1" applyFill="1" applyBorder="1" applyAlignment="1">
      <alignment horizontal="center" wrapText="1"/>
    </xf>
    <xf numFmtId="0" fontId="5" fillId="0" borderId="0" xfId="0" applyNumberFormat="1" applyFont="1" applyFill="1" applyAlignment="1">
      <alignment horizontal="left"/>
    </xf>
    <xf numFmtId="164" fontId="7" fillId="0" borderId="0" xfId="4" applyNumberFormat="1" applyFont="1" applyFill="1" applyBorder="1" applyAlignment="1">
      <alignment horizontal="left" wrapText="1"/>
    </xf>
    <xf numFmtId="0" fontId="8" fillId="0" borderId="0" xfId="4" applyFont="1" applyFill="1" applyBorder="1" applyAlignment="1">
      <alignment horizontal="left" wrapText="1"/>
    </xf>
    <xf numFmtId="0" fontId="7" fillId="0" borderId="0" xfId="4" applyFont="1" applyFill="1" applyBorder="1" applyAlignment="1">
      <alignment horizontal="left" wrapText="1"/>
    </xf>
    <xf numFmtId="164" fontId="8" fillId="0" borderId="0" xfId="4" applyNumberFormat="1" applyFont="1" applyFill="1" applyBorder="1" applyAlignment="1">
      <alignment horizontal="left" wrapText="1"/>
    </xf>
    <xf numFmtId="0" fontId="8" fillId="0" borderId="0" xfId="4" applyFont="1" applyFill="1" applyBorder="1" applyAlignment="1">
      <alignment horizontal="left" vertical="top"/>
    </xf>
    <xf numFmtId="164" fontId="8" fillId="0" borderId="0" xfId="4" applyNumberFormat="1" applyFont="1" applyFill="1" applyBorder="1" applyAlignment="1">
      <alignment horizontal="left" vertical="top"/>
    </xf>
    <xf numFmtId="0" fontId="5" fillId="0" borderId="0" xfId="0" applyFont="1" applyFill="1" applyAlignment="1"/>
    <xf numFmtId="0" fontId="6" fillId="0" borderId="0" xfId="0" applyFont="1"/>
    <xf numFmtId="0" fontId="3" fillId="0" borderId="0" xfId="0" applyFont="1" applyFill="1" applyAlignment="1"/>
    <xf numFmtId="0" fontId="3" fillId="0" borderId="0" xfId="0" applyFont="1" applyFill="1" applyBorder="1" applyAlignment="1"/>
    <xf numFmtId="164" fontId="8" fillId="0" borderId="0" xfId="4" applyNumberFormat="1" applyFont="1" applyFill="1" applyBorder="1" applyAlignment="1">
      <alignment horizontal="right" shrinkToFit="1"/>
    </xf>
    <xf numFmtId="0" fontId="3" fillId="0" borderId="0" xfId="4" applyFont="1" applyFill="1" applyBorder="1" applyAlignment="1">
      <alignment horizontal="left" vertical="top" wrapText="1" indent="2"/>
    </xf>
    <xf numFmtId="0" fontId="5" fillId="0" borderId="0" xfId="4" applyFont="1" applyFill="1" applyBorder="1" applyAlignment="1">
      <alignment horizontal="left" vertical="center" wrapText="1" indent="1"/>
    </xf>
    <xf numFmtId="164" fontId="8" fillId="0" borderId="0" xfId="4" applyNumberFormat="1" applyFont="1" applyFill="1" applyBorder="1" applyAlignment="1">
      <alignment shrinkToFit="1"/>
    </xf>
    <xf numFmtId="164" fontId="3" fillId="0" borderId="0" xfId="4" applyNumberFormat="1" applyFont="1" applyFill="1" applyBorder="1" applyAlignment="1">
      <alignment horizontal="right" wrapText="1"/>
    </xf>
    <xf numFmtId="164" fontId="8" fillId="0" borderId="1" xfId="4" applyNumberFormat="1" applyFont="1" applyFill="1" applyBorder="1" applyAlignment="1">
      <alignment horizontal="right" shrinkToFit="1"/>
    </xf>
    <xf numFmtId="0" fontId="5" fillId="0" borderId="0" xfId="4" applyFont="1" applyFill="1" applyBorder="1" applyAlignment="1">
      <alignment horizontal="left" vertical="top" wrapText="1"/>
    </xf>
    <xf numFmtId="164" fontId="7" fillId="0" borderId="0" xfId="4" applyNumberFormat="1" applyFont="1" applyFill="1" applyBorder="1" applyAlignment="1">
      <alignment horizontal="right" shrinkToFit="1"/>
    </xf>
    <xf numFmtId="0" fontId="12" fillId="0" borderId="0" xfId="0" applyFont="1"/>
    <xf numFmtId="164" fontId="5" fillId="0" borderId="7" xfId="4" applyNumberFormat="1" applyFont="1" applyFill="1" applyBorder="1" applyAlignment="1">
      <alignment horizontal="right" wrapText="1"/>
    </xf>
    <xf numFmtId="0" fontId="3" fillId="0" borderId="0" xfId="4" applyFont="1" applyFill="1" applyBorder="1" applyAlignment="1">
      <alignment vertical="top" wrapText="1"/>
    </xf>
    <xf numFmtId="0" fontId="3" fillId="2" borderId="0" xfId="0" applyFont="1" applyFill="1" applyAlignment="1">
      <alignment vertical="center"/>
    </xf>
    <xf numFmtId="164" fontId="5" fillId="2" borderId="0" xfId="0" applyNumberFormat="1" applyFont="1" applyFill="1"/>
    <xf numFmtId="0" fontId="9" fillId="2" borderId="0" xfId="0" applyFont="1" applyFill="1"/>
    <xf numFmtId="164" fontId="6" fillId="0" borderId="0" xfId="0" applyNumberFormat="1" applyFont="1"/>
    <xf numFmtId="0" fontId="3" fillId="0" borderId="0" xfId="0" applyFont="1"/>
    <xf numFmtId="4" fontId="3" fillId="0" borderId="0" xfId="0" applyNumberFormat="1" applyFont="1"/>
    <xf numFmtId="14" fontId="5" fillId="0" borderId="1" xfId="0" applyNumberFormat="1" applyFont="1" applyBorder="1" applyAlignment="1">
      <alignment horizontal="center" vertical="center" wrapText="1"/>
    </xf>
    <xf numFmtId="164" fontId="5" fillId="0" borderId="8" xfId="1" applyNumberFormat="1" applyFont="1" applyFill="1" applyBorder="1"/>
    <xf numFmtId="164" fontId="3" fillId="0" borderId="0" xfId="0" applyNumberFormat="1" applyFont="1"/>
    <xf numFmtId="3" fontId="3" fillId="0" borderId="0" xfId="1" quotePrefix="1" applyNumberFormat="1" applyFont="1" applyFill="1" applyBorder="1" applyAlignment="1">
      <alignment horizontal="right"/>
    </xf>
    <xf numFmtId="3" fontId="5" fillId="0" borderId="6" xfId="1" quotePrefix="1" applyNumberFormat="1" applyFont="1" applyFill="1" applyBorder="1" applyAlignment="1">
      <alignment horizontal="right"/>
    </xf>
    <xf numFmtId="164" fontId="5" fillId="0" borderId="7" xfId="1" applyNumberFormat="1" applyFont="1" applyFill="1" applyBorder="1"/>
    <xf numFmtId="14" fontId="5" fillId="2" borderId="0" xfId="0" applyNumberFormat="1" applyFont="1" applyFill="1" applyAlignment="1">
      <alignment horizontal="center" vertical="center" wrapText="1"/>
    </xf>
    <xf numFmtId="0" fontId="5" fillId="2" borderId="0" xfId="0" applyFont="1" applyFill="1" applyAlignment="1">
      <alignment horizontal="left" vertical="center"/>
    </xf>
    <xf numFmtId="0" fontId="3" fillId="2" borderId="0" xfId="0" quotePrefix="1" applyFont="1" applyFill="1" applyAlignment="1">
      <alignment horizontal="left"/>
    </xf>
    <xf numFmtId="0" fontId="10" fillId="2" borderId="0" xfId="0" applyFont="1" applyFill="1"/>
    <xf numFmtId="0" fontId="5" fillId="2" borderId="0" xfId="0" quotePrefix="1" applyFont="1" applyFill="1" applyAlignment="1">
      <alignment horizontal="left"/>
    </xf>
    <xf numFmtId="43" fontId="6" fillId="0" borderId="0" xfId="1" applyFont="1"/>
    <xf numFmtId="165" fontId="7" fillId="0" borderId="0" xfId="4" applyNumberFormat="1" applyFont="1" applyFill="1" applyBorder="1" applyAlignment="1">
      <alignment vertical="top" shrinkToFit="1"/>
    </xf>
    <xf numFmtId="0" fontId="8" fillId="0" borderId="0" xfId="4" applyFont="1" applyFill="1" applyBorder="1" applyAlignment="1">
      <alignment wrapText="1"/>
    </xf>
    <xf numFmtId="164" fontId="8" fillId="0" borderId="0" xfId="4" applyNumberFormat="1" applyFont="1" applyFill="1" applyBorder="1" applyAlignment="1">
      <alignment wrapText="1"/>
    </xf>
    <xf numFmtId="164" fontId="3" fillId="2" borderId="0" xfId="0" quotePrefix="1" applyNumberFormat="1" applyFont="1" applyFill="1" applyAlignment="1">
      <alignment horizontal="center"/>
    </xf>
    <xf numFmtId="168" fontId="5" fillId="0" borderId="0" xfId="0" applyNumberFormat="1" applyFont="1" applyAlignment="1">
      <alignment horizontal="center" vertical="center" wrapText="1"/>
    </xf>
    <xf numFmtId="164" fontId="5" fillId="0" borderId="0" xfId="2" applyNumberFormat="1" applyFont="1" applyFill="1" applyBorder="1" applyAlignment="1">
      <alignment horizontal="right"/>
    </xf>
    <xf numFmtId="164" fontId="3" fillId="0" borderId="0" xfId="2" applyNumberFormat="1" applyFont="1" applyFill="1" applyBorder="1" applyAlignment="1">
      <alignment horizontal="right"/>
    </xf>
    <xf numFmtId="164" fontId="3" fillId="0" borderId="0" xfId="2" applyNumberFormat="1" applyFont="1" applyFill="1" applyBorder="1"/>
    <xf numFmtId="164" fontId="9" fillId="2" borderId="0" xfId="0" applyNumberFormat="1" applyFont="1" applyFill="1"/>
    <xf numFmtId="164" fontId="3" fillId="2" borderId="0" xfId="0" applyNumberFormat="1" applyFont="1" applyFill="1" applyAlignment="1">
      <alignment horizontal="left"/>
    </xf>
    <xf numFmtId="164" fontId="3" fillId="0" borderId="0" xfId="2" applyNumberFormat="1" applyFont="1" applyFill="1" applyBorder="1" applyAlignment="1">
      <alignment horizontal="center"/>
    </xf>
    <xf numFmtId="164" fontId="5" fillId="0" borderId="0" xfId="2" applyNumberFormat="1" applyFont="1" applyFill="1" applyBorder="1"/>
    <xf numFmtId="164" fontId="5" fillId="2" borderId="0" xfId="0" applyNumberFormat="1" applyFont="1" applyFill="1" applyAlignment="1">
      <alignment vertical="center"/>
    </xf>
    <xf numFmtId="164" fontId="3" fillId="2" borderId="0" xfId="0" applyNumberFormat="1" applyFont="1" applyFill="1" applyAlignment="1">
      <alignment vertical="center"/>
    </xf>
    <xf numFmtId="164" fontId="5" fillId="0" borderId="3" xfId="2" applyNumberFormat="1" applyFont="1" applyFill="1" applyBorder="1" applyAlignment="1">
      <alignment vertical="center"/>
    </xf>
    <xf numFmtId="164" fontId="5" fillId="0" borderId="0" xfId="2" applyNumberFormat="1" applyFont="1" applyFill="1" applyBorder="1" applyAlignment="1">
      <alignment vertical="center"/>
    </xf>
    <xf numFmtId="164" fontId="3" fillId="0" borderId="0" xfId="2" applyNumberFormat="1" applyFont="1" applyFill="1"/>
    <xf numFmtId="164" fontId="5" fillId="0" borderId="0" xfId="2" applyNumberFormat="1" applyFont="1" applyFill="1"/>
    <xf numFmtId="164" fontId="3" fillId="2" borderId="0" xfId="3" applyNumberFormat="1" applyFill="1"/>
    <xf numFmtId="43" fontId="5" fillId="0" borderId="0" xfId="2" applyFont="1" applyFill="1" applyBorder="1"/>
    <xf numFmtId="3" fontId="5" fillId="0" borderId="0" xfId="2" applyNumberFormat="1" applyFont="1" applyFill="1" applyBorder="1"/>
    <xf numFmtId="43" fontId="3" fillId="0" borderId="0" xfId="0" applyNumberFormat="1" applyFont="1"/>
    <xf numFmtId="164" fontId="3" fillId="0" borderId="4" xfId="2" applyNumberFormat="1" applyFont="1" applyFill="1" applyBorder="1"/>
    <xf numFmtId="164" fontId="16" fillId="0" borderId="0" xfId="2" applyNumberFormat="1" applyFont="1" applyFill="1" applyBorder="1" applyAlignment="1">
      <alignment horizontal="right"/>
    </xf>
    <xf numFmtId="164" fontId="3" fillId="0" borderId="4" xfId="2" applyNumberFormat="1" applyFont="1" applyFill="1" applyBorder="1" applyAlignment="1">
      <alignment horizontal="right"/>
    </xf>
    <xf numFmtId="0" fontId="13" fillId="0" borderId="0" xfId="0" applyFont="1" applyFill="1"/>
    <xf numFmtId="164" fontId="3" fillId="2" borderId="0" xfId="0" applyNumberFormat="1" applyFont="1" applyFill="1" applyAlignment="1"/>
    <xf numFmtId="168" fontId="5" fillId="0" borderId="1" xfId="0" applyNumberFormat="1" applyFont="1" applyFill="1" applyBorder="1" applyAlignment="1">
      <alignment horizontal="center" vertical="center" wrapText="1"/>
    </xf>
    <xf numFmtId="3" fontId="3" fillId="0" borderId="0" xfId="0" applyNumberFormat="1" applyFont="1" applyFill="1" applyAlignment="1"/>
    <xf numFmtId="43" fontId="3" fillId="0" borderId="0" xfId="0" applyNumberFormat="1" applyFont="1" applyFill="1"/>
    <xf numFmtId="14" fontId="5" fillId="0" borderId="1" xfId="0" applyNumberFormat="1" applyFont="1" applyFill="1" applyBorder="1" applyAlignment="1">
      <alignment horizontal="center" vertical="center" wrapText="1"/>
    </xf>
    <xf numFmtId="164" fontId="0" fillId="0" borderId="0" xfId="0" applyNumberFormat="1" applyFill="1"/>
    <xf numFmtId="0" fontId="0" fillId="0" borderId="0" xfId="0" applyFill="1"/>
    <xf numFmtId="166" fontId="3" fillId="0" borderId="0" xfId="1" applyNumberFormat="1" applyFont="1" applyFill="1"/>
    <xf numFmtId="167" fontId="3" fillId="0" borderId="0" xfId="1" applyNumberFormat="1" applyFont="1" applyFill="1"/>
    <xf numFmtId="164" fontId="5" fillId="0" borderId="0" xfId="4" applyNumberFormat="1" applyFont="1" applyFill="1" applyBorder="1" applyAlignment="1">
      <alignment horizontal="right" wrapText="1"/>
    </xf>
    <xf numFmtId="0" fontId="3" fillId="0" borderId="0" xfId="4" applyFont="1" applyFill="1" applyBorder="1" applyAlignment="1">
      <alignment horizontal="left" vertical="center" wrapText="1" indent="2"/>
    </xf>
    <xf numFmtId="164" fontId="3" fillId="0" borderId="0" xfId="1" applyNumberFormat="1" applyFont="1" applyFill="1" applyAlignment="1">
      <alignment horizontal="right"/>
    </xf>
    <xf numFmtId="0" fontId="3" fillId="0" borderId="0" xfId="0" applyNumberFormat="1" applyFont="1" applyFill="1"/>
    <xf numFmtId="0" fontId="5" fillId="0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3" fillId="0" borderId="0" xfId="0" applyNumberFormat="1" applyFont="1" applyFill="1" applyAlignment="1">
      <alignment horizontal="center"/>
    </xf>
    <xf numFmtId="49" fontId="3" fillId="0" borderId="0" xfId="0" applyNumberFormat="1" applyFont="1" applyFill="1" applyBorder="1" applyAlignment="1">
      <alignment horizontal="center"/>
    </xf>
    <xf numFmtId="49" fontId="3" fillId="0" borderId="0" xfId="0" applyNumberFormat="1" applyFont="1" applyFill="1" applyAlignment="1">
      <alignment horizontal="center"/>
    </xf>
    <xf numFmtId="3" fontId="5" fillId="0" borderId="0" xfId="1" applyNumberFormat="1" applyFont="1" applyFill="1" applyBorder="1" applyAlignment="1">
      <alignment horizontal="center"/>
    </xf>
    <xf numFmtId="3" fontId="3" fillId="0" borderId="0" xfId="1" applyNumberFormat="1" applyFont="1" applyFill="1" applyBorder="1" applyAlignment="1">
      <alignment horizontal="center"/>
    </xf>
    <xf numFmtId="164" fontId="3" fillId="0" borderId="0" xfId="1" applyNumberFormat="1" applyFont="1" applyFill="1" applyAlignment="1">
      <alignment horizontal="center"/>
    </xf>
    <xf numFmtId="164" fontId="5" fillId="0" borderId="0" xfId="1" applyNumberFormat="1" applyFont="1" applyFill="1" applyBorder="1" applyAlignment="1">
      <alignment horizontal="center"/>
    </xf>
    <xf numFmtId="3" fontId="3" fillId="0" borderId="0" xfId="1" applyNumberFormat="1" applyFont="1" applyFill="1" applyAlignment="1">
      <alignment horizontal="center"/>
    </xf>
    <xf numFmtId="164" fontId="5" fillId="0" borderId="0" xfId="1" applyNumberFormat="1" applyFont="1" applyFill="1" applyAlignment="1">
      <alignment horizontal="center"/>
    </xf>
    <xf numFmtId="3" fontId="5" fillId="0" borderId="0" xfId="1" quotePrefix="1" applyNumberFormat="1" applyFont="1" applyFill="1" applyBorder="1" applyAlignment="1">
      <alignment horizontal="center"/>
    </xf>
    <xf numFmtId="4" fontId="3" fillId="2" borderId="0" xfId="0" applyNumberFormat="1" applyFont="1" applyFill="1"/>
    <xf numFmtId="0" fontId="3" fillId="2" borderId="0" xfId="0" applyFont="1" applyFill="1"/>
    <xf numFmtId="0" fontId="3" fillId="0" borderId="0" xfId="0" applyFont="1" applyFill="1"/>
    <xf numFmtId="0" fontId="3" fillId="0" borderId="0" xfId="0" applyFont="1" applyFill="1" applyBorder="1"/>
    <xf numFmtId="43" fontId="0" fillId="0" borderId="0" xfId="1" applyFont="1"/>
    <xf numFmtId="164" fontId="11" fillId="0" borderId="0" xfId="4" applyNumberFormat="1" applyFont="1" applyFill="1" applyBorder="1" applyAlignment="1">
      <alignment horizontal="left" vertical="top"/>
    </xf>
    <xf numFmtId="0" fontId="13" fillId="0" borderId="0" xfId="0" applyFont="1" applyFill="1" applyAlignment="1">
      <alignment horizontal="left"/>
    </xf>
    <xf numFmtId="0" fontId="3" fillId="2" borderId="0" xfId="0" applyFont="1" applyFill="1" applyBorder="1"/>
    <xf numFmtId="14" fontId="5" fillId="0" borderId="0" xfId="0" applyNumberFormat="1" applyFont="1" applyFill="1" applyAlignment="1">
      <alignment horizontal="center" vertical="center" wrapText="1"/>
    </xf>
    <xf numFmtId="0" fontId="3" fillId="0" borderId="0" xfId="0" quotePrefix="1" applyFont="1" applyFill="1" applyAlignment="1">
      <alignment horizontal="left"/>
    </xf>
    <xf numFmtId="0" fontId="5" fillId="0" borderId="0" xfId="0" quotePrefix="1" applyFont="1" applyFill="1" applyAlignment="1">
      <alignment horizontal="left"/>
    </xf>
    <xf numFmtId="43" fontId="12" fillId="0" borderId="0" xfId="1" applyFont="1" applyAlignment="1">
      <alignment horizontal="center" vertical="center"/>
    </xf>
    <xf numFmtId="43" fontId="6" fillId="0" borderId="0" xfId="1" applyFont="1" applyAlignment="1">
      <alignment horizontal="right" vertical="center" wrapText="1"/>
    </xf>
    <xf numFmtId="43" fontId="12" fillId="0" borderId="0" xfId="1" applyFont="1" applyAlignment="1">
      <alignment horizontal="right" vertical="center" wrapText="1"/>
    </xf>
    <xf numFmtId="43" fontId="12" fillId="0" borderId="0" xfId="1" applyFont="1" applyAlignment="1">
      <alignment horizontal="center" vertical="center" wrapText="1"/>
    </xf>
    <xf numFmtId="43" fontId="8" fillId="0" borderId="0" xfId="1" applyFont="1" applyAlignment="1">
      <alignment horizontal="right" shrinkToFit="1"/>
    </xf>
    <xf numFmtId="43" fontId="8" fillId="0" borderId="0" xfId="1" applyFont="1" applyFill="1" applyAlignment="1">
      <alignment horizontal="right" shrinkToFit="1"/>
    </xf>
    <xf numFmtId="43" fontId="0" fillId="0" borderId="0" xfId="1" applyFont="1" applyFill="1"/>
    <xf numFmtId="43" fontId="15" fillId="0" borderId="0" xfId="1" applyFont="1" applyAlignment="1">
      <alignment vertical="center"/>
    </xf>
    <xf numFmtId="43" fontId="12" fillId="0" borderId="0" xfId="1" applyFont="1" applyAlignment="1">
      <alignment vertical="center"/>
    </xf>
    <xf numFmtId="43" fontId="6" fillId="0" borderId="0" xfId="1" applyFont="1" applyAlignment="1">
      <alignment vertical="center"/>
    </xf>
    <xf numFmtId="43" fontId="7" fillId="0" borderId="0" xfId="1" applyFont="1" applyFill="1" applyAlignment="1">
      <alignment horizontal="right" shrinkToFit="1"/>
    </xf>
    <xf numFmtId="43" fontId="6" fillId="0" borderId="0" xfId="1" applyFont="1" applyFill="1" applyAlignment="1">
      <alignment vertical="center"/>
    </xf>
    <xf numFmtId="41" fontId="5" fillId="0" borderId="3" xfId="5" applyNumberFormat="1" applyFont="1" applyFill="1" applyBorder="1"/>
    <xf numFmtId="0" fontId="17" fillId="0" borderId="0" xfId="0" applyFont="1"/>
    <xf numFmtId="0" fontId="6" fillId="0" borderId="0" xfId="0" applyFont="1" applyBorder="1"/>
    <xf numFmtId="14" fontId="12" fillId="0" borderId="4" xfId="0" applyNumberFormat="1" applyFont="1" applyBorder="1"/>
    <xf numFmtId="9" fontId="6" fillId="0" borderId="0" xfId="1" applyNumberFormat="1" applyFont="1"/>
    <xf numFmtId="166" fontId="14" fillId="0" borderId="0" xfId="1" applyNumberFormat="1" applyFont="1" applyFill="1"/>
    <xf numFmtId="164" fontId="3" fillId="0" borderId="2" xfId="1" applyNumberFormat="1" applyFont="1" applyFill="1" applyBorder="1"/>
    <xf numFmtId="0" fontId="6" fillId="0" borderId="4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164" fontId="3" fillId="0" borderId="4" xfId="1" applyNumberFormat="1" applyFont="1" applyFill="1" applyBorder="1" applyAlignment="1">
      <alignment horizontal="center"/>
    </xf>
    <xf numFmtId="164" fontId="3" fillId="0" borderId="0" xfId="1" applyNumberFormat="1" applyFont="1" applyFill="1" applyBorder="1" applyAlignment="1">
      <alignment horizontal="center"/>
    </xf>
    <xf numFmtId="0" fontId="18" fillId="0" borderId="0" xfId="0" applyFont="1"/>
    <xf numFmtId="164" fontId="3" fillId="0" borderId="0" xfId="0" applyNumberFormat="1" applyFont="1" applyFill="1" applyBorder="1" applyAlignment="1">
      <alignment horizontal="center" vertical="center"/>
    </xf>
    <xf numFmtId="14" fontId="12" fillId="0" borderId="4" xfId="0" applyNumberFormat="1" applyFont="1" applyBorder="1" applyAlignment="1">
      <alignment wrapText="1"/>
    </xf>
    <xf numFmtId="14" fontId="18" fillId="0" borderId="0" xfId="0" applyNumberFormat="1" applyFont="1"/>
    <xf numFmtId="14" fontId="3" fillId="0" borderId="2" xfId="1" applyNumberFormat="1" applyFont="1" applyFill="1" applyBorder="1"/>
    <xf numFmtId="0" fontId="12" fillId="0" borderId="4" xfId="0" applyFont="1" applyBorder="1"/>
    <xf numFmtId="0" fontId="0" fillId="3" borderId="0" xfId="0" applyFill="1"/>
    <xf numFmtId="0" fontId="3" fillId="0" borderId="0" xfId="4" applyFont="1" applyAlignment="1">
      <alignment horizontal="left" vertical="top" wrapText="1" indent="2"/>
    </xf>
    <xf numFmtId="164" fontId="8" fillId="0" borderId="0" xfId="4" applyNumberFormat="1" applyFont="1" applyAlignment="1">
      <alignment shrinkToFit="1"/>
    </xf>
    <xf numFmtId="164" fontId="8" fillId="0" borderId="0" xfId="4" applyNumberFormat="1" applyFont="1" applyAlignment="1">
      <alignment wrapText="1"/>
    </xf>
    <xf numFmtId="164" fontId="8" fillId="0" borderId="0" xfId="4" applyNumberFormat="1" applyFont="1" applyFill="1" applyAlignment="1">
      <alignment shrinkToFit="1"/>
    </xf>
    <xf numFmtId="164" fontId="5" fillId="0" borderId="0" xfId="4" applyNumberFormat="1" applyFont="1" applyFill="1" applyBorder="1" applyAlignment="1">
      <alignment horizontal="right" shrinkToFit="1"/>
    </xf>
    <xf numFmtId="164" fontId="7" fillId="0" borderId="9" xfId="4" applyNumberFormat="1" applyFont="1" applyFill="1" applyBorder="1" applyAlignment="1">
      <alignment horizontal="right" shrinkToFit="1"/>
    </xf>
    <xf numFmtId="169" fontId="8" fillId="0" borderId="0" xfId="1" applyNumberFormat="1" applyFont="1" applyFill="1" applyAlignment="1">
      <alignment horizontal="left" vertical="top"/>
    </xf>
    <xf numFmtId="0" fontId="14" fillId="0" borderId="0" xfId="0" applyFont="1" applyFill="1"/>
    <xf numFmtId="0" fontId="19" fillId="0" borderId="0" xfId="0" applyFont="1" applyFill="1"/>
    <xf numFmtId="0" fontId="0" fillId="0" borderId="0" xfId="0" applyFill="1" applyAlignment="1">
      <alignment horizontal="left"/>
    </xf>
    <xf numFmtId="0" fontId="12" fillId="0" borderId="0" xfId="0" applyFont="1" applyFill="1"/>
    <xf numFmtId="43" fontId="6" fillId="0" borderId="0" xfId="1" applyFont="1" applyFill="1" applyBorder="1"/>
    <xf numFmtId="0" fontId="8" fillId="0" borderId="0" xfId="0" applyFont="1" applyFill="1"/>
    <xf numFmtId="0" fontId="8" fillId="0" borderId="0" xfId="0" applyFont="1" applyFill="1" applyAlignment="1">
      <alignment vertical="center"/>
    </xf>
    <xf numFmtId="0" fontId="19" fillId="0" borderId="0" xfId="0" applyFont="1" applyFill="1" applyAlignment="1">
      <alignment horizontal="left"/>
    </xf>
    <xf numFmtId="0" fontId="12" fillId="0" borderId="0" xfId="0" applyFont="1" applyAlignment="1"/>
    <xf numFmtId="0" fontId="12" fillId="0" borderId="0" xfId="0" applyFont="1" applyBorder="1" applyAlignment="1"/>
    <xf numFmtId="14" fontId="12" fillId="0" borderId="0" xfId="0" applyNumberFormat="1" applyFont="1" applyBorder="1"/>
    <xf numFmtId="0" fontId="6" fillId="0" borderId="0" xfId="0" applyFont="1" applyFill="1" applyAlignment="1">
      <alignment horizontal="right"/>
    </xf>
    <xf numFmtId="14" fontId="12" fillId="0" borderId="4" xfId="0" applyNumberFormat="1" applyFont="1" applyFill="1" applyBorder="1" applyAlignment="1">
      <alignment horizontal="right" wrapText="1"/>
    </xf>
    <xf numFmtId="0" fontId="6" fillId="0" borderId="0" xfId="0" applyFont="1" applyAlignment="1">
      <alignment horizontal="right"/>
    </xf>
    <xf numFmtId="43" fontId="6" fillId="0" borderId="0" xfId="1" applyFont="1" applyAlignment="1">
      <alignment horizontal="right"/>
    </xf>
    <xf numFmtId="0" fontId="12" fillId="0" borderId="0" xfId="0" applyFont="1" applyAlignment="1">
      <alignment horizontal="left"/>
    </xf>
    <xf numFmtId="166" fontId="0" fillId="0" borderId="0" xfId="1" applyNumberFormat="1" applyFont="1"/>
    <xf numFmtId="9" fontId="6" fillId="0" borderId="0" xfId="7" applyFont="1" applyAlignment="1">
      <alignment horizontal="right" vertical="center" wrapText="1"/>
    </xf>
    <xf numFmtId="43" fontId="15" fillId="0" borderId="0" xfId="1" applyFont="1" applyFill="1" applyAlignment="1">
      <alignment vertical="center"/>
    </xf>
    <xf numFmtId="43" fontId="12" fillId="0" borderId="0" xfId="1" applyFont="1" applyFill="1" applyAlignment="1">
      <alignment horizontal="center" vertical="center"/>
    </xf>
    <xf numFmtId="43" fontId="12" fillId="0" borderId="0" xfId="1" applyFont="1" applyFill="1" applyAlignment="1">
      <alignment vertical="center"/>
    </xf>
    <xf numFmtId="43" fontId="6" fillId="0" borderId="4" xfId="1" applyFont="1" applyFill="1" applyBorder="1" applyAlignment="1">
      <alignment vertical="center"/>
    </xf>
    <xf numFmtId="43" fontId="12" fillId="0" borderId="4" xfId="1" applyFont="1" applyFill="1" applyBorder="1" applyAlignment="1">
      <alignment vertical="center"/>
    </xf>
    <xf numFmtId="43" fontId="12" fillId="0" borderId="4" xfId="1" applyFont="1" applyFill="1" applyBorder="1" applyAlignment="1">
      <alignment horizontal="right" vertical="center" wrapText="1"/>
    </xf>
    <xf numFmtId="9" fontId="6" fillId="0" borderId="4" xfId="7" applyFont="1" applyFill="1" applyBorder="1" applyAlignment="1">
      <alignment horizontal="center" vertical="center" wrapText="1"/>
    </xf>
    <xf numFmtId="4" fontId="0" fillId="0" borderId="0" xfId="0" applyNumberFormat="1" applyFill="1"/>
    <xf numFmtId="14" fontId="12" fillId="0" borderId="0" xfId="0" applyNumberFormat="1" applyFont="1" applyFill="1" applyBorder="1" applyAlignment="1">
      <alignment horizontal="right"/>
    </xf>
    <xf numFmtId="0" fontId="0" fillId="4" borderId="0" xfId="0" applyFill="1" applyAlignment="1">
      <alignment horizontal="left"/>
    </xf>
    <xf numFmtId="0" fontId="0" fillId="4" borderId="0" xfId="0" applyFill="1"/>
    <xf numFmtId="166" fontId="19" fillId="0" borderId="0" xfId="1" applyNumberFormat="1" applyFont="1" applyFill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5" borderId="0" xfId="0" applyFill="1" applyAlignment="1">
      <alignment horizontal="center"/>
    </xf>
    <xf numFmtId="0" fontId="0" fillId="5" borderId="0" xfId="0" applyFill="1"/>
    <xf numFmtId="0" fontId="0" fillId="5" borderId="0" xfId="0" applyFill="1" applyAlignment="1">
      <alignment horizontal="right"/>
    </xf>
    <xf numFmtId="4" fontId="0" fillId="5" borderId="0" xfId="0" applyNumberFormat="1" applyFill="1" applyAlignment="1">
      <alignment horizontal="right"/>
    </xf>
    <xf numFmtId="0" fontId="19" fillId="6" borderId="0" xfId="0" applyFont="1" applyFill="1"/>
    <xf numFmtId="0" fontId="19" fillId="6" borderId="0" xfId="0" applyFont="1" applyFill="1" applyAlignment="1">
      <alignment horizontal="center"/>
    </xf>
    <xf numFmtId="0" fontId="19" fillId="6" borderId="0" xfId="0" applyFont="1" applyFill="1" applyAlignment="1">
      <alignment horizontal="right"/>
    </xf>
    <xf numFmtId="14" fontId="0" fillId="5" borderId="0" xfId="0" applyNumberFormat="1" applyFill="1"/>
    <xf numFmtId="3" fontId="0" fillId="5" borderId="0" xfId="0" applyNumberFormat="1" applyFill="1" applyAlignment="1">
      <alignment horizontal="center"/>
    </xf>
    <xf numFmtId="4" fontId="0" fillId="5" borderId="0" xfId="0" applyNumberFormat="1" applyFill="1"/>
    <xf numFmtId="4" fontId="19" fillId="6" borderId="0" xfId="0" applyNumberFormat="1" applyFont="1" applyFill="1" applyAlignment="1">
      <alignment horizontal="right"/>
    </xf>
    <xf numFmtId="0" fontId="0" fillId="0" borderId="13" xfId="0" applyBorder="1"/>
    <xf numFmtId="0" fontId="19" fillId="0" borderId="0" xfId="0" applyFont="1"/>
    <xf numFmtId="0" fontId="0" fillId="0" borderId="14" xfId="0" applyBorder="1"/>
    <xf numFmtId="0" fontId="19" fillId="0" borderId="0" xfId="0" applyFont="1" applyBorder="1"/>
    <xf numFmtId="0" fontId="0" fillId="0" borderId="15" xfId="0" applyBorder="1"/>
    <xf numFmtId="14" fontId="0" fillId="0" borderId="14" xfId="0" applyNumberFormat="1" applyFill="1" applyBorder="1"/>
    <xf numFmtId="0" fontId="0" fillId="0" borderId="0" xfId="0" applyFill="1" applyBorder="1"/>
    <xf numFmtId="0" fontId="0" fillId="0" borderId="15" xfId="0" applyFill="1" applyBorder="1"/>
    <xf numFmtId="4" fontId="0" fillId="0" borderId="0" xfId="0" applyNumberFormat="1" applyFill="1" applyBorder="1"/>
    <xf numFmtId="4" fontId="0" fillId="0" borderId="15" xfId="0" applyNumberFormat="1" applyFill="1" applyBorder="1"/>
    <xf numFmtId="0" fontId="0" fillId="0" borderId="16" xfId="0" applyBorder="1"/>
    <xf numFmtId="0" fontId="0" fillId="0" borderId="1" xfId="0" applyBorder="1"/>
    <xf numFmtId="4" fontId="0" fillId="0" borderId="1" xfId="0" applyNumberFormat="1" applyBorder="1"/>
    <xf numFmtId="4" fontId="0" fillId="0" borderId="11" xfId="0" applyNumberFormat="1" applyBorder="1"/>
    <xf numFmtId="1" fontId="19" fillId="0" borderId="0" xfId="0" applyNumberFormat="1" applyFont="1"/>
    <xf numFmtId="0" fontId="0" fillId="0" borderId="0" xfId="0" applyBorder="1"/>
    <xf numFmtId="4" fontId="0" fillId="0" borderId="0" xfId="0" applyNumberFormat="1" applyBorder="1"/>
    <xf numFmtId="14" fontId="0" fillId="0" borderId="0" xfId="0" applyNumberFormat="1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right"/>
    </xf>
    <xf numFmtId="0" fontId="0" fillId="0" borderId="0" xfId="0" applyFill="1" applyBorder="1" applyAlignment="1">
      <alignment horizontal="left"/>
    </xf>
    <xf numFmtId="166" fontId="6" fillId="0" borderId="0" xfId="1" applyNumberFormat="1" applyFont="1" applyFill="1" applyAlignment="1">
      <alignment horizontal="right" vertical="center"/>
    </xf>
    <xf numFmtId="166" fontId="6" fillId="0" borderId="0" xfId="1" applyNumberFormat="1" applyFont="1" applyAlignment="1">
      <alignment horizontal="right" vertical="center"/>
    </xf>
    <xf numFmtId="166" fontId="12" fillId="0" borderId="0" xfId="1" applyNumberFormat="1" applyFont="1" applyAlignment="1">
      <alignment horizontal="right" vertical="center"/>
    </xf>
    <xf numFmtId="166" fontId="7" fillId="0" borderId="0" xfId="1" applyNumberFormat="1" applyFont="1" applyFill="1" applyAlignment="1">
      <alignment horizontal="right" shrinkToFit="1"/>
    </xf>
    <xf numFmtId="166" fontId="12" fillId="0" borderId="0" xfId="1" applyNumberFormat="1" applyFont="1" applyFill="1" applyAlignment="1">
      <alignment horizontal="right" vertical="center"/>
    </xf>
    <xf numFmtId="166" fontId="0" fillId="0" borderId="0" xfId="1" applyNumberFormat="1" applyFont="1" applyFill="1"/>
    <xf numFmtId="43" fontId="5" fillId="2" borderId="0" xfId="1" applyFont="1" applyFill="1"/>
    <xf numFmtId="43" fontId="3" fillId="2" borderId="0" xfId="1" applyFont="1" applyFill="1" applyAlignment="1">
      <alignment vertical="center"/>
    </xf>
    <xf numFmtId="43" fontId="5" fillId="2" borderId="0" xfId="0" applyNumberFormat="1" applyFont="1" applyFill="1"/>
    <xf numFmtId="0" fontId="12" fillId="0" borderId="0" xfId="0" applyFont="1" applyFill="1" applyAlignment="1"/>
    <xf numFmtId="14" fontId="12" fillId="0" borderId="4" xfId="0" applyNumberFormat="1" applyFont="1" applyFill="1" applyBorder="1"/>
    <xf numFmtId="0" fontId="13" fillId="4" borderId="0" xfId="0" applyFont="1" applyFill="1"/>
    <xf numFmtId="4" fontId="0" fillId="0" borderId="0" xfId="0" applyNumberFormat="1"/>
    <xf numFmtId="11" fontId="0" fillId="0" borderId="0" xfId="0" applyNumberFormat="1"/>
    <xf numFmtId="4" fontId="19" fillId="0" borderId="0" xfId="0" applyNumberFormat="1" applyFont="1"/>
    <xf numFmtId="164" fontId="8" fillId="0" borderId="0" xfId="4" applyNumberFormat="1" applyFont="1" applyFill="1" applyAlignment="1">
      <alignment horizontal="right" shrinkToFit="1"/>
    </xf>
    <xf numFmtId="164" fontId="8" fillId="0" borderId="0" xfId="4" applyNumberFormat="1" applyFont="1" applyFill="1" applyAlignment="1">
      <alignment horizontal="right" vertical="center" shrinkToFit="1"/>
    </xf>
    <xf numFmtId="164" fontId="3" fillId="0" borderId="0" xfId="4" applyNumberFormat="1" applyFont="1" applyFill="1" applyAlignment="1">
      <alignment horizontal="right" wrapText="1"/>
    </xf>
    <xf numFmtId="164" fontId="7" fillId="0" borderId="0" xfId="4" applyNumberFormat="1" applyFont="1" applyFill="1" applyAlignment="1">
      <alignment horizontal="right" shrinkToFit="1"/>
    </xf>
    <xf numFmtId="164" fontId="8" fillId="2" borderId="0" xfId="4" applyNumberFormat="1" applyFont="1" applyFill="1" applyBorder="1" applyAlignment="1">
      <alignment horizontal="right" shrinkToFit="1"/>
    </xf>
    <xf numFmtId="164" fontId="3" fillId="0" borderId="0" xfId="3" applyNumberFormat="1" applyFill="1"/>
    <xf numFmtId="166" fontId="8" fillId="0" borderId="4" xfId="1" applyNumberFormat="1" applyFont="1" applyFill="1" applyBorder="1" applyAlignment="1">
      <alignment horizontal="right" shrinkToFit="1"/>
    </xf>
    <xf numFmtId="166" fontId="7" fillId="0" borderId="4" xfId="1" applyNumberFormat="1" applyFont="1" applyFill="1" applyBorder="1" applyAlignment="1">
      <alignment horizontal="right" shrinkToFit="1"/>
    </xf>
    <xf numFmtId="43" fontId="3" fillId="0" borderId="0" xfId="1" applyFont="1" applyFill="1" applyBorder="1"/>
    <xf numFmtId="164" fontId="3" fillId="0" borderId="0" xfId="4" applyNumberFormat="1" applyFont="1" applyFill="1" applyBorder="1" applyAlignment="1">
      <alignment wrapText="1"/>
    </xf>
    <xf numFmtId="164" fontId="8" fillId="0" borderId="1" xfId="4" applyNumberFormat="1" applyFont="1" applyFill="1" applyBorder="1" applyAlignment="1">
      <alignment shrinkToFit="1"/>
    </xf>
    <xf numFmtId="0" fontId="14" fillId="0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13" fillId="3" borderId="0" xfId="0" applyFont="1" applyFill="1" applyAlignment="1">
      <alignment horizontal="left"/>
    </xf>
    <xf numFmtId="0" fontId="13" fillId="3" borderId="0" xfId="0" applyFont="1" applyFill="1"/>
    <xf numFmtId="0" fontId="0" fillId="0" borderId="0" xfId="0" applyFont="1" applyFill="1" applyAlignment="1">
      <alignment horizontal="left"/>
    </xf>
    <xf numFmtId="0" fontId="0" fillId="0" borderId="0" xfId="0" applyFont="1" applyFill="1"/>
    <xf numFmtId="0" fontId="19" fillId="4" borderId="0" xfId="0" applyFont="1" applyFill="1" applyAlignment="1">
      <alignment horizontal="left"/>
    </xf>
    <xf numFmtId="0" fontId="14" fillId="4" borderId="0" xfId="0" applyFont="1" applyFill="1"/>
    <xf numFmtId="43" fontId="19" fillId="0" borderId="0" xfId="1" applyFont="1"/>
    <xf numFmtId="14" fontId="0" fillId="0" borderId="0" xfId="0" applyNumberFormat="1"/>
    <xf numFmtId="4" fontId="19" fillId="0" borderId="0" xfId="0" applyNumberFormat="1" applyFont="1" applyFill="1"/>
    <xf numFmtId="43" fontId="0" fillId="5" borderId="0" xfId="1" applyFont="1" applyFill="1"/>
    <xf numFmtId="43" fontId="19" fillId="5" borderId="0" xfId="1" applyFont="1" applyFill="1"/>
    <xf numFmtId="43" fontId="0" fillId="0" borderId="0" xfId="0" applyNumberFormat="1"/>
    <xf numFmtId="3" fontId="0" fillId="0" borderId="0" xfId="0" applyNumberFormat="1"/>
    <xf numFmtId="43" fontId="19" fillId="0" borderId="0" xfId="1" applyFont="1" applyFill="1"/>
    <xf numFmtId="14" fontId="19" fillId="0" borderId="0" xfId="1" applyNumberFormat="1" applyFont="1" applyFill="1"/>
    <xf numFmtId="0" fontId="19" fillId="0" borderId="0" xfId="0" applyFont="1" applyBorder="1" applyAlignment="1">
      <alignment horizontal="center"/>
    </xf>
    <xf numFmtId="0" fontId="5" fillId="0" borderId="0" xfId="0" quotePrefix="1" applyFont="1" applyFill="1" applyBorder="1" applyAlignment="1">
      <alignment horizontal="left"/>
    </xf>
    <xf numFmtId="0" fontId="3" fillId="0" borderId="0" xfId="0" quotePrefix="1" applyFont="1" applyFill="1" applyBorder="1" applyAlignment="1">
      <alignment horizontal="left"/>
    </xf>
    <xf numFmtId="3" fontId="5" fillId="0" borderId="2" xfId="1" quotePrefix="1" applyNumberFormat="1" applyFont="1" applyFill="1" applyBorder="1" applyAlignment="1">
      <alignment horizontal="right"/>
    </xf>
    <xf numFmtId="3" fontId="3" fillId="0" borderId="2" xfId="1" quotePrefix="1" applyNumberFormat="1" applyFont="1" applyFill="1" applyBorder="1" applyAlignment="1">
      <alignment horizontal="right"/>
    </xf>
    <xf numFmtId="0" fontId="12" fillId="0" borderId="4" xfId="0" applyFont="1" applyBorder="1" applyAlignment="1">
      <alignment horizontal="center"/>
    </xf>
    <xf numFmtId="165" fontId="7" fillId="0" borderId="1" xfId="4" applyNumberFormat="1" applyFont="1" applyFill="1" applyBorder="1" applyAlignment="1">
      <alignment horizontal="right" vertical="top" wrapText="1" shrinkToFit="1"/>
    </xf>
    <xf numFmtId="165" fontId="7" fillId="0" borderId="1" xfId="4" applyNumberFormat="1" applyFont="1" applyFill="1" applyBorder="1" applyAlignment="1">
      <alignment horizontal="right" shrinkToFit="1"/>
    </xf>
    <xf numFmtId="43" fontId="19" fillId="0" borderId="4" xfId="1" applyFont="1" applyBorder="1"/>
    <xf numFmtId="14" fontId="0" fillId="0" borderId="2" xfId="1" applyNumberFormat="1" applyFont="1" applyBorder="1"/>
    <xf numFmtId="43" fontId="19" fillId="0" borderId="4" xfId="1" applyFont="1" applyBorder="1" applyAlignment="1">
      <alignment horizontal="center" wrapText="1"/>
    </xf>
    <xf numFmtId="166" fontId="0" fillId="0" borderId="2" xfId="1" applyNumberFormat="1" applyFont="1" applyBorder="1"/>
    <xf numFmtId="0" fontId="6" fillId="0" borderId="0" xfId="0" applyFont="1" applyFill="1" applyAlignment="1">
      <alignment wrapText="1"/>
    </xf>
    <xf numFmtId="170" fontId="12" fillId="0" borderId="0" xfId="1" applyNumberFormat="1" applyFont="1" applyFill="1" applyBorder="1" applyAlignment="1"/>
    <xf numFmtId="0" fontId="12" fillId="0" borderId="0" xfId="0" applyFont="1" applyAlignment="1">
      <alignment horizontal="center"/>
    </xf>
    <xf numFmtId="166" fontId="6" fillId="0" borderId="0" xfId="1" applyNumberFormat="1" applyFont="1" applyBorder="1"/>
    <xf numFmtId="166" fontId="12" fillId="0" borderId="0" xfId="1" applyNumberFormat="1" applyFont="1" applyBorder="1"/>
    <xf numFmtId="0" fontId="12" fillId="0" borderId="0" xfId="0" applyFont="1" applyBorder="1"/>
    <xf numFmtId="43" fontId="6" fillId="0" borderId="0" xfId="1" applyFont="1" applyBorder="1"/>
    <xf numFmtId="0" fontId="18" fillId="0" borderId="0" xfId="0" applyFont="1" applyBorder="1"/>
    <xf numFmtId="9" fontId="12" fillId="0" borderId="0" xfId="0" applyNumberFormat="1" applyFont="1" applyBorder="1"/>
    <xf numFmtId="43" fontId="12" fillId="0" borderId="0" xfId="0" applyNumberFormat="1" applyFont="1" applyBorder="1"/>
    <xf numFmtId="0" fontId="12" fillId="0" borderId="0" xfId="0" applyFont="1" applyBorder="1" applyAlignment="1">
      <alignment horizontal="center"/>
    </xf>
    <xf numFmtId="0" fontId="12" fillId="0" borderId="4" xfId="0" applyFont="1" applyBorder="1" applyAlignment="1">
      <alignment horizontal="center" wrapText="1"/>
    </xf>
    <xf numFmtId="0" fontId="12" fillId="0" borderId="0" xfId="0" applyFont="1" applyAlignment="1">
      <alignment horizontal="center" wrapText="1"/>
    </xf>
    <xf numFmtId="164" fontId="12" fillId="0" borderId="2" xfId="0" applyNumberFormat="1" applyFont="1" applyBorder="1"/>
    <xf numFmtId="3" fontId="12" fillId="0" borderId="2" xfId="0" applyNumberFormat="1" applyFont="1" applyBorder="1"/>
    <xf numFmtId="0" fontId="6" fillId="0" borderId="2" xfId="0" applyFont="1" applyBorder="1"/>
    <xf numFmtId="0" fontId="12" fillId="0" borderId="0" xfId="0" applyFont="1" applyAlignment="1">
      <alignment horizontal="left" vertical="center"/>
    </xf>
    <xf numFmtId="0" fontId="5" fillId="0" borderId="0" xfId="0" applyFont="1" applyFill="1" applyBorder="1"/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wrapText="1"/>
    </xf>
    <xf numFmtId="0" fontId="19" fillId="0" borderId="0" xfId="0" applyFont="1" applyBorder="1" applyAlignment="1">
      <alignment horizontal="center" wrapText="1"/>
    </xf>
    <xf numFmtId="164" fontId="12" fillId="0" borderId="0" xfId="0" applyNumberFormat="1" applyFont="1" applyBorder="1"/>
    <xf numFmtId="164" fontId="19" fillId="0" borderId="0" xfId="0" applyNumberFormat="1" applyFont="1" applyBorder="1"/>
    <xf numFmtId="3" fontId="12" fillId="0" borderId="0" xfId="0" applyNumberFormat="1" applyFont="1" applyBorder="1"/>
    <xf numFmtId="3" fontId="19" fillId="0" borderId="0" xfId="0" applyNumberFormat="1" applyFont="1" applyBorder="1"/>
    <xf numFmtId="0" fontId="3" fillId="0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12" fillId="0" borderId="18" xfId="0" applyFont="1" applyBorder="1" applyAlignment="1">
      <alignment horizontal="center"/>
    </xf>
    <xf numFmtId="0" fontId="6" fillId="0" borderId="18" xfId="0" applyFont="1" applyBorder="1"/>
    <xf numFmtId="164" fontId="3" fillId="0" borderId="18" xfId="2" applyNumberFormat="1" applyFont="1" applyFill="1" applyBorder="1" applyAlignment="1">
      <alignment horizontal="right"/>
    </xf>
    <xf numFmtId="43" fontId="11" fillId="2" borderId="0" xfId="1" applyFont="1" applyFill="1"/>
    <xf numFmtId="0" fontId="19" fillId="7" borderId="0" xfId="0" applyFont="1" applyFill="1" applyAlignment="1">
      <alignment horizontal="left"/>
    </xf>
    <xf numFmtId="0" fontId="19" fillId="7" borderId="0" xfId="0" applyFont="1" applyFill="1"/>
    <xf numFmtId="0" fontId="0" fillId="7" borderId="0" xfId="0" applyFill="1" applyAlignment="1">
      <alignment horizontal="left"/>
    </xf>
    <xf numFmtId="0" fontId="0" fillId="7" borderId="0" xfId="0" applyFill="1"/>
    <xf numFmtId="0" fontId="14" fillId="7" borderId="0" xfId="0" applyFont="1" applyFill="1" applyAlignment="1">
      <alignment horizontal="left"/>
    </xf>
    <xf numFmtId="0" fontId="14" fillId="7" borderId="0" xfId="0" applyFont="1" applyFill="1"/>
    <xf numFmtId="0" fontId="13" fillId="7" borderId="0" xfId="0" applyFont="1" applyFill="1" applyAlignment="1">
      <alignment horizontal="left"/>
    </xf>
    <xf numFmtId="0" fontId="13" fillId="7" borderId="0" xfId="0" applyFont="1" applyFill="1"/>
    <xf numFmtId="4" fontId="0" fillId="0" borderId="19" xfId="0" applyNumberFormat="1" applyBorder="1"/>
    <xf numFmtId="4" fontId="0" fillId="0" borderId="20" xfId="0" applyNumberFormat="1" applyBorder="1"/>
    <xf numFmtId="0" fontId="0" fillId="0" borderId="20" xfId="0" applyBorder="1"/>
    <xf numFmtId="1" fontId="19" fillId="0" borderId="10" xfId="0" applyNumberFormat="1" applyFont="1" applyBorder="1"/>
    <xf numFmtId="43" fontId="18" fillId="0" borderId="0" xfId="0" applyNumberFormat="1" applyFont="1"/>
    <xf numFmtId="8" fontId="18" fillId="0" borderId="0" xfId="0" applyNumberFormat="1" applyFont="1"/>
    <xf numFmtId="43" fontId="6" fillId="0" borderId="0" xfId="0" applyNumberFormat="1" applyFont="1"/>
    <xf numFmtId="0" fontId="12" fillId="0" borderId="0" xfId="0" applyFont="1" applyAlignment="1">
      <alignment horizontal="right"/>
    </xf>
    <xf numFmtId="0" fontId="3" fillId="0" borderId="0" xfId="0" applyFont="1" applyFill="1" applyAlignment="1">
      <alignment horizontal="center"/>
    </xf>
    <xf numFmtId="14" fontId="3" fillId="0" borderId="0" xfId="1" applyNumberFormat="1" applyFont="1" applyFill="1" applyBorder="1"/>
    <xf numFmtId="164" fontId="5" fillId="0" borderId="6" xfId="2" applyNumberFormat="1" applyFont="1" applyFill="1" applyBorder="1" applyAlignment="1">
      <alignment horizontal="right"/>
    </xf>
    <xf numFmtId="164" fontId="3" fillId="3" borderId="0" xfId="0" applyNumberFormat="1" applyFont="1" applyFill="1" applyBorder="1"/>
    <xf numFmtId="14" fontId="0" fillId="8" borderId="0" xfId="0" applyNumberFormat="1" applyFill="1"/>
    <xf numFmtId="0" fontId="0" fillId="8" borderId="0" xfId="0" applyFill="1"/>
    <xf numFmtId="4" fontId="0" fillId="8" borderId="0" xfId="0" applyNumberFormat="1" applyFill="1"/>
    <xf numFmtId="14" fontId="0" fillId="3" borderId="0" xfId="0" applyNumberFormat="1" applyFill="1"/>
    <xf numFmtId="4" fontId="0" fillId="3" borderId="0" xfId="0" applyNumberFormat="1" applyFill="1"/>
    <xf numFmtId="14" fontId="0" fillId="9" borderId="0" xfId="0" applyNumberFormat="1" applyFill="1"/>
    <xf numFmtId="0" fontId="0" fillId="9" borderId="0" xfId="0" applyFill="1"/>
    <xf numFmtId="4" fontId="0" fillId="9" borderId="0" xfId="0" applyNumberFormat="1" applyFill="1"/>
    <xf numFmtId="14" fontId="0" fillId="2" borderId="0" xfId="0" applyNumberFormat="1" applyFill="1"/>
    <xf numFmtId="0" fontId="0" fillId="2" borderId="0" xfId="0" applyFill="1"/>
    <xf numFmtId="4" fontId="0" fillId="2" borderId="0" xfId="0" applyNumberFormat="1" applyFill="1"/>
    <xf numFmtId="43" fontId="0" fillId="3" borderId="0" xfId="1" applyFont="1" applyFill="1"/>
    <xf numFmtId="0" fontId="3" fillId="0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14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/>
    <xf numFmtId="0" fontId="10" fillId="0" borderId="0" xfId="0" applyFont="1"/>
    <xf numFmtId="3" fontId="3" fillId="0" borderId="0" xfId="0" applyNumberFormat="1" applyFont="1"/>
    <xf numFmtId="4" fontId="3" fillId="0" borderId="0" xfId="0" applyNumberFormat="1" applyFont="1" applyAlignment="1">
      <alignment horizontal="center"/>
    </xf>
    <xf numFmtId="3" fontId="5" fillId="0" borderId="0" xfId="0" applyNumberFormat="1" applyFont="1"/>
    <xf numFmtId="164" fontId="0" fillId="0" borderId="0" xfId="0" applyNumberFormat="1"/>
    <xf numFmtId="3" fontId="5" fillId="0" borderId="1" xfId="1" applyNumberFormat="1" applyFont="1" applyFill="1" applyBorder="1"/>
    <xf numFmtId="0" fontId="3" fillId="0" borderId="0" xfId="0" quotePrefix="1" applyFont="1" applyAlignment="1">
      <alignment horizontal="left"/>
    </xf>
    <xf numFmtId="0" fontId="5" fillId="0" borderId="0" xfId="0" quotePrefix="1" applyFont="1" applyAlignment="1">
      <alignment horizontal="left"/>
    </xf>
    <xf numFmtId="4" fontId="3" fillId="3" borderId="0" xfId="0" applyNumberFormat="1" applyFont="1" applyFill="1"/>
    <xf numFmtId="43" fontId="3" fillId="0" borderId="0" xfId="1" applyFont="1"/>
    <xf numFmtId="43" fontId="5" fillId="0" borderId="0" xfId="1" applyFont="1"/>
    <xf numFmtId="43" fontId="5" fillId="0" borderId="0" xfId="1" applyFont="1" applyFill="1" applyBorder="1"/>
    <xf numFmtId="0" fontId="0" fillId="0" borderId="4" xfId="0" applyFill="1" applyBorder="1"/>
    <xf numFmtId="43" fontId="12" fillId="0" borderId="0" xfId="1" applyFont="1"/>
    <xf numFmtId="166" fontId="0" fillId="0" borderId="18" xfId="1" applyNumberFormat="1" applyFont="1" applyBorder="1"/>
    <xf numFmtId="0" fontId="19" fillId="0" borderId="21" xfId="0" applyFont="1" applyBorder="1" applyAlignment="1">
      <alignment horizontal="center"/>
    </xf>
    <xf numFmtId="0" fontId="19" fillId="0" borderId="22" xfId="0" applyFont="1" applyBorder="1" applyAlignment="1">
      <alignment horizontal="center"/>
    </xf>
    <xf numFmtId="0" fontId="19" fillId="0" borderId="23" xfId="0" applyFont="1" applyBorder="1" applyAlignment="1">
      <alignment horizontal="center"/>
    </xf>
    <xf numFmtId="0" fontId="0" fillId="0" borderId="24" xfId="0" applyBorder="1"/>
    <xf numFmtId="166" fontId="0" fillId="0" borderId="25" xfId="1" applyNumberFormat="1" applyFont="1" applyBorder="1"/>
    <xf numFmtId="0" fontId="19" fillId="0" borderId="26" xfId="0" applyFont="1" applyBorder="1" applyAlignment="1">
      <alignment horizontal="center"/>
    </xf>
    <xf numFmtId="166" fontId="19" fillId="0" borderId="27" xfId="1" applyNumberFormat="1" applyFont="1" applyBorder="1"/>
    <xf numFmtId="166" fontId="19" fillId="0" borderId="28" xfId="1" applyNumberFormat="1" applyFont="1" applyBorder="1"/>
    <xf numFmtId="0" fontId="0" fillId="0" borderId="21" xfId="0" applyBorder="1"/>
    <xf numFmtId="166" fontId="0" fillId="0" borderId="22" xfId="1" applyNumberFormat="1" applyFont="1" applyBorder="1"/>
    <xf numFmtId="164" fontId="0" fillId="0" borderId="23" xfId="1" applyNumberFormat="1" applyFont="1" applyBorder="1"/>
    <xf numFmtId="0" fontId="19" fillId="0" borderId="29" xfId="0" applyFont="1" applyBorder="1" applyAlignment="1">
      <alignment horizontal="center"/>
    </xf>
    <xf numFmtId="166" fontId="19" fillId="0" borderId="30" xfId="1" applyNumberFormat="1" applyFont="1" applyBorder="1"/>
    <xf numFmtId="166" fontId="19" fillId="0" borderId="31" xfId="1" applyNumberFormat="1" applyFont="1" applyBorder="1"/>
    <xf numFmtId="164" fontId="0" fillId="0" borderId="25" xfId="1" applyNumberFormat="1" applyFont="1" applyBorder="1"/>
    <xf numFmtId="3" fontId="3" fillId="0" borderId="0" xfId="0" applyNumberFormat="1" applyFont="1" applyFill="1"/>
    <xf numFmtId="0" fontId="5" fillId="0" borderId="0" xfId="0" applyFont="1" applyAlignment="1">
      <alignment wrapText="1"/>
    </xf>
    <xf numFmtId="164" fontId="3" fillId="0" borderId="0" xfId="0" applyNumberFormat="1" applyFont="1" applyFill="1" applyBorder="1" applyAlignment="1">
      <alignment horizontal="right"/>
    </xf>
    <xf numFmtId="164" fontId="3" fillId="0" borderId="0" xfId="0" applyNumberFormat="1" applyFont="1" applyFill="1" applyBorder="1" applyAlignment="1">
      <alignment horizontal="right" vertical="center"/>
    </xf>
    <xf numFmtId="0" fontId="18" fillId="0" borderId="0" xfId="0" applyFont="1" applyAlignment="1">
      <alignment horizontal="right"/>
    </xf>
    <xf numFmtId="164" fontId="5" fillId="0" borderId="0" xfId="1" applyNumberFormat="1" applyFont="1" applyFill="1" applyAlignment="1">
      <alignment horizontal="right"/>
    </xf>
    <xf numFmtId="0" fontId="12" fillId="0" borderId="0" xfId="0" applyFont="1" applyBorder="1" applyAlignment="1">
      <alignment wrapText="1"/>
    </xf>
    <xf numFmtId="14" fontId="12" fillId="0" borderId="0" xfId="0" applyNumberFormat="1" applyFont="1" applyBorder="1" applyAlignment="1">
      <alignment wrapText="1"/>
    </xf>
    <xf numFmtId="14" fontId="6" fillId="0" borderId="0" xfId="0" applyNumberFormat="1" applyFont="1" applyBorder="1" applyAlignment="1">
      <alignment wrapText="1"/>
    </xf>
    <xf numFmtId="164" fontId="3" fillId="0" borderId="0" xfId="1" applyNumberFormat="1" applyFont="1" applyFill="1" applyBorder="1" applyAlignment="1">
      <alignment wrapText="1"/>
    </xf>
    <xf numFmtId="164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/>
    <xf numFmtId="171" fontId="6" fillId="0" borderId="0" xfId="1" applyNumberFormat="1" applyFont="1" applyFill="1"/>
    <xf numFmtId="0" fontId="6" fillId="10" borderId="0" xfId="0" applyFont="1" applyFill="1" applyAlignment="1">
      <alignment horizontal="center" vertical="center"/>
    </xf>
    <xf numFmtId="0" fontId="6" fillId="10" borderId="0" xfId="0" applyFont="1" applyFill="1" applyAlignment="1">
      <alignment vertical="center"/>
    </xf>
    <xf numFmtId="0" fontId="7" fillId="10" borderId="1" xfId="0" applyFont="1" applyFill="1" applyBorder="1" applyAlignment="1">
      <alignment horizontal="right" vertical="center" wrapText="1"/>
    </xf>
    <xf numFmtId="0" fontId="12" fillId="10" borderId="20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center"/>
    </xf>
    <xf numFmtId="14" fontId="12" fillId="0" borderId="4" xfId="1" applyNumberFormat="1" applyFont="1" applyFill="1" applyBorder="1" applyAlignment="1">
      <alignment horizontal="center" vertical="center"/>
    </xf>
    <xf numFmtId="170" fontId="6" fillId="0" borderId="0" xfId="1" applyNumberFormat="1" applyFont="1" applyFill="1" applyBorder="1"/>
    <xf numFmtId="0" fontId="12" fillId="0" borderId="0" xfId="0" applyFont="1" applyFill="1" applyAlignment="1">
      <alignment wrapText="1"/>
    </xf>
    <xf numFmtId="170" fontId="12" fillId="0" borderId="0" xfId="0" applyNumberFormat="1" applyFont="1" applyFill="1"/>
    <xf numFmtId="170" fontId="12" fillId="0" borderId="0" xfId="1" applyNumberFormat="1" applyFont="1" applyFill="1"/>
    <xf numFmtId="0" fontId="12" fillId="0" borderId="0" xfId="0" applyFont="1" applyFill="1" applyBorder="1"/>
    <xf numFmtId="170" fontId="6" fillId="0" borderId="0" xfId="0" applyNumberFormat="1" applyFont="1" applyFill="1"/>
    <xf numFmtId="9" fontId="6" fillId="0" borderId="0" xfId="7" applyFont="1" applyFill="1"/>
    <xf numFmtId="0" fontId="12" fillId="10" borderId="0" xfId="0" applyFont="1" applyFill="1" applyAlignment="1">
      <alignment vertical="center"/>
    </xf>
    <xf numFmtId="0" fontId="12" fillId="10" borderId="0" xfId="0" applyFont="1" applyFill="1" applyBorder="1" applyAlignment="1">
      <alignment horizontal="right" vertical="center" wrapText="1"/>
    </xf>
    <xf numFmtId="170" fontId="12" fillId="0" borderId="0" xfId="1" applyNumberFormat="1" applyFont="1" applyFill="1" applyBorder="1"/>
    <xf numFmtId="170" fontId="12" fillId="0" borderId="0" xfId="0" applyNumberFormat="1" applyFont="1" applyFill="1" applyBorder="1"/>
    <xf numFmtId="9" fontId="12" fillId="10" borderId="0" xfId="0" applyNumberFormat="1" applyFont="1" applyFill="1" applyBorder="1" applyAlignment="1">
      <alignment horizontal="right" vertical="center" wrapText="1"/>
    </xf>
    <xf numFmtId="0" fontId="6" fillId="0" borderId="0" xfId="0" applyFont="1" applyFill="1" applyAlignment="1">
      <alignment horizontal="left" wrapText="1"/>
    </xf>
    <xf numFmtId="170" fontId="6" fillId="0" borderId="0" xfId="1" applyNumberFormat="1" applyFont="1" applyFill="1"/>
    <xf numFmtId="9" fontId="6" fillId="0" borderId="0" xfId="0" applyNumberFormat="1" applyFont="1" applyFill="1" applyBorder="1"/>
    <xf numFmtId="0" fontId="12" fillId="10" borderId="1" xfId="0" applyFont="1" applyFill="1" applyBorder="1" applyAlignment="1">
      <alignment horizontal="right" vertical="center" wrapText="1"/>
    </xf>
    <xf numFmtId="0" fontId="12" fillId="10" borderId="32" xfId="0" applyFont="1" applyFill="1" applyBorder="1" applyAlignment="1">
      <alignment horizontal="right" vertical="center" wrapText="1"/>
    </xf>
    <xf numFmtId="0" fontId="21" fillId="0" borderId="0" xfId="0" applyFont="1" applyAlignment="1">
      <alignment vertical="center"/>
    </xf>
    <xf numFmtId="170" fontId="6" fillId="0" borderId="0" xfId="7" applyNumberFormat="1" applyFont="1" applyFill="1"/>
    <xf numFmtId="0" fontId="12" fillId="0" borderId="0" xfId="0" applyFont="1" applyFill="1" applyAlignment="1">
      <alignment horizontal="left" wrapText="1"/>
    </xf>
    <xf numFmtId="170" fontId="12" fillId="0" borderId="3" xfId="1" applyNumberFormat="1" applyFont="1" applyFill="1" applyBorder="1"/>
    <xf numFmtId="166" fontId="12" fillId="0" borderId="0" xfId="1" applyNumberFormat="1" applyFont="1" applyFill="1"/>
    <xf numFmtId="10" fontId="12" fillId="0" borderId="3" xfId="7" applyNumberFormat="1" applyFont="1" applyFill="1" applyBorder="1"/>
    <xf numFmtId="8" fontId="6" fillId="0" borderId="0" xfId="0" applyNumberFormat="1" applyFont="1" applyFill="1"/>
    <xf numFmtId="171" fontId="6" fillId="10" borderId="0" xfId="0" applyNumberFormat="1" applyFont="1" applyFill="1" applyBorder="1" applyAlignment="1">
      <alignment horizontal="right" vertical="center" wrapText="1"/>
    </xf>
    <xf numFmtId="0" fontId="6" fillId="0" borderId="17" xfId="0" applyFont="1" applyFill="1" applyBorder="1"/>
    <xf numFmtId="0" fontId="7" fillId="10" borderId="32" xfId="0" applyFont="1" applyFill="1" applyBorder="1" applyAlignment="1">
      <alignment horizontal="right" vertical="center" wrapText="1"/>
    </xf>
    <xf numFmtId="171" fontId="6" fillId="10" borderId="17" xfId="0" applyNumberFormat="1" applyFont="1" applyFill="1" applyBorder="1" applyAlignment="1">
      <alignment horizontal="right" vertical="center" wrapText="1"/>
    </xf>
    <xf numFmtId="0" fontId="12" fillId="10" borderId="17" xfId="0" applyFont="1" applyFill="1" applyBorder="1" applyAlignment="1">
      <alignment horizontal="right" vertical="center" wrapText="1"/>
    </xf>
    <xf numFmtId="170" fontId="6" fillId="10" borderId="5" xfId="0" applyNumberFormat="1" applyFont="1" applyFill="1" applyBorder="1" applyAlignment="1">
      <alignment horizontal="right" vertical="center" wrapText="1"/>
    </xf>
    <xf numFmtId="170" fontId="6" fillId="10" borderId="33" xfId="0" applyNumberFormat="1" applyFont="1" applyFill="1" applyBorder="1" applyAlignment="1">
      <alignment horizontal="right" vertical="center" wrapText="1"/>
    </xf>
    <xf numFmtId="170" fontId="6" fillId="10" borderId="0" xfId="0" applyNumberFormat="1" applyFont="1" applyFill="1" applyBorder="1" applyAlignment="1">
      <alignment horizontal="right" vertical="center" wrapText="1"/>
    </xf>
    <xf numFmtId="170" fontId="6" fillId="10" borderId="17" xfId="0" applyNumberFormat="1" applyFont="1" applyFill="1" applyBorder="1" applyAlignment="1">
      <alignment horizontal="right" vertical="center" wrapText="1"/>
    </xf>
    <xf numFmtId="170" fontId="6" fillId="10" borderId="1" xfId="0" applyNumberFormat="1" applyFont="1" applyFill="1" applyBorder="1" applyAlignment="1">
      <alignment horizontal="right" vertical="center" wrapText="1"/>
    </xf>
    <xf numFmtId="170" fontId="6" fillId="10" borderId="32" xfId="0" applyNumberFormat="1" applyFont="1" applyFill="1" applyBorder="1" applyAlignment="1">
      <alignment horizontal="right" vertical="center" wrapText="1"/>
    </xf>
    <xf numFmtId="170" fontId="12" fillId="10" borderId="0" xfId="0" applyNumberFormat="1" applyFont="1" applyFill="1" applyBorder="1" applyAlignment="1">
      <alignment horizontal="right" vertical="center" wrapText="1"/>
    </xf>
    <xf numFmtId="170" fontId="12" fillId="10" borderId="17" xfId="0" applyNumberFormat="1" applyFont="1" applyFill="1" applyBorder="1" applyAlignment="1">
      <alignment horizontal="right" vertical="center" wrapText="1"/>
    </xf>
    <xf numFmtId="170" fontId="12" fillId="10" borderId="1" xfId="0" applyNumberFormat="1" applyFont="1" applyFill="1" applyBorder="1" applyAlignment="1">
      <alignment horizontal="right" vertical="center" wrapText="1"/>
    </xf>
    <xf numFmtId="170" fontId="12" fillId="10" borderId="32" xfId="0" applyNumberFormat="1" applyFont="1" applyFill="1" applyBorder="1" applyAlignment="1">
      <alignment horizontal="right" vertical="center" wrapText="1"/>
    </xf>
    <xf numFmtId="164" fontId="5" fillId="0" borderId="1" xfId="1" applyNumberFormat="1" applyFont="1" applyFill="1" applyBorder="1" applyAlignment="1">
      <alignment horizontal="right"/>
    </xf>
    <xf numFmtId="164" fontId="5" fillId="0" borderId="1" xfId="0" applyNumberFormat="1" applyFont="1" applyFill="1" applyBorder="1" applyAlignment="1">
      <alignment horizontal="right"/>
    </xf>
    <xf numFmtId="164" fontId="5" fillId="0" borderId="1" xfId="0" applyNumberFormat="1" applyFont="1" applyFill="1" applyBorder="1" applyAlignment="1">
      <alignment horizontal="right" vertical="center"/>
    </xf>
    <xf numFmtId="164" fontId="3" fillId="0" borderId="1" xfId="1" applyNumberFormat="1" applyFont="1" applyFill="1" applyBorder="1" applyAlignment="1">
      <alignment horizontal="right"/>
    </xf>
    <xf numFmtId="164" fontId="3" fillId="0" borderId="1" xfId="0" applyNumberFormat="1" applyFont="1" applyFill="1" applyBorder="1" applyAlignment="1">
      <alignment horizontal="right"/>
    </xf>
    <xf numFmtId="164" fontId="3" fillId="0" borderId="1" xfId="0" applyNumberFormat="1" applyFont="1" applyFill="1" applyBorder="1" applyAlignment="1">
      <alignment horizontal="right" vertical="center"/>
    </xf>
    <xf numFmtId="0" fontId="6" fillId="0" borderId="1" xfId="0" applyFont="1" applyBorder="1" applyAlignment="1">
      <alignment wrapText="1"/>
    </xf>
    <xf numFmtId="14" fontId="12" fillId="0" borderId="1" xfId="0" applyNumberFormat="1" applyFont="1" applyBorder="1" applyAlignment="1">
      <alignment wrapText="1"/>
    </xf>
    <xf numFmtId="164" fontId="5" fillId="0" borderId="1" xfId="1" applyNumberFormat="1" applyFont="1" applyFill="1" applyBorder="1" applyAlignment="1">
      <alignment wrapText="1"/>
    </xf>
    <xf numFmtId="0" fontId="12" fillId="0" borderId="1" xfId="0" applyFont="1" applyBorder="1" applyAlignment="1">
      <alignment wrapText="1"/>
    </xf>
    <xf numFmtId="14" fontId="6" fillId="0" borderId="1" xfId="0" applyNumberFormat="1" applyFont="1" applyBorder="1" applyAlignment="1">
      <alignment wrapText="1"/>
    </xf>
    <xf numFmtId="164" fontId="3" fillId="0" borderId="1" xfId="1" applyNumberFormat="1" applyFont="1" applyFill="1" applyBorder="1" applyAlignment="1">
      <alignment wrapText="1"/>
    </xf>
    <xf numFmtId="0" fontId="12" fillId="0" borderId="0" xfId="0" applyFont="1" applyFill="1" applyAlignment="1">
      <alignment horizontal="left" wrapText="1"/>
    </xf>
    <xf numFmtId="0" fontId="22" fillId="0" borderId="0" xfId="0" applyFont="1" applyFill="1" applyAlignment="1">
      <alignment horizontal="left"/>
    </xf>
    <xf numFmtId="8" fontId="22" fillId="0" borderId="0" xfId="0" applyNumberFormat="1" applyFont="1" applyFill="1" applyAlignment="1">
      <alignment horizontal="left"/>
    </xf>
    <xf numFmtId="43" fontId="22" fillId="0" borderId="0" xfId="1" applyFont="1" applyFill="1" applyAlignment="1">
      <alignment horizontal="left"/>
    </xf>
    <xf numFmtId="0" fontId="23" fillId="0" borderId="0" xfId="0" applyFont="1" applyFill="1" applyAlignment="1"/>
    <xf numFmtId="8" fontId="23" fillId="0" borderId="0" xfId="0" applyNumberFormat="1" applyFont="1" applyFill="1" applyAlignment="1"/>
    <xf numFmtId="0" fontId="23" fillId="0" borderId="0" xfId="0" applyFont="1" applyFill="1" applyAlignment="1">
      <alignment vertical="center"/>
    </xf>
    <xf numFmtId="0" fontId="24" fillId="0" borderId="0" xfId="0" applyFont="1"/>
    <xf numFmtId="0" fontId="23" fillId="0" borderId="4" xfId="0" applyFont="1" applyFill="1" applyBorder="1" applyAlignment="1"/>
    <xf numFmtId="43" fontId="24" fillId="0" borderId="0" xfId="1" applyFont="1"/>
    <xf numFmtId="0" fontId="26" fillId="5" borderId="18" xfId="0" applyFont="1" applyFill="1" applyBorder="1" applyAlignment="1">
      <alignment horizontal="center" wrapText="1"/>
    </xf>
    <xf numFmtId="0" fontId="26" fillId="5" borderId="18" xfId="0" applyFont="1" applyFill="1" applyBorder="1" applyAlignment="1">
      <alignment horizontal="center"/>
    </xf>
    <xf numFmtId="8" fontId="26" fillId="5" borderId="18" xfId="0" applyNumberFormat="1" applyFont="1" applyFill="1" applyBorder="1" applyAlignment="1">
      <alignment horizontal="center"/>
    </xf>
    <xf numFmtId="43" fontId="26" fillId="0" borderId="0" xfId="1" applyFont="1" applyFill="1"/>
    <xf numFmtId="0" fontId="26" fillId="0" borderId="0" xfId="0" applyFont="1" applyFill="1"/>
    <xf numFmtId="0" fontId="24" fillId="0" borderId="18" xfId="0" applyFont="1" applyFill="1" applyBorder="1" applyAlignment="1">
      <alignment horizontal="center"/>
    </xf>
    <xf numFmtId="0" fontId="24" fillId="0" borderId="18" xfId="0" applyFont="1" applyFill="1" applyBorder="1"/>
    <xf numFmtId="172" fontId="24" fillId="0" borderId="18" xfId="0" applyNumberFormat="1" applyFont="1" applyFill="1" applyBorder="1"/>
    <xf numFmtId="43" fontId="24" fillId="0" borderId="18" xfId="0" applyNumberFormat="1" applyFont="1" applyFill="1" applyBorder="1"/>
    <xf numFmtId="8" fontId="24" fillId="0" borderId="18" xfId="0" applyNumberFormat="1" applyFont="1" applyFill="1" applyBorder="1"/>
    <xf numFmtId="44" fontId="24" fillId="0" borderId="18" xfId="8" applyFont="1" applyFill="1" applyBorder="1"/>
    <xf numFmtId="43" fontId="24" fillId="0" borderId="0" xfId="1" applyFont="1" applyFill="1"/>
    <xf numFmtId="0" fontId="24" fillId="0" borderId="0" xfId="0" applyFont="1" applyFill="1"/>
    <xf numFmtId="0" fontId="24" fillId="2" borderId="30" xfId="0" applyFont="1" applyFill="1" applyBorder="1" applyAlignment="1">
      <alignment vertical="center" wrapText="1"/>
    </xf>
    <xf numFmtId="0" fontId="24" fillId="0" borderId="30" xfId="0" applyFont="1" applyFill="1" applyBorder="1" applyAlignment="1">
      <alignment horizontal="center"/>
    </xf>
    <xf numFmtId="0" fontId="24" fillId="0" borderId="30" xfId="0" applyFont="1" applyFill="1" applyBorder="1"/>
    <xf numFmtId="172" fontId="24" fillId="0" borderId="30" xfId="0" applyNumberFormat="1" applyFont="1" applyFill="1" applyBorder="1"/>
    <xf numFmtId="8" fontId="26" fillId="0" borderId="35" xfId="0" applyNumberFormat="1" applyFont="1" applyFill="1" applyBorder="1"/>
    <xf numFmtId="8" fontId="27" fillId="0" borderId="35" xfId="0" applyNumberFormat="1" applyFont="1" applyFill="1" applyBorder="1"/>
    <xf numFmtId="172" fontId="27" fillId="0" borderId="35" xfId="0" applyNumberFormat="1" applyFont="1" applyFill="1" applyBorder="1"/>
    <xf numFmtId="43" fontId="26" fillId="0" borderId="35" xfId="0" applyNumberFormat="1" applyFont="1" applyFill="1" applyBorder="1"/>
    <xf numFmtId="0" fontId="24" fillId="2" borderId="34" xfId="0" applyFont="1" applyFill="1" applyBorder="1" applyAlignment="1">
      <alignment vertical="center" wrapText="1"/>
    </xf>
    <xf numFmtId="0" fontId="24" fillId="0" borderId="34" xfId="0" applyFont="1" applyFill="1" applyBorder="1" applyAlignment="1">
      <alignment horizontal="center"/>
    </xf>
    <xf numFmtId="0" fontId="24" fillId="0" borderId="34" xfId="0" applyFont="1" applyFill="1" applyBorder="1"/>
    <xf numFmtId="43" fontId="24" fillId="0" borderId="34" xfId="0" applyNumberFormat="1" applyFont="1" applyFill="1" applyBorder="1"/>
    <xf numFmtId="8" fontId="26" fillId="5" borderId="35" xfId="1" applyNumberFormat="1" applyFont="1" applyFill="1" applyBorder="1" applyAlignment="1">
      <alignment horizontal="right"/>
    </xf>
    <xf numFmtId="172" fontId="27" fillId="5" borderId="35" xfId="1" applyNumberFormat="1" applyFont="1" applyFill="1" applyBorder="1" applyAlignment="1">
      <alignment horizontal="right"/>
    </xf>
    <xf numFmtId="43" fontId="26" fillId="5" borderId="35" xfId="1" applyNumberFormat="1" applyFont="1" applyFill="1" applyBorder="1" applyAlignment="1">
      <alignment horizontal="right"/>
    </xf>
    <xf numFmtId="0" fontId="26" fillId="11" borderId="10" xfId="0" applyFont="1" applyFill="1" applyBorder="1" applyAlignment="1">
      <alignment vertical="center"/>
    </xf>
    <xf numFmtId="43" fontId="24" fillId="0" borderId="0" xfId="1" applyFont="1" applyAlignment="1">
      <alignment vertical="center"/>
    </xf>
    <xf numFmtId="0" fontId="24" fillId="0" borderId="0" xfId="0" applyFont="1" applyAlignment="1">
      <alignment vertical="center"/>
    </xf>
    <xf numFmtId="1" fontId="28" fillId="0" borderId="18" xfId="0" applyNumberFormat="1" applyFont="1" applyFill="1" applyBorder="1" applyAlignment="1">
      <alignment horizontal="center"/>
    </xf>
    <xf numFmtId="0" fontId="24" fillId="0" borderId="18" xfId="0" applyFont="1" applyFill="1" applyBorder="1" applyAlignment="1">
      <alignment vertical="center"/>
    </xf>
    <xf numFmtId="43" fontId="24" fillId="0" borderId="0" xfId="1" applyFont="1" applyFill="1" applyAlignment="1">
      <alignment vertical="center"/>
    </xf>
    <xf numFmtId="0" fontId="24" fillId="0" borderId="0" xfId="0" applyFont="1" applyFill="1" applyAlignment="1">
      <alignment vertical="center"/>
    </xf>
    <xf numFmtId="43" fontId="24" fillId="0" borderId="0" xfId="0" applyNumberFormat="1" applyFont="1" applyFill="1"/>
    <xf numFmtId="173" fontId="26" fillId="11" borderId="10" xfId="1" applyNumberFormat="1" applyFont="1" applyFill="1" applyBorder="1" applyAlignment="1">
      <alignment vertical="center"/>
    </xf>
    <xf numFmtId="43" fontId="24" fillId="0" borderId="0" xfId="0" applyNumberFormat="1" applyFont="1" applyAlignment="1">
      <alignment vertical="center"/>
    </xf>
    <xf numFmtId="0" fontId="26" fillId="12" borderId="10" xfId="0" applyFont="1" applyFill="1" applyBorder="1" applyAlignment="1">
      <alignment vertical="center"/>
    </xf>
    <xf numFmtId="0" fontId="26" fillId="12" borderId="35" xfId="0" applyFont="1" applyFill="1" applyBorder="1" applyAlignment="1">
      <alignment vertical="center"/>
    </xf>
    <xf numFmtId="1" fontId="28" fillId="0" borderId="18" xfId="0" applyNumberFormat="1" applyFont="1" applyBorder="1" applyAlignment="1">
      <alignment horizontal="center"/>
    </xf>
    <xf numFmtId="0" fontId="24" fillId="0" borderId="18" xfId="0" applyFont="1" applyBorder="1"/>
    <xf numFmtId="8" fontId="24" fillId="2" borderId="34" xfId="1" applyNumberFormat="1" applyFont="1" applyFill="1" applyBorder="1"/>
    <xf numFmtId="8" fontId="24" fillId="2" borderId="37" xfId="1" applyNumberFormat="1" applyFont="1" applyFill="1" applyBorder="1"/>
    <xf numFmtId="43" fontId="24" fillId="2" borderId="34" xfId="1" applyNumberFormat="1" applyFont="1" applyFill="1" applyBorder="1"/>
    <xf numFmtId="43" fontId="22" fillId="0" borderId="0" xfId="1" applyFont="1"/>
    <xf numFmtId="0" fontId="22" fillId="0" borderId="0" xfId="0" applyFont="1"/>
    <xf numFmtId="1" fontId="28" fillId="0" borderId="30" xfId="0" applyNumberFormat="1" applyFont="1" applyBorder="1" applyAlignment="1">
      <alignment horizontal="center"/>
    </xf>
    <xf numFmtId="0" fontId="24" fillId="0" borderId="30" xfId="0" applyFont="1" applyBorder="1"/>
    <xf numFmtId="8" fontId="24" fillId="2" borderId="18" xfId="1" applyNumberFormat="1" applyFont="1" applyFill="1" applyBorder="1"/>
    <xf numFmtId="172" fontId="24" fillId="2" borderId="18" xfId="1" applyNumberFormat="1" applyFont="1" applyFill="1" applyBorder="1"/>
    <xf numFmtId="43" fontId="24" fillId="2" borderId="18" xfId="1" applyNumberFormat="1" applyFont="1" applyFill="1" applyBorder="1"/>
    <xf numFmtId="8" fontId="24" fillId="0" borderId="36" xfId="1" applyNumberFormat="1" applyFont="1" applyFill="1" applyBorder="1"/>
    <xf numFmtId="8" fontId="24" fillId="2" borderId="36" xfId="1" applyNumberFormat="1" applyFont="1" applyFill="1" applyBorder="1"/>
    <xf numFmtId="43" fontId="24" fillId="2" borderId="36" xfId="1" applyNumberFormat="1" applyFont="1" applyFill="1" applyBorder="1"/>
    <xf numFmtId="0" fontId="24" fillId="0" borderId="0" xfId="0" applyFont="1" applyFill="1" applyBorder="1" applyAlignment="1">
      <alignment horizontal="center" vertical="center" wrapText="1"/>
    </xf>
    <xf numFmtId="8" fontId="26" fillId="12" borderId="38" xfId="1" applyNumberFormat="1" applyFont="1" applyFill="1" applyBorder="1"/>
    <xf numFmtId="8" fontId="26" fillId="12" borderId="16" xfId="1" applyNumberFormat="1" applyFont="1" applyFill="1" applyBorder="1"/>
    <xf numFmtId="43" fontId="26" fillId="12" borderId="16" xfId="1" applyNumberFormat="1" applyFont="1" applyFill="1" applyBorder="1"/>
    <xf numFmtId="8" fontId="24" fillId="12" borderId="11" xfId="1" applyNumberFormat="1" applyFont="1" applyFill="1" applyBorder="1"/>
    <xf numFmtId="8" fontId="24" fillId="12" borderId="38" xfId="1" applyNumberFormat="1" applyFont="1" applyFill="1" applyBorder="1"/>
    <xf numFmtId="43" fontId="24" fillId="12" borderId="38" xfId="1" applyNumberFormat="1" applyFont="1" applyFill="1" applyBorder="1"/>
    <xf numFmtId="0" fontId="27" fillId="0" borderId="18" xfId="0" applyFont="1" applyBorder="1"/>
    <xf numFmtId="0" fontId="26" fillId="0" borderId="18" xfId="0" applyFont="1" applyBorder="1"/>
    <xf numFmtId="8" fontId="27" fillId="2" borderId="34" xfId="1" applyNumberFormat="1" applyFont="1" applyFill="1" applyBorder="1"/>
    <xf numFmtId="172" fontId="27" fillId="2" borderId="37" xfId="1" applyNumberFormat="1" applyFont="1" applyFill="1" applyBorder="1"/>
    <xf numFmtId="8" fontId="27" fillId="2" borderId="18" xfId="1" applyNumberFormat="1" applyFont="1" applyFill="1" applyBorder="1"/>
    <xf numFmtId="43" fontId="27" fillId="2" borderId="39" xfId="1" applyNumberFormat="1" applyFont="1" applyFill="1" applyBorder="1"/>
    <xf numFmtId="43" fontId="27" fillId="2" borderId="34" xfId="1" applyNumberFormat="1" applyFont="1" applyFill="1" applyBorder="1"/>
    <xf numFmtId="8" fontId="27" fillId="2" borderId="37" xfId="1" applyNumberFormat="1" applyFont="1" applyFill="1" applyBorder="1"/>
    <xf numFmtId="8" fontId="24" fillId="0" borderId="18" xfId="0" applyNumberFormat="1" applyFont="1" applyBorder="1"/>
    <xf numFmtId="8" fontId="24" fillId="0" borderId="40" xfId="0" applyNumberFormat="1" applyFont="1" applyBorder="1"/>
    <xf numFmtId="8" fontId="24" fillId="0" borderId="41" xfId="0" applyNumberFormat="1" applyFont="1" applyBorder="1"/>
    <xf numFmtId="8" fontId="24" fillId="0" borderId="0" xfId="1" applyNumberFormat="1" applyFont="1"/>
    <xf numFmtId="8" fontId="26" fillId="0" borderId="18" xfId="1" applyNumberFormat="1" applyFont="1" applyBorder="1"/>
    <xf numFmtId="8" fontId="26" fillId="0" borderId="40" xfId="1" applyNumberFormat="1" applyFont="1" applyBorder="1"/>
    <xf numFmtId="43" fontId="26" fillId="0" borderId="18" xfId="1" applyNumberFormat="1" applyFont="1" applyBorder="1"/>
    <xf numFmtId="8" fontId="26" fillId="5" borderId="19" xfId="1" applyNumberFormat="1" applyFont="1" applyFill="1" applyBorder="1" applyAlignment="1">
      <alignment horizontal="right"/>
    </xf>
    <xf numFmtId="8" fontId="26" fillId="5" borderId="18" xfId="1" applyNumberFormat="1" applyFont="1" applyFill="1" applyBorder="1" applyAlignment="1">
      <alignment horizontal="right"/>
    </xf>
    <xf numFmtId="8" fontId="26" fillId="5" borderId="10" xfId="1" applyNumberFormat="1" applyFont="1" applyFill="1" applyBorder="1" applyAlignment="1">
      <alignment horizontal="right"/>
    </xf>
    <xf numFmtId="8" fontId="29" fillId="0" borderId="0" xfId="1" applyNumberFormat="1" applyFont="1" applyFill="1"/>
    <xf numFmtId="43" fontId="24" fillId="0" borderId="18" xfId="1" applyFont="1" applyBorder="1"/>
    <xf numFmtId="8" fontId="24" fillId="0" borderId="18" xfId="1" applyNumberFormat="1" applyFont="1" applyBorder="1"/>
    <xf numFmtId="8" fontId="24" fillId="0" borderId="40" xfId="1" applyNumberFormat="1" applyFont="1" applyBorder="1"/>
    <xf numFmtId="8" fontId="24" fillId="0" borderId="41" xfId="1" applyNumberFormat="1" applyFont="1" applyBorder="1"/>
    <xf numFmtId="43" fontId="24" fillId="0" borderId="30" xfId="1" applyFont="1" applyBorder="1"/>
    <xf numFmtId="0" fontId="26" fillId="13" borderId="0" xfId="0" applyFont="1" applyFill="1" applyBorder="1" applyAlignment="1">
      <alignment horizontal="center" wrapText="1"/>
    </xf>
    <xf numFmtId="0" fontId="24" fillId="13" borderId="0" xfId="0" applyFont="1" applyFill="1" applyBorder="1" applyAlignment="1"/>
    <xf numFmtId="8" fontId="26" fillId="13" borderId="6" xfId="0" applyNumberFormat="1" applyFont="1" applyFill="1" applyBorder="1" applyAlignment="1"/>
    <xf numFmtId="0" fontId="26" fillId="13" borderId="4" xfId="0" applyFont="1" applyFill="1" applyBorder="1" applyAlignment="1">
      <alignment horizontal="center" wrapText="1"/>
    </xf>
    <xf numFmtId="0" fontId="24" fillId="13" borderId="4" xfId="0" applyFont="1" applyFill="1" applyBorder="1" applyAlignment="1"/>
    <xf numFmtId="8" fontId="26" fillId="13" borderId="4" xfId="0" applyNumberFormat="1" applyFont="1" applyFill="1" applyBorder="1" applyAlignment="1"/>
    <xf numFmtId="0" fontId="26" fillId="0" borderId="18" xfId="0" applyFont="1" applyFill="1" applyBorder="1" applyAlignment="1">
      <alignment horizontal="center"/>
    </xf>
    <xf numFmtId="8" fontId="24" fillId="0" borderId="18" xfId="1" applyNumberFormat="1" applyFont="1" applyFill="1" applyBorder="1" applyAlignment="1">
      <alignment horizontal="right"/>
    </xf>
    <xf numFmtId="8" fontId="26" fillId="3" borderId="18" xfId="1" applyNumberFormat="1" applyFont="1" applyFill="1" applyBorder="1" applyAlignment="1">
      <alignment horizontal="right"/>
    </xf>
    <xf numFmtId="43" fontId="26" fillId="3" borderId="18" xfId="1" applyNumberFormat="1" applyFont="1" applyFill="1" applyBorder="1" applyAlignment="1">
      <alignment horizontal="right"/>
    </xf>
    <xf numFmtId="44" fontId="26" fillId="3" borderId="18" xfId="1" applyNumberFormat="1" applyFont="1" applyFill="1" applyBorder="1" applyAlignment="1">
      <alignment horizontal="right"/>
    </xf>
    <xf numFmtId="0" fontId="24" fillId="0" borderId="36" xfId="0" applyFont="1" applyFill="1" applyBorder="1" applyAlignment="1">
      <alignment horizontal="center"/>
    </xf>
    <xf numFmtId="0" fontId="24" fillId="0" borderId="36" xfId="0" applyFont="1" applyFill="1" applyBorder="1"/>
    <xf numFmtId="172" fontId="24" fillId="0" borderId="30" xfId="1" applyNumberFormat="1" applyFont="1" applyFill="1" applyBorder="1" applyAlignment="1">
      <alignment horizontal="right"/>
    </xf>
    <xf numFmtId="43" fontId="24" fillId="0" borderId="30" xfId="1" applyNumberFormat="1" applyFont="1" applyFill="1" applyBorder="1" applyAlignment="1">
      <alignment horizontal="right"/>
    </xf>
    <xf numFmtId="8" fontId="24" fillId="0" borderId="30" xfId="1" applyNumberFormat="1" applyFont="1" applyFill="1" applyBorder="1" applyAlignment="1">
      <alignment horizontal="right"/>
    </xf>
    <xf numFmtId="44" fontId="26" fillId="5" borderId="35" xfId="1" applyNumberFormat="1" applyFont="1" applyFill="1" applyBorder="1" applyAlignment="1">
      <alignment horizontal="right"/>
    </xf>
    <xf numFmtId="8" fontId="24" fillId="0" borderId="0" xfId="1" applyNumberFormat="1" applyFont="1" applyFill="1"/>
    <xf numFmtId="1" fontId="28" fillId="0" borderId="34" xfId="0" applyNumberFormat="1" applyFont="1" applyBorder="1" applyAlignment="1">
      <alignment horizontal="center"/>
    </xf>
    <xf numFmtId="0" fontId="24" fillId="0" borderId="34" xfId="0" applyFont="1" applyFill="1" applyBorder="1" applyAlignment="1">
      <alignment vertical="center"/>
    </xf>
    <xf numFmtId="8" fontId="24" fillId="0" borderId="34" xfId="0" applyNumberFormat="1" applyFont="1" applyBorder="1"/>
    <xf numFmtId="43" fontId="24" fillId="0" borderId="18" xfId="0" applyNumberFormat="1" applyFont="1" applyBorder="1"/>
    <xf numFmtId="43" fontId="24" fillId="0" borderId="18" xfId="0" applyNumberFormat="1" applyFont="1" applyBorder="1" applyAlignment="1">
      <alignment horizontal="right"/>
    </xf>
    <xf numFmtId="43" fontId="24" fillId="0" borderId="34" xfId="0" applyNumberFormat="1" applyFont="1" applyBorder="1"/>
    <xf numFmtId="0" fontId="24" fillId="0" borderId="0" xfId="0" applyFont="1" applyFill="1" applyBorder="1" applyAlignment="1">
      <alignment horizontal="center" vertical="center"/>
    </xf>
    <xf numFmtId="1" fontId="28" fillId="2" borderId="18" xfId="0" applyNumberFormat="1" applyFont="1" applyFill="1" applyBorder="1" applyAlignment="1">
      <alignment horizontal="center"/>
    </xf>
    <xf numFmtId="0" fontId="24" fillId="2" borderId="18" xfId="0" applyFont="1" applyFill="1" applyBorder="1" applyAlignment="1">
      <alignment vertical="center"/>
    </xf>
    <xf numFmtId="8" fontId="24" fillId="2" borderId="18" xfId="0" applyNumberFormat="1" applyFont="1" applyFill="1" applyBorder="1"/>
    <xf numFmtId="8" fontId="22" fillId="2" borderId="18" xfId="0" applyNumberFormat="1" applyFont="1" applyFill="1" applyBorder="1"/>
    <xf numFmtId="8" fontId="22" fillId="0" borderId="18" xfId="0" applyNumberFormat="1" applyFont="1" applyFill="1" applyBorder="1"/>
    <xf numFmtId="8" fontId="26" fillId="11" borderId="35" xfId="1" applyNumberFormat="1" applyFont="1" applyFill="1" applyBorder="1"/>
    <xf numFmtId="8" fontId="24" fillId="11" borderId="35" xfId="1" applyNumberFormat="1" applyFont="1" applyFill="1" applyBorder="1"/>
    <xf numFmtId="8" fontId="24" fillId="0" borderId="0" xfId="1" applyNumberFormat="1" applyFont="1" applyAlignment="1">
      <alignment vertical="center"/>
    </xf>
    <xf numFmtId="8" fontId="24" fillId="0" borderId="0" xfId="0" applyNumberFormat="1" applyFont="1" applyAlignment="1">
      <alignment vertical="center"/>
    </xf>
    <xf numFmtId="0" fontId="26" fillId="12" borderId="13" xfId="0" applyFont="1" applyFill="1" applyBorder="1" applyAlignment="1">
      <alignment vertical="center"/>
    </xf>
    <xf numFmtId="1" fontId="28" fillId="2" borderId="34" xfId="0" applyNumberFormat="1" applyFont="1" applyFill="1" applyBorder="1" applyAlignment="1">
      <alignment horizontal="center"/>
    </xf>
    <xf numFmtId="0" fontId="24" fillId="2" borderId="34" xfId="0" applyFont="1" applyFill="1" applyBorder="1"/>
    <xf numFmtId="1" fontId="28" fillId="2" borderId="30" xfId="0" applyNumberFormat="1" applyFont="1" applyFill="1" applyBorder="1" applyAlignment="1">
      <alignment horizontal="center"/>
    </xf>
    <xf numFmtId="0" fontId="24" fillId="2" borderId="0" xfId="0" applyFont="1" applyFill="1"/>
    <xf numFmtId="172" fontId="24" fillId="0" borderId="18" xfId="0" applyNumberFormat="1" applyFont="1" applyBorder="1"/>
    <xf numFmtId="43" fontId="24" fillId="0" borderId="41" xfId="0" applyNumberFormat="1" applyFont="1" applyBorder="1"/>
    <xf numFmtId="0" fontId="24" fillId="2" borderId="0" xfId="0" applyFont="1" applyFill="1" applyBorder="1" applyAlignment="1">
      <alignment horizontal="center" vertical="center" wrapText="1"/>
    </xf>
    <xf numFmtId="172" fontId="24" fillId="2" borderId="36" xfId="1" applyNumberFormat="1" applyFont="1" applyFill="1" applyBorder="1"/>
    <xf numFmtId="8" fontId="26" fillId="12" borderId="35" xfId="1" applyNumberFormat="1" applyFont="1" applyFill="1" applyBorder="1"/>
    <xf numFmtId="8" fontId="24" fillId="12" borderId="35" xfId="1" applyNumberFormat="1" applyFont="1" applyFill="1" applyBorder="1"/>
    <xf numFmtId="43" fontId="24" fillId="12" borderId="35" xfId="1" applyNumberFormat="1" applyFont="1" applyFill="1" applyBorder="1"/>
    <xf numFmtId="0" fontId="24" fillId="0" borderId="36" xfId="0" applyFont="1" applyBorder="1"/>
    <xf numFmtId="43" fontId="24" fillId="0" borderId="36" xfId="1" applyFont="1" applyBorder="1"/>
    <xf numFmtId="8" fontId="26" fillId="0" borderId="35" xfId="0" applyNumberFormat="1" applyFont="1" applyBorder="1"/>
    <xf numFmtId="43" fontId="24" fillId="2" borderId="0" xfId="1" applyFont="1" applyFill="1"/>
    <xf numFmtId="0" fontId="24" fillId="0" borderId="34" xfId="0" applyFont="1" applyBorder="1"/>
    <xf numFmtId="43" fontId="24" fillId="0" borderId="34" xfId="1" applyFont="1" applyBorder="1"/>
    <xf numFmtId="43" fontId="22" fillId="0" borderId="34" xfId="1" applyFont="1" applyBorder="1"/>
    <xf numFmtId="8" fontId="29" fillId="0" borderId="30" xfId="0" applyNumberFormat="1" applyFont="1" applyBorder="1"/>
    <xf numFmtId="8" fontId="24" fillId="2" borderId="0" xfId="1" applyNumberFormat="1" applyFont="1" applyFill="1"/>
    <xf numFmtId="0" fontId="24" fillId="0" borderId="0" xfId="0" applyFont="1" applyBorder="1"/>
    <xf numFmtId="43" fontId="24" fillId="0" borderId="0" xfId="1" applyFont="1" applyBorder="1"/>
    <xf numFmtId="8" fontId="24" fillId="0" borderId="0" xfId="0" applyNumberFormat="1" applyFont="1" applyBorder="1"/>
    <xf numFmtId="8" fontId="26" fillId="14" borderId="35" xfId="1" applyNumberFormat="1" applyFont="1" applyFill="1" applyBorder="1"/>
    <xf numFmtId="8" fontId="24" fillId="0" borderId="0" xfId="0" applyNumberFormat="1" applyFont="1"/>
    <xf numFmtId="174" fontId="24" fillId="0" borderId="0" xfId="7" applyNumberFormat="1" applyFont="1"/>
    <xf numFmtId="43" fontId="26" fillId="0" borderId="18" xfId="1" applyFont="1" applyBorder="1"/>
    <xf numFmtId="174" fontId="24" fillId="0" borderId="0" xfId="1" applyNumberFormat="1" applyFont="1"/>
    <xf numFmtId="0" fontId="24" fillId="2" borderId="18" xfId="0" applyFont="1" applyFill="1" applyBorder="1"/>
    <xf numFmtId="171" fontId="24" fillId="0" borderId="18" xfId="1" applyNumberFormat="1" applyFont="1" applyBorder="1"/>
    <xf numFmtId="172" fontId="24" fillId="0" borderId="18" xfId="1" applyNumberFormat="1" applyFont="1" applyBorder="1"/>
    <xf numFmtId="171" fontId="26" fillId="14" borderId="35" xfId="1" applyNumberFormat="1" applyFont="1" applyFill="1" applyBorder="1"/>
    <xf numFmtId="8" fontId="31" fillId="0" borderId="0" xfId="1" applyNumberFormat="1" applyFont="1"/>
    <xf numFmtId="43" fontId="24" fillId="0" borderId="18" xfId="1" applyFont="1" applyBorder="1" applyAlignment="1">
      <alignment vertical="center" wrapText="1"/>
    </xf>
    <xf numFmtId="43" fontId="24" fillId="2" borderId="18" xfId="1" applyFont="1" applyFill="1" applyBorder="1"/>
    <xf numFmtId="0" fontId="29" fillId="0" borderId="18" xfId="0" applyFont="1" applyFill="1" applyBorder="1" applyAlignment="1">
      <alignment horizontal="center" vertical="center"/>
    </xf>
    <xf numFmtId="8" fontId="24" fillId="0" borderId="30" xfId="1" applyNumberFormat="1" applyFont="1" applyBorder="1"/>
    <xf numFmtId="43" fontId="26" fillId="14" borderId="35" xfId="1" applyNumberFormat="1" applyFont="1" applyFill="1" applyBorder="1"/>
    <xf numFmtId="8" fontId="24" fillId="0" borderId="34" xfId="1" applyNumberFormat="1" applyFont="1" applyBorder="1"/>
    <xf numFmtId="0" fontId="26" fillId="14" borderId="18" xfId="0" applyFont="1" applyFill="1" applyBorder="1" applyAlignment="1">
      <alignment horizontal="center"/>
    </xf>
    <xf numFmtId="0" fontId="24" fillId="0" borderId="40" xfId="0" applyFont="1" applyBorder="1"/>
    <xf numFmtId="0" fontId="24" fillId="0" borderId="2" xfId="0" applyFont="1" applyBorder="1"/>
    <xf numFmtId="8" fontId="29" fillId="0" borderId="18" xfId="0" applyNumberFormat="1" applyFont="1" applyBorder="1"/>
    <xf numFmtId="0" fontId="32" fillId="0" borderId="0" xfId="0" applyFont="1"/>
    <xf numFmtId="0" fontId="3" fillId="0" borderId="30" xfId="3" applyBorder="1" applyProtection="1">
      <protection hidden="1"/>
    </xf>
    <xf numFmtId="0" fontId="9" fillId="0" borderId="24" xfId="3" applyFont="1" applyBorder="1" applyProtection="1">
      <protection hidden="1"/>
    </xf>
    <xf numFmtId="0" fontId="9" fillId="0" borderId="40" xfId="3" applyFont="1" applyBorder="1" applyAlignment="1" applyProtection="1">
      <alignment horizontal="left"/>
      <protection hidden="1"/>
    </xf>
    <xf numFmtId="0" fontId="9" fillId="0" borderId="35" xfId="3" applyFont="1" applyBorder="1" applyAlignment="1" applyProtection="1">
      <alignment horizontal="center"/>
      <protection hidden="1"/>
    </xf>
    <xf numFmtId="0" fontId="3" fillId="0" borderId="24" xfId="3" applyBorder="1" applyProtection="1">
      <protection hidden="1"/>
    </xf>
    <xf numFmtId="1" fontId="33" fillId="0" borderId="40" xfId="0" applyNumberFormat="1" applyFont="1" applyBorder="1" applyAlignment="1">
      <alignment horizontal="center"/>
    </xf>
    <xf numFmtId="171" fontId="10" fillId="15" borderId="42" xfId="9" applyFont="1" applyFill="1" applyBorder="1" applyAlignment="1" applyProtection="1">
      <alignment horizontal="right"/>
      <protection locked="0"/>
    </xf>
    <xf numFmtId="43" fontId="10" fillId="15" borderId="42" xfId="10" applyFont="1" applyFill="1" applyBorder="1" applyAlignment="1" applyProtection="1">
      <alignment horizontal="right"/>
      <protection locked="0"/>
    </xf>
    <xf numFmtId="0" fontId="3" fillId="0" borderId="29" xfId="3" applyBorder="1" applyProtection="1">
      <protection hidden="1"/>
    </xf>
    <xf numFmtId="1" fontId="33" fillId="0" borderId="43" xfId="0" applyNumberFormat="1" applyFont="1" applyBorder="1" applyAlignment="1">
      <alignment horizontal="center"/>
    </xf>
    <xf numFmtId="171" fontId="10" fillId="6" borderId="42" xfId="9" applyFont="1" applyFill="1" applyBorder="1" applyAlignment="1" applyProtection="1">
      <alignment horizontal="right"/>
      <protection locked="0"/>
    </xf>
    <xf numFmtId="171" fontId="0" fillId="0" borderId="42" xfId="9" applyFont="1" applyBorder="1" applyProtection="1">
      <protection hidden="1"/>
    </xf>
    <xf numFmtId="0" fontId="3" fillId="0" borderId="40" xfId="3" applyBorder="1" applyAlignment="1" applyProtection="1">
      <alignment horizontal="left"/>
      <protection hidden="1"/>
    </xf>
    <xf numFmtId="0" fontId="35" fillId="0" borderId="24" xfId="3" applyFont="1" applyBorder="1" applyProtection="1">
      <protection hidden="1"/>
    </xf>
    <xf numFmtId="171" fontId="0" fillId="2" borderId="42" xfId="9" applyFont="1" applyFill="1" applyBorder="1" applyProtection="1">
      <protection locked="0"/>
    </xf>
    <xf numFmtId="0" fontId="3" fillId="16" borderId="24" xfId="3" applyFill="1" applyBorder="1" applyProtection="1">
      <protection hidden="1"/>
    </xf>
    <xf numFmtId="0" fontId="3" fillId="16" borderId="40" xfId="3" applyFill="1" applyBorder="1" applyAlignment="1" applyProtection="1">
      <alignment horizontal="left"/>
      <protection hidden="1"/>
    </xf>
    <xf numFmtId="171" fontId="0" fillId="16" borderId="45" xfId="9" applyFont="1" applyFill="1" applyBorder="1" applyProtection="1">
      <protection hidden="1"/>
    </xf>
    <xf numFmtId="0" fontId="3" fillId="0" borderId="0" xfId="3" applyBorder="1" applyProtection="1">
      <protection hidden="1"/>
    </xf>
    <xf numFmtId="0" fontId="3" fillId="0" borderId="0" xfId="3" applyBorder="1" applyAlignment="1" applyProtection="1">
      <alignment horizontal="left"/>
      <protection hidden="1"/>
    </xf>
    <xf numFmtId="43" fontId="24" fillId="0" borderId="0" xfId="0" applyNumberFormat="1" applyFont="1"/>
    <xf numFmtId="172" fontId="24" fillId="0" borderId="0" xfId="0" applyNumberFormat="1" applyFont="1" applyFill="1"/>
    <xf numFmtId="173" fontId="24" fillId="0" borderId="0" xfId="0" applyNumberFormat="1" applyFont="1" applyAlignment="1">
      <alignment vertical="center"/>
    </xf>
    <xf numFmtId="43" fontId="26" fillId="12" borderId="38" xfId="1" applyNumberFormat="1" applyFont="1" applyFill="1" applyBorder="1"/>
    <xf numFmtId="43" fontId="26" fillId="12" borderId="46" xfId="1" applyNumberFormat="1" applyFont="1" applyFill="1" applyBorder="1"/>
    <xf numFmtId="172" fontId="27" fillId="2" borderId="18" xfId="1" applyNumberFormat="1" applyFont="1" applyFill="1" applyBorder="1"/>
    <xf numFmtId="8" fontId="24" fillId="0" borderId="37" xfId="1" applyNumberFormat="1" applyFont="1" applyBorder="1"/>
    <xf numFmtId="43" fontId="24" fillId="0" borderId="18" xfId="1" applyFont="1" applyFill="1" applyBorder="1"/>
    <xf numFmtId="8" fontId="24" fillId="0" borderId="18" xfId="1" applyNumberFormat="1" applyFont="1" applyFill="1" applyBorder="1"/>
    <xf numFmtId="8" fontId="24" fillId="0" borderId="0" xfId="0" applyNumberFormat="1" applyFont="1" applyFill="1"/>
    <xf numFmtId="43" fontId="26" fillId="11" borderId="35" xfId="1" applyNumberFormat="1" applyFont="1" applyFill="1" applyBorder="1"/>
    <xf numFmtId="43" fontId="26" fillId="12" borderId="35" xfId="1" applyFont="1" applyFill="1" applyBorder="1"/>
    <xf numFmtId="3" fontId="6" fillId="10" borderId="0" xfId="0" applyNumberFormat="1" applyFont="1" applyFill="1" applyBorder="1" applyAlignment="1">
      <alignment horizontal="right" vertical="center" wrapText="1"/>
    </xf>
    <xf numFmtId="0" fontId="6" fillId="10" borderId="1" xfId="0" applyFont="1" applyFill="1" applyBorder="1" applyAlignment="1">
      <alignment horizontal="right" vertical="center" wrapText="1"/>
    </xf>
    <xf numFmtId="0" fontId="6" fillId="10" borderId="0" xfId="0" applyFont="1" applyFill="1" applyBorder="1" applyAlignment="1">
      <alignment horizontal="right" vertical="center" wrapText="1"/>
    </xf>
    <xf numFmtId="3" fontId="12" fillId="10" borderId="0" xfId="0" applyNumberFormat="1" applyFont="1" applyFill="1" applyBorder="1" applyAlignment="1">
      <alignment horizontal="right" vertical="center" wrapText="1"/>
    </xf>
    <xf numFmtId="43" fontId="24" fillId="4" borderId="18" xfId="0" applyNumberFormat="1" applyFont="1" applyFill="1" applyBorder="1"/>
    <xf numFmtId="172" fontId="24" fillId="4" borderId="18" xfId="0" applyNumberFormat="1" applyFont="1" applyFill="1" applyBorder="1"/>
    <xf numFmtId="43" fontId="24" fillId="0" borderId="0" xfId="0" applyNumberFormat="1" applyFont="1" applyFill="1" applyAlignment="1">
      <alignment vertical="center"/>
    </xf>
    <xf numFmtId="1" fontId="6" fillId="10" borderId="0" xfId="0" applyNumberFormat="1" applyFont="1" applyFill="1" applyBorder="1" applyAlignment="1">
      <alignment horizontal="right" vertical="center" wrapText="1"/>
    </xf>
    <xf numFmtId="0" fontId="7" fillId="10" borderId="0" xfId="0" applyFont="1" applyFill="1" applyBorder="1" applyAlignment="1">
      <alignment horizontal="right" vertical="center" wrapText="1"/>
    </xf>
    <xf numFmtId="0" fontId="12" fillId="10" borderId="5" xfId="0" applyFont="1" applyFill="1" applyBorder="1" applyAlignment="1">
      <alignment horizontal="right" vertical="center" wrapText="1"/>
    </xf>
    <xf numFmtId="1" fontId="6" fillId="10" borderId="1" xfId="0" applyNumberFormat="1" applyFont="1" applyFill="1" applyBorder="1" applyAlignment="1">
      <alignment horizontal="right" vertical="center" wrapText="1"/>
    </xf>
    <xf numFmtId="0" fontId="7" fillId="10" borderId="17" xfId="0" applyFont="1" applyFill="1" applyBorder="1" applyAlignment="1">
      <alignment horizontal="right" vertical="center" wrapText="1"/>
    </xf>
    <xf numFmtId="3" fontId="6" fillId="10" borderId="17" xfId="0" applyNumberFormat="1" applyFont="1" applyFill="1" applyBorder="1" applyAlignment="1">
      <alignment horizontal="right" vertical="center" wrapText="1"/>
    </xf>
    <xf numFmtId="1" fontId="6" fillId="10" borderId="32" xfId="0" applyNumberFormat="1" applyFont="1" applyFill="1" applyBorder="1" applyAlignment="1">
      <alignment horizontal="right" vertical="center" wrapText="1"/>
    </xf>
    <xf numFmtId="3" fontId="12" fillId="10" borderId="17" xfId="0" applyNumberFormat="1" applyFont="1" applyFill="1" applyBorder="1" applyAlignment="1">
      <alignment horizontal="right" vertical="center" wrapText="1"/>
    </xf>
    <xf numFmtId="0" fontId="6" fillId="10" borderId="17" xfId="0" applyFont="1" applyFill="1" applyBorder="1" applyAlignment="1">
      <alignment horizontal="right" vertical="center" wrapText="1"/>
    </xf>
    <xf numFmtId="1" fontId="6" fillId="10" borderId="17" xfId="0" applyNumberFormat="1" applyFont="1" applyFill="1" applyBorder="1" applyAlignment="1">
      <alignment horizontal="right" vertical="center" wrapText="1"/>
    </xf>
    <xf numFmtId="1" fontId="12" fillId="10" borderId="0" xfId="0" applyNumberFormat="1" applyFont="1" applyFill="1" applyBorder="1" applyAlignment="1">
      <alignment horizontal="right" vertical="center" wrapText="1"/>
    </xf>
    <xf numFmtId="1" fontId="12" fillId="10" borderId="1" xfId="0" applyNumberFormat="1" applyFont="1" applyFill="1" applyBorder="1" applyAlignment="1">
      <alignment horizontal="right" vertical="center" wrapText="1"/>
    </xf>
    <xf numFmtId="1" fontId="12" fillId="10" borderId="17" xfId="0" applyNumberFormat="1" applyFont="1" applyFill="1" applyBorder="1" applyAlignment="1">
      <alignment horizontal="right" vertical="center" wrapText="1"/>
    </xf>
    <xf numFmtId="1" fontId="12" fillId="10" borderId="32" xfId="0" applyNumberFormat="1" applyFont="1" applyFill="1" applyBorder="1" applyAlignment="1">
      <alignment horizontal="right" vertical="center" wrapText="1"/>
    </xf>
    <xf numFmtId="1" fontId="6" fillId="0" borderId="0" xfId="0" applyNumberFormat="1" applyFont="1" applyFill="1" applyBorder="1"/>
    <xf numFmtId="1" fontId="12" fillId="0" borderId="0" xfId="0" applyNumberFormat="1" applyFont="1" applyFill="1" applyBorder="1"/>
    <xf numFmtId="1" fontId="6" fillId="0" borderId="0" xfId="0" applyNumberFormat="1" applyFont="1" applyFill="1"/>
    <xf numFmtId="170" fontId="12" fillId="0" borderId="0" xfId="1" applyNumberFormat="1" applyFont="1" applyFill="1" applyAlignment="1">
      <alignment horizontal="right"/>
    </xf>
    <xf numFmtId="9" fontId="6" fillId="0" borderId="0" xfId="7" applyFont="1" applyFill="1" applyAlignment="1">
      <alignment horizontal="right"/>
    </xf>
    <xf numFmtId="170" fontId="6" fillId="0" borderId="0" xfId="1" applyNumberFormat="1" applyFont="1" applyFill="1" applyAlignment="1">
      <alignment horizontal="right"/>
    </xf>
    <xf numFmtId="170" fontId="6" fillId="0" borderId="0" xfId="7" applyNumberFormat="1" applyFont="1" applyFill="1" applyAlignment="1">
      <alignment horizontal="right"/>
    </xf>
    <xf numFmtId="170" fontId="12" fillId="0" borderId="3" xfId="1" applyNumberFormat="1" applyFont="1" applyFill="1" applyBorder="1" applyAlignment="1">
      <alignment horizontal="right"/>
    </xf>
    <xf numFmtId="171" fontId="6" fillId="0" borderId="0" xfId="1" applyNumberFormat="1" applyFont="1" applyFill="1" applyAlignment="1">
      <alignment horizontal="right"/>
    </xf>
    <xf numFmtId="10" fontId="12" fillId="0" borderId="3" xfId="7" applyNumberFormat="1" applyFont="1" applyFill="1" applyBorder="1" applyAlignment="1">
      <alignment horizontal="right"/>
    </xf>
    <xf numFmtId="0" fontId="5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164" fontId="5" fillId="2" borderId="0" xfId="0" applyNumberFormat="1" applyFont="1" applyFill="1" applyAlignment="1">
      <alignment horizontal="center"/>
    </xf>
    <xf numFmtId="164" fontId="3" fillId="2" borderId="0" xfId="0" applyNumberFormat="1" applyFont="1" applyFill="1" applyAlignment="1">
      <alignment horizontal="center"/>
    </xf>
    <xf numFmtId="0" fontId="26" fillId="14" borderId="19" xfId="0" applyFont="1" applyFill="1" applyBorder="1" applyAlignment="1">
      <alignment horizontal="center"/>
    </xf>
    <xf numFmtId="0" fontId="26" fillId="14" borderId="20" xfId="0" applyFont="1" applyFill="1" applyBorder="1" applyAlignment="1">
      <alignment horizontal="center"/>
    </xf>
    <xf numFmtId="1" fontId="34" fillId="0" borderId="19" xfId="0" applyNumberFormat="1" applyFont="1" applyBorder="1" applyAlignment="1">
      <alignment horizontal="center"/>
    </xf>
    <xf numFmtId="1" fontId="34" fillId="0" borderId="20" xfId="0" applyNumberFormat="1" applyFont="1" applyBorder="1" applyAlignment="1">
      <alignment horizontal="center"/>
    </xf>
    <xf numFmtId="0" fontId="5" fillId="0" borderId="44" xfId="3" applyFont="1" applyBorder="1" applyAlignment="1" applyProtection="1">
      <alignment horizontal="center"/>
      <protection hidden="1"/>
    </xf>
    <xf numFmtId="0" fontId="5" fillId="0" borderId="8" xfId="3" applyFont="1" applyBorder="1" applyAlignment="1" applyProtection="1">
      <alignment horizontal="center"/>
      <protection hidden="1"/>
    </xf>
    <xf numFmtId="0" fontId="26" fillId="2" borderId="19" xfId="0" applyFont="1" applyFill="1" applyBorder="1" applyAlignment="1">
      <alignment horizontal="left"/>
    </xf>
    <xf numFmtId="0" fontId="26" fillId="2" borderId="20" xfId="0" applyFont="1" applyFill="1" applyBorder="1" applyAlignment="1">
      <alignment horizontal="left"/>
    </xf>
    <xf numFmtId="0" fontId="26" fillId="2" borderId="10" xfId="0" applyFont="1" applyFill="1" applyBorder="1" applyAlignment="1">
      <alignment horizontal="left"/>
    </xf>
    <xf numFmtId="0" fontId="26" fillId="14" borderId="10" xfId="0" applyFont="1" applyFill="1" applyBorder="1" applyAlignment="1">
      <alignment horizontal="center"/>
    </xf>
    <xf numFmtId="0" fontId="26" fillId="5" borderId="19" xfId="0" applyFont="1" applyFill="1" applyBorder="1" applyAlignment="1">
      <alignment horizontal="center"/>
    </xf>
    <xf numFmtId="0" fontId="26" fillId="5" borderId="20" xfId="0" applyFont="1" applyFill="1" applyBorder="1" applyAlignment="1">
      <alignment horizontal="center"/>
    </xf>
    <xf numFmtId="0" fontId="26" fillId="5" borderId="10" xfId="0" applyFont="1" applyFill="1" applyBorder="1" applyAlignment="1">
      <alignment horizontal="center"/>
    </xf>
    <xf numFmtId="0" fontId="25" fillId="5" borderId="19" xfId="0" applyFont="1" applyFill="1" applyBorder="1" applyAlignment="1">
      <alignment horizontal="center" vertical="center"/>
    </xf>
    <xf numFmtId="0" fontId="25" fillId="5" borderId="20" xfId="0" applyFont="1" applyFill="1" applyBorder="1" applyAlignment="1">
      <alignment horizontal="center" vertical="center"/>
    </xf>
    <xf numFmtId="0" fontId="25" fillId="5" borderId="10" xfId="0" applyFont="1" applyFill="1" applyBorder="1" applyAlignment="1">
      <alignment horizontal="center" vertical="center"/>
    </xf>
    <xf numFmtId="0" fontId="25" fillId="5" borderId="30" xfId="0" applyFont="1" applyFill="1" applyBorder="1" applyAlignment="1">
      <alignment horizontal="center" vertical="center"/>
    </xf>
    <xf numFmtId="0" fontId="25" fillId="5" borderId="34" xfId="0" applyFont="1" applyFill="1" applyBorder="1" applyAlignment="1">
      <alignment horizontal="center" vertical="center"/>
    </xf>
    <xf numFmtId="0" fontId="30" fillId="3" borderId="40" xfId="0" applyFont="1" applyFill="1" applyBorder="1" applyAlignment="1">
      <alignment horizontal="center" vertical="center"/>
    </xf>
    <xf numFmtId="0" fontId="30" fillId="3" borderId="2" xfId="0" applyFont="1" applyFill="1" applyBorder="1" applyAlignment="1">
      <alignment horizontal="center" vertical="center"/>
    </xf>
    <xf numFmtId="0" fontId="30" fillId="3" borderId="41" xfId="0" applyFont="1" applyFill="1" applyBorder="1" applyAlignment="1">
      <alignment horizontal="center" vertical="center"/>
    </xf>
    <xf numFmtId="0" fontId="26" fillId="11" borderId="16" xfId="0" applyFont="1" applyFill="1" applyBorder="1" applyAlignment="1">
      <alignment horizontal="center" vertical="center"/>
    </xf>
    <xf numFmtId="0" fontId="26" fillId="11" borderId="1" xfId="0" applyFont="1" applyFill="1" applyBorder="1" applyAlignment="1">
      <alignment horizontal="center" vertical="center"/>
    </xf>
    <xf numFmtId="0" fontId="26" fillId="11" borderId="11" xfId="0" applyFont="1" applyFill="1" applyBorder="1" applyAlignment="1">
      <alignment horizontal="center" vertical="center"/>
    </xf>
    <xf numFmtId="0" fontId="24" fillId="0" borderId="36" xfId="0" applyFont="1" applyFill="1" applyBorder="1" applyAlignment="1">
      <alignment horizontal="center" vertical="center"/>
    </xf>
    <xf numFmtId="0" fontId="26" fillId="12" borderId="16" xfId="0" applyFont="1" applyFill="1" applyBorder="1" applyAlignment="1">
      <alignment horizontal="center" vertical="center"/>
    </xf>
    <xf numFmtId="0" fontId="26" fillId="12" borderId="1" xfId="0" applyFont="1" applyFill="1" applyBorder="1" applyAlignment="1">
      <alignment horizontal="center" vertical="center"/>
    </xf>
    <xf numFmtId="0" fontId="26" fillId="12" borderId="11" xfId="0" applyFont="1" applyFill="1" applyBorder="1" applyAlignment="1">
      <alignment horizontal="center" vertical="center"/>
    </xf>
    <xf numFmtId="0" fontId="24" fillId="2" borderId="36" xfId="0" applyFont="1" applyFill="1" applyBorder="1" applyAlignment="1">
      <alignment horizontal="center" vertical="center" wrapText="1"/>
    </xf>
    <xf numFmtId="0" fontId="26" fillId="12" borderId="19" xfId="0" applyFont="1" applyFill="1" applyBorder="1" applyAlignment="1">
      <alignment horizontal="center" vertical="center"/>
    </xf>
    <xf numFmtId="0" fontId="26" fillId="12" borderId="20" xfId="0" applyFont="1" applyFill="1" applyBorder="1" applyAlignment="1">
      <alignment horizontal="center" vertical="center"/>
    </xf>
    <xf numFmtId="0" fontId="26" fillId="12" borderId="10" xfId="0" applyFont="1" applyFill="1" applyBorder="1" applyAlignment="1">
      <alignment horizontal="center" vertical="center"/>
    </xf>
    <xf numFmtId="0" fontId="26" fillId="0" borderId="40" xfId="0" applyFont="1" applyBorder="1" applyAlignment="1">
      <alignment horizontal="left"/>
    </xf>
    <xf numFmtId="0" fontId="26" fillId="0" borderId="2" xfId="0" applyFont="1" applyBorder="1" applyAlignment="1">
      <alignment horizontal="left"/>
    </xf>
    <xf numFmtId="0" fontId="26" fillId="0" borderId="41" xfId="0" applyFont="1" applyBorder="1" applyAlignment="1">
      <alignment horizontal="left"/>
    </xf>
    <xf numFmtId="0" fontId="26" fillId="2" borderId="19" xfId="0" applyFont="1" applyFill="1" applyBorder="1" applyAlignment="1">
      <alignment horizontal="center" vertical="center" wrapText="1"/>
    </xf>
    <xf numFmtId="0" fontId="26" fillId="2" borderId="20" xfId="0" applyFont="1" applyFill="1" applyBorder="1" applyAlignment="1">
      <alignment horizontal="center" vertical="center" wrapText="1"/>
    </xf>
    <xf numFmtId="0" fontId="26" fillId="2" borderId="10" xfId="0" applyFont="1" applyFill="1" applyBorder="1" applyAlignment="1">
      <alignment horizontal="center" vertical="center" wrapText="1"/>
    </xf>
    <xf numFmtId="0" fontId="24" fillId="0" borderId="30" xfId="0" applyFont="1" applyFill="1" applyBorder="1" applyAlignment="1">
      <alignment horizontal="center" vertical="center"/>
    </xf>
    <xf numFmtId="0" fontId="24" fillId="0" borderId="30" xfId="0" applyFont="1" applyFill="1" applyBorder="1" applyAlignment="1">
      <alignment horizontal="center" vertical="center" wrapText="1"/>
    </xf>
    <xf numFmtId="0" fontId="24" fillId="0" borderId="36" xfId="0" applyFont="1" applyFill="1" applyBorder="1" applyAlignment="1">
      <alignment horizontal="center" vertical="center" wrapText="1"/>
    </xf>
    <xf numFmtId="14" fontId="12" fillId="0" borderId="0" xfId="0" applyNumberFormat="1" applyFont="1" applyFill="1" applyBorder="1" applyAlignment="1">
      <alignment horizontal="center"/>
    </xf>
    <xf numFmtId="171" fontId="12" fillId="0" borderId="4" xfId="1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horizontal="left" wrapText="1"/>
    </xf>
    <xf numFmtId="0" fontId="12" fillId="10" borderId="1" xfId="0" applyFont="1" applyFill="1" applyBorder="1" applyAlignment="1">
      <alignment horizontal="center" vertical="center"/>
    </xf>
    <xf numFmtId="14" fontId="12" fillId="10" borderId="32" xfId="0" applyNumberFormat="1" applyFont="1" applyFill="1" applyBorder="1" applyAlignment="1">
      <alignment horizontal="center" vertical="center"/>
    </xf>
    <xf numFmtId="14" fontId="12" fillId="0" borderId="0" xfId="0" applyNumberFormat="1" applyFont="1" applyBorder="1" applyAlignment="1">
      <alignment horizontal="center"/>
    </xf>
    <xf numFmtId="0" fontId="12" fillId="10" borderId="32" xfId="0" applyFont="1" applyFill="1" applyBorder="1" applyAlignment="1">
      <alignment horizontal="center" vertical="center"/>
    </xf>
    <xf numFmtId="43" fontId="12" fillId="0" borderId="0" xfId="1" applyFont="1" applyAlignment="1">
      <alignment horizontal="center" vertical="center" wrapText="1"/>
    </xf>
    <xf numFmtId="43" fontId="12" fillId="0" borderId="0" xfId="1" applyFont="1" applyAlignment="1">
      <alignment horizontal="center" vertical="center"/>
    </xf>
    <xf numFmtId="43" fontId="12" fillId="0" borderId="0" xfId="1" applyFont="1" applyFill="1" applyAlignment="1">
      <alignment horizontal="center" vertical="center" wrapText="1"/>
    </xf>
    <xf numFmtId="43" fontId="12" fillId="0" borderId="0" xfId="1" applyFont="1" applyFill="1" applyAlignment="1">
      <alignment horizontal="center" vertical="center"/>
    </xf>
    <xf numFmtId="43" fontId="12" fillId="0" borderId="0" xfId="1" applyFont="1" applyFill="1" applyAlignment="1">
      <alignment horizontal="right" vertical="center"/>
    </xf>
    <xf numFmtId="0" fontId="20" fillId="5" borderId="0" xfId="0" applyFont="1" applyFill="1" applyAlignment="1">
      <alignment horizontal="center"/>
    </xf>
    <xf numFmtId="0" fontId="19" fillId="0" borderId="12" xfId="0" applyFont="1" applyBorder="1" applyAlignment="1">
      <alignment horizontal="center"/>
    </xf>
    <xf numFmtId="0" fontId="19" fillId="0" borderId="5" xfId="0" applyFont="1" applyBorder="1" applyAlignment="1">
      <alignment horizontal="center"/>
    </xf>
  </cellXfs>
  <cellStyles count="11">
    <cellStyle name="Moeda" xfId="8" builtinId="4"/>
    <cellStyle name="Normal" xfId="0" builtinId="0"/>
    <cellStyle name="Normal 2" xfId="3"/>
    <cellStyle name="Normal 4" xfId="4"/>
    <cellStyle name="Porcentagem" xfId="7" builtinId="5"/>
    <cellStyle name="Vírgula" xfId="1" builtinId="3"/>
    <cellStyle name="Vírgula 2" xfId="5"/>
    <cellStyle name="Vírgula 2 2" xfId="2"/>
    <cellStyle name="Vírgula 2 2 2" xfId="6"/>
    <cellStyle name="Vírgula 2 2 3" xfId="10"/>
    <cellStyle name="Vírgula 2 3" xfId="9"/>
  </cellStyles>
  <dxfs count="2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3.xml"/><Relationship Id="rId36" Type="http://schemas.microsoft.com/office/2017/10/relationships/person" Target="persons/perso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2.xml"/><Relationship Id="rId30" Type="http://schemas.openxmlformats.org/officeDocument/2006/relationships/styles" Target="styles.xml"/><Relationship Id="rId35" Type="http://schemas.openxmlformats.org/officeDocument/2006/relationships/customXml" Target="../customXml/item3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814916</xdr:colOff>
      <xdr:row>1</xdr:row>
      <xdr:rowOff>31751</xdr:rowOff>
    </xdr:from>
    <xdr:to>
      <xdr:col>0</xdr:col>
      <xdr:colOff>1979083</xdr:colOff>
      <xdr:row>2</xdr:row>
      <xdr:rowOff>193525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4916" y="250826"/>
          <a:ext cx="1164167" cy="4189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814916</xdr:colOff>
      <xdr:row>1</xdr:row>
      <xdr:rowOff>31751</xdr:rowOff>
    </xdr:from>
    <xdr:to>
      <xdr:col>0</xdr:col>
      <xdr:colOff>1979083</xdr:colOff>
      <xdr:row>2</xdr:row>
      <xdr:rowOff>193525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4916" y="250826"/>
          <a:ext cx="1164167" cy="4189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lientes/Atuais/EPE/2023/Contabil/Demonstra&#231;&#245;es%20Financeiras/2%20-%20Trimestral/1&#186;%20Trimestre%202023/Material%20de%20apoio/C&#243;pia%20de%204Q.2023_Quadros%20DF%20-%20EPE_09.1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lientes/Atuais/EPE/2023/Contabil/Analise/3.Mar&#231;o/Apura&#231;&#227;o%20de%20IRPJ%20e%20CSLL/363-IRPJAP-03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lientes/Atuais/EPE/2022/Contabil/Demonstra&#231;&#245;es%20Financeiras/02%20-%20Trimestrais/3&#186;%20Trim/Relat&#243;rios%20cont&#225;beis%20de%20report/C&#243;pia%20de%203Q.2022_Quadros%20DF%20-%20EPE_09.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te"/>
      <sheetName val="PL"/>
      <sheetName val="Balancete 03.2023"/>
      <sheetName val="BP"/>
      <sheetName val="DRE"/>
      <sheetName val="DMPL"/>
      <sheetName val="DRA"/>
      <sheetName val="DVA "/>
      <sheetName val="DFC"/>
      <sheetName val="DF's"/>
      <sheetName val="Mov imob"/>
      <sheetName val="Depósitos judiciais"/>
      <sheetName val="Impostos a recuperar"/>
      <sheetName val="Instrumentos financeiros "/>
      <sheetName val="Razão Provisões p. Contigências"/>
      <sheetName val="Depositos judiciais"/>
    </sheetNames>
    <sheetDataSet>
      <sheetData sheetId="0" refreshError="1"/>
      <sheetData sheetId="1" refreshError="1"/>
      <sheetData sheetId="2">
        <row r="1408">
          <cell r="H1408">
            <v>0</v>
          </cell>
        </row>
        <row r="1409">
          <cell r="H1409">
            <v>0</v>
          </cell>
        </row>
        <row r="1415">
          <cell r="H1415">
            <v>0</v>
          </cell>
        </row>
        <row r="1435">
          <cell r="H1435">
            <v>-33910</v>
          </cell>
        </row>
        <row r="1455">
          <cell r="H1455">
            <v>-181</v>
          </cell>
        </row>
        <row r="1513">
          <cell r="H1513">
            <v>10988</v>
          </cell>
        </row>
        <row r="1527">
          <cell r="H1527">
            <v>3194</v>
          </cell>
        </row>
        <row r="1536">
          <cell r="H1536">
            <v>1457</v>
          </cell>
        </row>
        <row r="1551">
          <cell r="H1551">
            <v>77</v>
          </cell>
        </row>
        <row r="1568">
          <cell r="H1568">
            <v>4000</v>
          </cell>
        </row>
        <row r="1594">
          <cell r="H1594">
            <v>90</v>
          </cell>
        </row>
        <row r="1610">
          <cell r="H1610">
            <v>1169</v>
          </cell>
        </row>
        <row r="1629">
          <cell r="H1629">
            <v>686</v>
          </cell>
        </row>
        <row r="1653">
          <cell r="H1653">
            <v>4412</v>
          </cell>
        </row>
        <row r="1667">
          <cell r="H1667">
            <v>1278</v>
          </cell>
        </row>
        <row r="1676">
          <cell r="H1676">
            <v>562</v>
          </cell>
        </row>
        <row r="1693">
          <cell r="H1693">
            <v>12</v>
          </cell>
        </row>
        <row r="1704">
          <cell r="H1704">
            <v>1112</v>
          </cell>
        </row>
        <row r="1731">
          <cell r="H1731">
            <v>225</v>
          </cell>
        </row>
        <row r="1745">
          <cell r="H1745">
            <v>1063</v>
          </cell>
        </row>
        <row r="1762">
          <cell r="H1762">
            <v>1309</v>
          </cell>
        </row>
        <row r="1782">
          <cell r="H1782">
            <v>780</v>
          </cell>
        </row>
        <row r="1802">
          <cell r="H1802">
            <v>1522</v>
          </cell>
        </row>
      </sheetData>
      <sheetData sheetId="3">
        <row r="2">
          <cell r="B2" t="str">
            <v>Empresa de Pesquisa Energética - EPE</v>
          </cell>
        </row>
        <row r="3">
          <cell r="B3" t="str">
            <v>CNPJ 06.977.747/0001-80</v>
          </cell>
        </row>
        <row r="5">
          <cell r="B5" t="str">
            <v>(em milhares de reais)</v>
          </cell>
        </row>
        <row r="54">
          <cell r="B54" t="str">
            <v>As Notas Explicativas são parte integrante das Demonstrações Financeiras intermediáriais.</v>
          </cell>
        </row>
      </sheetData>
      <sheetData sheetId="4">
        <row r="56">
          <cell r="E56">
            <v>2100</v>
          </cell>
          <cell r="G56">
            <v>2100</v>
          </cell>
          <cell r="I56">
            <v>-1055</v>
          </cell>
        </row>
      </sheetData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erno_Cache_XXXXX"/>
      <sheetName val="Planilha1"/>
      <sheetName val="IRPJ_CSLL_2021"/>
      <sheetName val="IRPJ_CSLL_2022"/>
      <sheetName val="12.2021"/>
      <sheetName val="11.2021"/>
      <sheetName val="10.2021"/>
      <sheetName val="01.2022"/>
      <sheetName val="02.2022"/>
      <sheetName val="EPE (2)"/>
      <sheetName val="IRPJ_CSLL_2023"/>
      <sheetName val="IRPJ eCSLL"/>
      <sheetName val="03.2023"/>
      <sheetName val="02.2023"/>
      <sheetName val="01.2023"/>
      <sheetName val="12.2022"/>
      <sheetName val="11.2022"/>
      <sheetName val="10.2022"/>
      <sheetName val="09.2022"/>
      <sheetName val="08.2022"/>
      <sheetName val="07.2022"/>
      <sheetName val="06.2022"/>
      <sheetName val="05.2022"/>
      <sheetName val="07.2020"/>
      <sheetName val="08.2020"/>
      <sheetName val="Plan1"/>
      <sheetName val="03.2022"/>
      <sheetName val="04.2022"/>
      <sheetName val="06.2021"/>
      <sheetName val="07.2021"/>
      <sheetName val="08.2021"/>
      <sheetName val="09.2021"/>
    </sheetNames>
    <sheetDataSet>
      <sheetData sheetId="0"/>
      <sheetData sheetId="1">
        <row r="19">
          <cell r="C19">
            <v>-3294139.71</v>
          </cell>
        </row>
      </sheetData>
      <sheetData sheetId="2"/>
      <sheetData sheetId="3">
        <row r="11">
          <cell r="F11">
            <v>-296602.9999999986</v>
          </cell>
        </row>
        <row r="13">
          <cell r="F13">
            <v>0</v>
          </cell>
        </row>
        <row r="14">
          <cell r="F14">
            <v>16283.03</v>
          </cell>
        </row>
        <row r="15">
          <cell r="F15">
            <v>1314</v>
          </cell>
        </row>
        <row r="17">
          <cell r="F17">
            <v>0</v>
          </cell>
        </row>
        <row r="18">
          <cell r="F18">
            <v>0</v>
          </cell>
        </row>
        <row r="19">
          <cell r="F19">
            <v>1989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  <row r="23">
          <cell r="F23"/>
        </row>
        <row r="24">
          <cell r="F24">
            <v>283988.84000000003</v>
          </cell>
        </row>
        <row r="25">
          <cell r="F25">
            <v>31031.3</v>
          </cell>
        </row>
        <row r="29">
          <cell r="F29">
            <v>0</v>
          </cell>
        </row>
        <row r="30">
          <cell r="F30">
            <v>22945.54</v>
          </cell>
        </row>
        <row r="31">
          <cell r="F31">
            <v>0</v>
          </cell>
        </row>
        <row r="34">
          <cell r="O34">
            <v>0</v>
          </cell>
        </row>
        <row r="82">
          <cell r="O82">
            <v>0</v>
          </cell>
        </row>
      </sheetData>
      <sheetData sheetId="4">
        <row r="210">
          <cell r="G210"/>
        </row>
      </sheetData>
      <sheetData sheetId="5"/>
      <sheetData sheetId="6"/>
      <sheetData sheetId="7">
        <row r="1348">
          <cell r="G1348">
            <v>-9473052.0600000005</v>
          </cell>
        </row>
        <row r="1398">
          <cell r="G1398">
            <v>0</v>
          </cell>
        </row>
        <row r="1399">
          <cell r="G1399">
            <v>0</v>
          </cell>
        </row>
        <row r="1400">
          <cell r="G1400">
            <v>0</v>
          </cell>
        </row>
        <row r="1427">
          <cell r="G1427">
            <v>8384058.8799999999</v>
          </cell>
        </row>
        <row r="1441">
          <cell r="G1441">
            <v>0</v>
          </cell>
        </row>
        <row r="1442">
          <cell r="G1442">
            <v>2089.2199999999998</v>
          </cell>
        </row>
        <row r="1443">
          <cell r="G1443">
            <v>0</v>
          </cell>
        </row>
        <row r="1455">
          <cell r="G1455">
            <v>149383.69</v>
          </cell>
        </row>
        <row r="1463">
          <cell r="G1463">
            <v>438</v>
          </cell>
        </row>
        <row r="1557">
          <cell r="G1557">
            <v>0</v>
          </cell>
        </row>
        <row r="1580">
          <cell r="G1580">
            <v>0</v>
          </cell>
        </row>
        <row r="1581">
          <cell r="G1581">
            <v>0</v>
          </cell>
        </row>
        <row r="1595">
          <cell r="G1595">
            <v>67552.81</v>
          </cell>
        </row>
        <row r="1603">
          <cell r="G1603">
            <v>663</v>
          </cell>
        </row>
        <row r="1673">
          <cell r="G1673">
            <v>0</v>
          </cell>
        </row>
        <row r="1674">
          <cell r="G1674">
            <v>0</v>
          </cell>
        </row>
        <row r="1675">
          <cell r="G1675">
            <v>0</v>
          </cell>
        </row>
        <row r="1711">
          <cell r="G1711">
            <v>20649</v>
          </cell>
        </row>
        <row r="1728">
          <cell r="G1728">
            <v>134429.18</v>
          </cell>
        </row>
        <row r="1729">
          <cell r="G1729">
            <v>0</v>
          </cell>
        </row>
      </sheetData>
      <sheetData sheetId="8">
        <row r="1355">
          <cell r="G1355">
            <v>-19581925.629999999</v>
          </cell>
        </row>
        <row r="1405">
          <cell r="G1405">
            <v>0</v>
          </cell>
        </row>
        <row r="1406">
          <cell r="G1406">
            <v>0</v>
          </cell>
        </row>
        <row r="1407">
          <cell r="G1407">
            <v>0</v>
          </cell>
        </row>
        <row r="1434">
          <cell r="G1434">
            <v>17552573.829999998</v>
          </cell>
        </row>
        <row r="1448">
          <cell r="G1448">
            <v>0</v>
          </cell>
        </row>
        <row r="1449">
          <cell r="G1449">
            <v>16283.03</v>
          </cell>
        </row>
        <row r="1450">
          <cell r="G1450">
            <v>0</v>
          </cell>
        </row>
        <row r="1462">
          <cell r="G1462">
            <v>297940.8</v>
          </cell>
        </row>
        <row r="1470">
          <cell r="G1470">
            <v>876</v>
          </cell>
        </row>
        <row r="1564">
          <cell r="G1564">
            <v>0</v>
          </cell>
        </row>
        <row r="1587">
          <cell r="G1587">
            <v>0</v>
          </cell>
        </row>
        <row r="1588">
          <cell r="G1588">
            <v>0</v>
          </cell>
        </row>
        <row r="1602">
          <cell r="G1602">
            <v>135105.62</v>
          </cell>
        </row>
        <row r="1610">
          <cell r="G1610">
            <v>1326</v>
          </cell>
        </row>
        <row r="1671">
          <cell r="G1671">
            <v>208943.06</v>
          </cell>
        </row>
        <row r="1674">
          <cell r="G1674">
            <v>78577.48</v>
          </cell>
        </row>
        <row r="1680">
          <cell r="G1680">
            <v>0</v>
          </cell>
        </row>
        <row r="1681">
          <cell r="G1681">
            <v>0</v>
          </cell>
        </row>
        <row r="1682">
          <cell r="G1682">
            <v>0</v>
          </cell>
        </row>
        <row r="1718">
          <cell r="G1718">
            <v>20649</v>
          </cell>
        </row>
        <row r="1735">
          <cell r="G1735">
            <v>268858.34999999998</v>
          </cell>
        </row>
        <row r="1736">
          <cell r="G1736">
            <v>0</v>
          </cell>
        </row>
      </sheetData>
      <sheetData sheetId="9"/>
      <sheetData sheetId="10">
        <row r="13">
          <cell r="F13">
            <v>0</v>
          </cell>
        </row>
        <row r="14">
          <cell r="F14">
            <v>5034.72</v>
          </cell>
        </row>
        <row r="15">
          <cell r="F15">
            <v>1020</v>
          </cell>
        </row>
        <row r="17">
          <cell r="F17">
            <v>22715.26</v>
          </cell>
        </row>
        <row r="18">
          <cell r="F18">
            <v>7573.41</v>
          </cell>
        </row>
        <row r="19">
          <cell r="F19">
            <v>1876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  <row r="23">
          <cell r="F23">
            <v>0</v>
          </cell>
        </row>
        <row r="24">
          <cell r="F24">
            <v>1522061.72</v>
          </cell>
        </row>
        <row r="25">
          <cell r="F25">
            <v>0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  <row r="54">
          <cell r="F54">
            <v>3162345.2800000068</v>
          </cell>
        </row>
      </sheetData>
      <sheetData sheetId="11"/>
      <sheetData sheetId="12">
        <row r="194">
          <cell r="H194">
            <v>-36035568.840000004</v>
          </cell>
        </row>
        <row r="208">
          <cell r="H208">
            <v>33776380.299999997</v>
          </cell>
        </row>
        <row r="216">
          <cell r="H216">
            <v>5034.72</v>
          </cell>
        </row>
        <row r="226">
          <cell r="H226">
            <v>323722.11</v>
          </cell>
        </row>
        <row r="230">
          <cell r="H230">
            <v>1020</v>
          </cell>
        </row>
        <row r="269">
          <cell r="H269">
            <v>22715.26</v>
          </cell>
        </row>
        <row r="270">
          <cell r="H270">
            <v>7573.41</v>
          </cell>
        </row>
        <row r="280">
          <cell r="H280">
            <v>77794.039999999994</v>
          </cell>
        </row>
        <row r="285">
          <cell r="H285">
            <v>1876</v>
          </cell>
        </row>
        <row r="311">
          <cell r="H311">
            <v>652592.43000000005</v>
          </cell>
        </row>
        <row r="313">
          <cell r="H313">
            <v>250564.31</v>
          </cell>
        </row>
        <row r="334">
          <cell r="H334">
            <v>0</v>
          </cell>
        </row>
        <row r="340">
          <cell r="H340">
            <v>1522061.72</v>
          </cell>
        </row>
      </sheetData>
      <sheetData sheetId="13">
        <row r="191">
          <cell r="H191">
            <v>25385208.739999998</v>
          </cell>
        </row>
        <row r="205">
          <cell r="H205">
            <v>21832221.059999999</v>
          </cell>
        </row>
        <row r="222">
          <cell r="H222">
            <v>170709.37</v>
          </cell>
        </row>
        <row r="226">
          <cell r="H226">
            <v>680</v>
          </cell>
        </row>
        <row r="264">
          <cell r="H264">
            <v>22715.26</v>
          </cell>
        </row>
        <row r="274">
          <cell r="H274">
            <v>77794.039999999994</v>
          </cell>
        </row>
        <row r="279">
          <cell r="H279">
            <v>1250</v>
          </cell>
        </row>
        <row r="305">
          <cell r="H305">
            <v>252568.44</v>
          </cell>
        </row>
        <row r="307">
          <cell r="H307">
            <v>100558.09</v>
          </cell>
        </row>
        <row r="326">
          <cell r="H326">
            <v>4980.5</v>
          </cell>
        </row>
        <row r="332">
          <cell r="H332">
            <v>41471.300000000003</v>
          </cell>
        </row>
      </sheetData>
      <sheetData sheetId="14">
        <row r="187">
          <cell r="H187">
            <v>11891006.949999999</v>
          </cell>
        </row>
        <row r="199">
          <cell r="H199">
            <v>10339582.65</v>
          </cell>
        </row>
        <row r="216">
          <cell r="H216">
            <v>18143.32</v>
          </cell>
        </row>
        <row r="220">
          <cell r="H220">
            <v>340</v>
          </cell>
        </row>
        <row r="253">
          <cell r="H253">
            <v>18055.72</v>
          </cell>
        </row>
        <row r="263">
          <cell r="H263">
            <v>7947.77</v>
          </cell>
        </row>
        <row r="268">
          <cell r="H268">
            <v>624</v>
          </cell>
        </row>
        <row r="304">
          <cell r="H304">
            <v>4980.5</v>
          </cell>
        </row>
        <row r="310">
          <cell r="H310">
            <v>20735.650000000001</v>
          </cell>
        </row>
      </sheetData>
      <sheetData sheetId="15">
        <row r="221">
          <cell r="H221">
            <v>119101212.62</v>
          </cell>
        </row>
        <row r="237">
          <cell r="H237">
            <v>24169.200000000001</v>
          </cell>
        </row>
        <row r="238">
          <cell r="H238">
            <v>49681.23</v>
          </cell>
        </row>
        <row r="244">
          <cell r="H244">
            <v>121552714.43000001</v>
          </cell>
        </row>
        <row r="252">
          <cell r="H252">
            <v>47574.65</v>
          </cell>
        </row>
        <row r="253">
          <cell r="H253">
            <v>31857.77</v>
          </cell>
        </row>
        <row r="263">
          <cell r="H263">
            <v>1886772.51</v>
          </cell>
        </row>
        <row r="267">
          <cell r="H267">
            <v>4880</v>
          </cell>
        </row>
        <row r="308">
          <cell r="H308">
            <v>96358.92</v>
          </cell>
        </row>
        <row r="318">
          <cell r="H318">
            <v>866557.95</v>
          </cell>
        </row>
        <row r="323">
          <cell r="H323">
            <v>7588</v>
          </cell>
        </row>
        <row r="352">
          <cell r="H352">
            <v>228883.71</v>
          </cell>
        </row>
        <row r="353">
          <cell r="H353">
            <v>5067.3599999999997</v>
          </cell>
        </row>
        <row r="354">
          <cell r="H354">
            <v>2346.3000000000002</v>
          </cell>
        </row>
        <row r="377">
          <cell r="H377">
            <v>45767.3</v>
          </cell>
        </row>
        <row r="384">
          <cell r="H384">
            <v>946011.8</v>
          </cell>
        </row>
      </sheetData>
      <sheetData sheetId="16">
        <row r="1">
          <cell r="B1" t="str">
            <v>Balancete Contábil Analítico</v>
          </cell>
          <cell r="C1" t="str">
            <v xml:space="preserve"> </v>
          </cell>
          <cell r="D1" t="str">
            <v xml:space="preserve">  </v>
          </cell>
          <cell r="E1" t="str">
            <v xml:space="preserve">   </v>
          </cell>
          <cell r="F1" t="str">
            <v xml:space="preserve">    </v>
          </cell>
          <cell r="G1" t="str">
            <v xml:space="preserve">     </v>
          </cell>
        </row>
        <row r="7">
          <cell r="B7" t="str">
            <v>Reduzido</v>
          </cell>
          <cell r="C7" t="str">
            <v>Descrição</v>
          </cell>
          <cell r="D7" t="str">
            <v>Anterior</v>
          </cell>
          <cell r="E7" t="str">
            <v>Débitos</v>
          </cell>
          <cell r="F7" t="str">
            <v>Créditos</v>
          </cell>
          <cell r="G7" t="str">
            <v>Saldo Atual</v>
          </cell>
        </row>
        <row r="8">
          <cell r="B8">
            <v>1</v>
          </cell>
          <cell r="C8" t="str">
            <v>Ativo</v>
          </cell>
          <cell r="D8">
            <v>56914289.880000003</v>
          </cell>
          <cell r="E8">
            <v>10415476.65</v>
          </cell>
          <cell r="F8">
            <v>-10900099.51</v>
          </cell>
          <cell r="G8">
            <v>56429667.020000003</v>
          </cell>
        </row>
        <row r="9">
          <cell r="B9">
            <v>11</v>
          </cell>
          <cell r="C9" t="str">
            <v>Circulante</v>
          </cell>
          <cell r="D9">
            <v>43189518.880000003</v>
          </cell>
          <cell r="E9">
            <v>9579223.5899999999</v>
          </cell>
          <cell r="F9">
            <v>-10122354.76</v>
          </cell>
          <cell r="G9">
            <v>42646387.710000001</v>
          </cell>
        </row>
        <row r="10">
          <cell r="B10">
            <v>111</v>
          </cell>
          <cell r="C10" t="str">
            <v>Disponibilidades</v>
          </cell>
          <cell r="D10">
            <v>38435775.770000003</v>
          </cell>
          <cell r="E10">
            <v>9036011.8499999996</v>
          </cell>
          <cell r="F10">
            <v>-9347862.8100000005</v>
          </cell>
          <cell r="G10">
            <v>38123924.810000002</v>
          </cell>
        </row>
        <row r="11">
          <cell r="B11">
            <v>1112</v>
          </cell>
          <cell r="C11" t="str">
            <v>Bancos</v>
          </cell>
          <cell r="D11">
            <v>38435775.770000003</v>
          </cell>
          <cell r="E11">
            <v>9036011.8499999996</v>
          </cell>
          <cell r="F11">
            <v>-9347862.8100000005</v>
          </cell>
          <cell r="G11">
            <v>38123924.810000002</v>
          </cell>
        </row>
        <row r="12">
          <cell r="B12" t="str">
            <v>BB</v>
          </cell>
          <cell r="C12" t="str">
            <v>Banco do Brasil conta única União</v>
          </cell>
          <cell r="D12">
            <v>38435775.770000003</v>
          </cell>
          <cell r="E12">
            <v>6619781.0700000003</v>
          </cell>
          <cell r="F12">
            <v>-6931632.0300000003</v>
          </cell>
          <cell r="G12">
            <v>38123924.810000002</v>
          </cell>
        </row>
        <row r="13">
          <cell r="B13" t="str">
            <v>CO</v>
          </cell>
          <cell r="C13" t="str">
            <v>Receita Cota Orçamentária</v>
          </cell>
          <cell r="D13">
            <v>0</v>
          </cell>
          <cell r="E13">
            <v>2416230.7799999998</v>
          </cell>
          <cell r="F13">
            <v>-2416230.7799999998</v>
          </cell>
          <cell r="G13">
            <v>0</v>
          </cell>
        </row>
        <row r="14">
          <cell r="B14">
            <v>112</v>
          </cell>
          <cell r="C14" t="str">
            <v>Créditos, Direitos e Bens</v>
          </cell>
          <cell r="D14">
            <v>3197439.84</v>
          </cell>
          <cell r="E14">
            <v>407692.64</v>
          </cell>
          <cell r="F14">
            <v>-424001.24</v>
          </cell>
          <cell r="G14">
            <v>3181131.24</v>
          </cell>
        </row>
        <row r="15">
          <cell r="B15">
            <v>1123</v>
          </cell>
          <cell r="C15" t="str">
            <v>Tributos a Recuperar ou Compensáveis</v>
          </cell>
          <cell r="D15">
            <v>931000.26</v>
          </cell>
          <cell r="E15">
            <v>3913.04</v>
          </cell>
          <cell r="F15">
            <v>0</v>
          </cell>
          <cell r="G15">
            <v>934913.3</v>
          </cell>
        </row>
        <row r="16">
          <cell r="B16">
            <v>11239</v>
          </cell>
          <cell r="C16" t="str">
            <v>COFINS a Recuperar</v>
          </cell>
          <cell r="D16">
            <v>1456.05</v>
          </cell>
          <cell r="E16">
            <v>14.86</v>
          </cell>
          <cell r="F16">
            <v>0</v>
          </cell>
          <cell r="G16">
            <v>1470.91</v>
          </cell>
        </row>
        <row r="17">
          <cell r="B17">
            <v>112316</v>
          </cell>
          <cell r="C17" t="str">
            <v>IRPJ Estimativa</v>
          </cell>
          <cell r="D17">
            <v>452456.78</v>
          </cell>
          <cell r="E17">
            <v>0</v>
          </cell>
          <cell r="F17">
            <v>0</v>
          </cell>
          <cell r="G17">
            <v>452456.78</v>
          </cell>
        </row>
        <row r="18">
          <cell r="B18">
            <v>112317</v>
          </cell>
          <cell r="C18" t="str">
            <v>CSLL Estimativa</v>
          </cell>
          <cell r="D18">
            <v>57144.98</v>
          </cell>
          <cell r="E18">
            <v>0</v>
          </cell>
          <cell r="F18">
            <v>0</v>
          </cell>
          <cell r="G18">
            <v>57144.98</v>
          </cell>
        </row>
        <row r="19">
          <cell r="B19">
            <v>112323</v>
          </cell>
          <cell r="C19" t="str">
            <v>IRRF a Compensar</v>
          </cell>
          <cell r="D19">
            <v>6115.24</v>
          </cell>
          <cell r="E19">
            <v>44.98</v>
          </cell>
          <cell r="F19">
            <v>0</v>
          </cell>
          <cell r="G19">
            <v>6160.22</v>
          </cell>
        </row>
        <row r="20">
          <cell r="B20">
            <v>112327</v>
          </cell>
          <cell r="C20" t="str">
            <v>PIS a Restituir</v>
          </cell>
          <cell r="D20">
            <v>234.63</v>
          </cell>
          <cell r="E20">
            <v>2.1</v>
          </cell>
          <cell r="F20">
            <v>0</v>
          </cell>
          <cell r="G20">
            <v>236.73</v>
          </cell>
        </row>
        <row r="21">
          <cell r="B21">
            <v>112332</v>
          </cell>
          <cell r="C21" t="str">
            <v>IRPJ Saldo negativo 2021</v>
          </cell>
          <cell r="D21">
            <v>297645.21000000002</v>
          </cell>
          <cell r="E21">
            <v>2770.31</v>
          </cell>
          <cell r="F21">
            <v>0</v>
          </cell>
          <cell r="G21">
            <v>300415.52</v>
          </cell>
        </row>
        <row r="22">
          <cell r="B22">
            <v>112333</v>
          </cell>
          <cell r="C22" t="str">
            <v>CSLL Saldo negativo 2021</v>
          </cell>
          <cell r="D22">
            <v>114092.02</v>
          </cell>
          <cell r="E22">
            <v>1061.9100000000001</v>
          </cell>
          <cell r="F22">
            <v>0</v>
          </cell>
          <cell r="G22">
            <v>115153.93</v>
          </cell>
        </row>
        <row r="23">
          <cell r="B23">
            <v>112334</v>
          </cell>
          <cell r="C23" t="str">
            <v>COSIRF a restituir</v>
          </cell>
          <cell r="D23">
            <v>1855.35</v>
          </cell>
          <cell r="E23">
            <v>18.88</v>
          </cell>
          <cell r="F23">
            <v>0</v>
          </cell>
          <cell r="G23">
            <v>1874.23</v>
          </cell>
        </row>
        <row r="24">
          <cell r="B24">
            <v>1124</v>
          </cell>
          <cell r="C24" t="str">
            <v>Adiantamentos a Empregados</v>
          </cell>
          <cell r="D24">
            <v>2266307.6</v>
          </cell>
          <cell r="E24">
            <v>380248.59</v>
          </cell>
          <cell r="F24">
            <v>-400470.23</v>
          </cell>
          <cell r="G24">
            <v>2246085.96</v>
          </cell>
        </row>
        <row r="25">
          <cell r="B25">
            <v>11241</v>
          </cell>
          <cell r="C25" t="str">
            <v>Adiantamento de Férias</v>
          </cell>
          <cell r="D25">
            <v>147928.82999999999</v>
          </cell>
          <cell r="E25">
            <v>315655.18</v>
          </cell>
          <cell r="F25">
            <v>-335876.82</v>
          </cell>
          <cell r="G25">
            <v>127707.19</v>
          </cell>
        </row>
        <row r="26">
          <cell r="B26">
            <v>11242</v>
          </cell>
          <cell r="C26" t="str">
            <v>Adiantamento de 13º Salário</v>
          </cell>
          <cell r="D26">
            <v>2118378.77</v>
          </cell>
          <cell r="E26">
            <v>0</v>
          </cell>
          <cell r="F26">
            <v>0</v>
          </cell>
          <cell r="G26">
            <v>2118378.77</v>
          </cell>
        </row>
        <row r="27">
          <cell r="B27">
            <v>112424</v>
          </cell>
          <cell r="C27" t="str">
            <v>Empréstimo a funcionários</v>
          </cell>
          <cell r="D27">
            <v>0</v>
          </cell>
          <cell r="E27">
            <v>59389.47</v>
          </cell>
          <cell r="F27">
            <v>-59389.47</v>
          </cell>
          <cell r="G27">
            <v>0</v>
          </cell>
        </row>
        <row r="28">
          <cell r="B28">
            <v>112425</v>
          </cell>
          <cell r="C28" t="str">
            <v>Mensalidade AEPE</v>
          </cell>
          <cell r="D28">
            <v>0</v>
          </cell>
          <cell r="E28">
            <v>5203.9399999999996</v>
          </cell>
          <cell r="F28">
            <v>-5203.9399999999996</v>
          </cell>
          <cell r="G28">
            <v>0</v>
          </cell>
        </row>
        <row r="29">
          <cell r="B29">
            <v>11299</v>
          </cell>
          <cell r="C29" t="str">
            <v>Outros Créditos</v>
          </cell>
          <cell r="D29">
            <v>131.97999999999999</v>
          </cell>
          <cell r="E29">
            <v>23531.01</v>
          </cell>
          <cell r="F29">
            <v>-23531.01</v>
          </cell>
          <cell r="G29">
            <v>131.97999999999999</v>
          </cell>
        </row>
        <row r="30">
          <cell r="B30">
            <v>112995</v>
          </cell>
          <cell r="C30" t="str">
            <v>Ressarcimento de Cedidos</v>
          </cell>
          <cell r="D30">
            <v>0</v>
          </cell>
          <cell r="E30">
            <v>23531.01</v>
          </cell>
          <cell r="F30">
            <v>-23531.01</v>
          </cell>
          <cell r="G30">
            <v>0</v>
          </cell>
        </row>
        <row r="31">
          <cell r="B31">
            <v>11299999</v>
          </cell>
          <cell r="C31" t="str">
            <v>Créditos Diversos</v>
          </cell>
          <cell r="D31">
            <v>131.97999999999999</v>
          </cell>
          <cell r="E31">
            <v>0</v>
          </cell>
          <cell r="F31">
            <v>0</v>
          </cell>
          <cell r="G31">
            <v>131.97999999999999</v>
          </cell>
        </row>
        <row r="32">
          <cell r="B32">
            <v>113</v>
          </cell>
          <cell r="C32" t="str">
            <v>Despesas Antecipadas</v>
          </cell>
          <cell r="D32">
            <v>1556303.27</v>
          </cell>
          <cell r="E32">
            <v>135519.1</v>
          </cell>
          <cell r="F32">
            <v>-350490.71</v>
          </cell>
          <cell r="G32">
            <v>1341331.6599999999</v>
          </cell>
        </row>
        <row r="33">
          <cell r="B33">
            <v>1131</v>
          </cell>
          <cell r="C33" t="str">
            <v>Despesas Antecipadas</v>
          </cell>
          <cell r="D33">
            <v>1556303.27</v>
          </cell>
          <cell r="E33">
            <v>135519.1</v>
          </cell>
          <cell r="F33">
            <v>-350490.71</v>
          </cell>
          <cell r="G33">
            <v>1341331.6599999999</v>
          </cell>
        </row>
        <row r="34">
          <cell r="B34">
            <v>11311</v>
          </cell>
          <cell r="C34" t="str">
            <v>Prêmio de Seguros Pagos Antecipadamente</v>
          </cell>
          <cell r="D34">
            <v>21331.72</v>
          </cell>
          <cell r="E34">
            <v>0</v>
          </cell>
          <cell r="F34">
            <v>-15998.79</v>
          </cell>
          <cell r="G34">
            <v>5332.93</v>
          </cell>
        </row>
        <row r="35">
          <cell r="B35">
            <v>11312</v>
          </cell>
          <cell r="C35" t="str">
            <v>Assinaturas e Anuidades</v>
          </cell>
          <cell r="D35">
            <v>196142.52</v>
          </cell>
          <cell r="E35">
            <v>24454.11</v>
          </cell>
          <cell r="F35">
            <v>-76842.720000000001</v>
          </cell>
          <cell r="G35">
            <v>143753.91</v>
          </cell>
        </row>
        <row r="36">
          <cell r="B36">
            <v>11313</v>
          </cell>
          <cell r="C36" t="str">
            <v>Provedores de Informações</v>
          </cell>
          <cell r="D36">
            <v>41665.72</v>
          </cell>
          <cell r="E36">
            <v>19923.599999999999</v>
          </cell>
          <cell r="F36">
            <v>-13692.3</v>
          </cell>
          <cell r="G36">
            <v>47897.02</v>
          </cell>
        </row>
        <row r="37">
          <cell r="B37">
            <v>11315</v>
          </cell>
          <cell r="C37" t="str">
            <v>Iptu a Apropriar</v>
          </cell>
          <cell r="D37">
            <v>67854.850000000006</v>
          </cell>
          <cell r="E37">
            <v>0</v>
          </cell>
          <cell r="F37">
            <v>-32832.99</v>
          </cell>
          <cell r="G37">
            <v>35021.86</v>
          </cell>
        </row>
        <row r="38">
          <cell r="B38">
            <v>11316</v>
          </cell>
          <cell r="C38" t="str">
            <v>Manutenção de Software</v>
          </cell>
          <cell r="D38">
            <v>1190461.51</v>
          </cell>
          <cell r="E38">
            <v>91141.39</v>
          </cell>
          <cell r="F38">
            <v>-189726.84</v>
          </cell>
          <cell r="G38">
            <v>1091876.06</v>
          </cell>
        </row>
        <row r="39">
          <cell r="B39">
            <v>1131999</v>
          </cell>
          <cell r="C39" t="str">
            <v>Outras Despesas Antecipadas</v>
          </cell>
          <cell r="D39">
            <v>38846.949999999997</v>
          </cell>
          <cell r="E39">
            <v>0</v>
          </cell>
          <cell r="F39">
            <v>-21397.07</v>
          </cell>
          <cell r="G39">
            <v>17449.88</v>
          </cell>
        </row>
        <row r="40">
          <cell r="B40">
            <v>12</v>
          </cell>
          <cell r="C40" t="str">
            <v>Ativo Não Circulante</v>
          </cell>
          <cell r="D40">
            <v>13724771</v>
          </cell>
          <cell r="E40">
            <v>836253.06</v>
          </cell>
          <cell r="F40">
            <v>-777744.75</v>
          </cell>
          <cell r="G40">
            <v>13783279.310000001</v>
          </cell>
        </row>
        <row r="41">
          <cell r="B41">
            <v>121</v>
          </cell>
          <cell r="C41" t="str">
            <v>Realizavel a Longo Prazo</v>
          </cell>
          <cell r="D41">
            <v>4519255.16</v>
          </cell>
          <cell r="E41">
            <v>17484.03</v>
          </cell>
          <cell r="F41">
            <v>0</v>
          </cell>
          <cell r="G41">
            <v>4536739.1900000004</v>
          </cell>
        </row>
        <row r="42">
          <cell r="B42">
            <v>1213</v>
          </cell>
          <cell r="C42" t="str">
            <v>Tributos a Recuperar ou Compensáveis</v>
          </cell>
          <cell r="D42">
            <v>160844.82</v>
          </cell>
          <cell r="E42">
            <v>1378.1</v>
          </cell>
          <cell r="F42">
            <v>0</v>
          </cell>
          <cell r="G42">
            <v>162222.92000000001</v>
          </cell>
        </row>
        <row r="43">
          <cell r="B43">
            <v>12131</v>
          </cell>
          <cell r="C43" t="str">
            <v>IRPJ a Compensar</v>
          </cell>
          <cell r="D43">
            <v>20949.830000000002</v>
          </cell>
          <cell r="E43">
            <v>176.52</v>
          </cell>
          <cell r="F43">
            <v>0</v>
          </cell>
          <cell r="G43">
            <v>21126.35</v>
          </cell>
        </row>
        <row r="44">
          <cell r="B44">
            <v>12134</v>
          </cell>
          <cell r="C44" t="str">
            <v>ISS a Restituir</v>
          </cell>
          <cell r="D44">
            <v>4640.58</v>
          </cell>
          <cell r="E44">
            <v>0</v>
          </cell>
          <cell r="F44">
            <v>0</v>
          </cell>
          <cell r="G44">
            <v>4640.58</v>
          </cell>
        </row>
        <row r="45">
          <cell r="B45">
            <v>12135</v>
          </cell>
          <cell r="C45" t="str">
            <v>CSLL a Compensar</v>
          </cell>
          <cell r="D45">
            <v>135254.41</v>
          </cell>
          <cell r="E45">
            <v>1201.58</v>
          </cell>
          <cell r="F45">
            <v>0</v>
          </cell>
          <cell r="G45">
            <v>136455.99</v>
          </cell>
        </row>
        <row r="46">
          <cell r="B46">
            <v>1217</v>
          </cell>
          <cell r="C46" t="str">
            <v>Títulos e Valores Mobiliários</v>
          </cell>
          <cell r="D46">
            <v>164.56</v>
          </cell>
          <cell r="E46">
            <v>0</v>
          </cell>
          <cell r="F46">
            <v>0</v>
          </cell>
          <cell r="G46">
            <v>164.56</v>
          </cell>
        </row>
        <row r="47">
          <cell r="B47">
            <v>12171</v>
          </cell>
          <cell r="C47" t="str">
            <v>Ações - Preço de Aquisição</v>
          </cell>
          <cell r="D47">
            <v>164.56</v>
          </cell>
          <cell r="E47">
            <v>0</v>
          </cell>
          <cell r="F47">
            <v>0</v>
          </cell>
          <cell r="G47">
            <v>164.56</v>
          </cell>
        </row>
        <row r="48">
          <cell r="B48">
            <v>1218</v>
          </cell>
          <cell r="C48" t="str">
            <v>Depósitos Judiciais</v>
          </cell>
          <cell r="D48">
            <v>4358245.78</v>
          </cell>
          <cell r="E48">
            <v>16105.93</v>
          </cell>
          <cell r="F48">
            <v>0</v>
          </cell>
          <cell r="G48">
            <v>4374351.71</v>
          </cell>
        </row>
        <row r="49">
          <cell r="B49">
            <v>12181</v>
          </cell>
          <cell r="C49" t="str">
            <v>Depósitos Judiciais - Previdenciários</v>
          </cell>
          <cell r="D49">
            <v>3893878.5</v>
          </cell>
          <cell r="E49">
            <v>12655.39</v>
          </cell>
          <cell r="F49">
            <v>0</v>
          </cell>
          <cell r="G49">
            <v>3906533.89</v>
          </cell>
        </row>
        <row r="50">
          <cell r="B50">
            <v>12182</v>
          </cell>
          <cell r="C50" t="str">
            <v>Depósitos Judiciais - Trabalhistas</v>
          </cell>
          <cell r="D50">
            <v>305307.76</v>
          </cell>
          <cell r="E50">
            <v>2040.33</v>
          </cell>
          <cell r="F50">
            <v>0</v>
          </cell>
          <cell r="G50">
            <v>307348.09000000003</v>
          </cell>
        </row>
        <row r="51">
          <cell r="B51">
            <v>12183</v>
          </cell>
          <cell r="C51" t="str">
            <v>Depósitos Judiciais - Cíveis</v>
          </cell>
          <cell r="D51">
            <v>159059.51999999999</v>
          </cell>
          <cell r="E51">
            <v>1410.21</v>
          </cell>
          <cell r="F51">
            <v>0</v>
          </cell>
          <cell r="G51">
            <v>160469.73000000001</v>
          </cell>
        </row>
        <row r="52">
          <cell r="B52">
            <v>123</v>
          </cell>
          <cell r="C52" t="str">
            <v>Imobilizado</v>
          </cell>
          <cell r="D52">
            <v>5842513.3099999996</v>
          </cell>
          <cell r="E52">
            <v>818769.03</v>
          </cell>
          <cell r="F52">
            <v>-665827.54</v>
          </cell>
          <cell r="G52">
            <v>5995454.7999999998</v>
          </cell>
        </row>
        <row r="53">
          <cell r="B53">
            <v>1231</v>
          </cell>
          <cell r="C53" t="str">
            <v>Bens em Operação</v>
          </cell>
          <cell r="D53">
            <v>15681822.18</v>
          </cell>
          <cell r="E53">
            <v>728385.4</v>
          </cell>
          <cell r="F53">
            <v>-537682.03</v>
          </cell>
          <cell r="G53">
            <v>15872525.550000001</v>
          </cell>
        </row>
        <row r="54">
          <cell r="B54">
            <v>12313</v>
          </cell>
          <cell r="C54" t="str">
            <v>Instalações</v>
          </cell>
          <cell r="D54">
            <v>2490440.14</v>
          </cell>
          <cell r="E54">
            <v>0</v>
          </cell>
          <cell r="F54">
            <v>-90383.63</v>
          </cell>
          <cell r="G54">
            <v>2400056.5099999998</v>
          </cell>
        </row>
        <row r="55">
          <cell r="B55">
            <v>12314</v>
          </cell>
          <cell r="C55" t="str">
            <v>Máquinas e Equipamentos</v>
          </cell>
          <cell r="D55">
            <v>791662.23</v>
          </cell>
          <cell r="E55">
            <v>0</v>
          </cell>
          <cell r="F55">
            <v>0</v>
          </cell>
          <cell r="G55">
            <v>791662.23</v>
          </cell>
        </row>
        <row r="56">
          <cell r="B56">
            <v>12315</v>
          </cell>
          <cell r="C56" t="str">
            <v>Equipamentos de Informática</v>
          </cell>
          <cell r="D56">
            <v>10213891.5</v>
          </cell>
          <cell r="E56">
            <v>700987</v>
          </cell>
          <cell r="F56">
            <v>-419900</v>
          </cell>
          <cell r="G56">
            <v>10494978.5</v>
          </cell>
        </row>
        <row r="57">
          <cell r="B57">
            <v>12317</v>
          </cell>
          <cell r="C57" t="str">
            <v>Móveis e Utensílios</v>
          </cell>
          <cell r="D57">
            <v>2185828.31</v>
          </cell>
          <cell r="E57">
            <v>27398.400000000001</v>
          </cell>
          <cell r="F57">
            <v>-27398.400000000001</v>
          </cell>
          <cell r="G57">
            <v>2185828.31</v>
          </cell>
        </row>
        <row r="58">
          <cell r="B58">
            <v>12398</v>
          </cell>
          <cell r="C58" t="str">
            <v>(-) Depreciação, Amortização e Exaustão</v>
          </cell>
          <cell r="D58">
            <v>-9839308.8699999992</v>
          </cell>
          <cell r="E58">
            <v>90383.63</v>
          </cell>
          <cell r="F58">
            <v>-128145.51</v>
          </cell>
          <cell r="G58">
            <v>9877070.75</v>
          </cell>
        </row>
        <row r="59">
          <cell r="B59">
            <v>123982</v>
          </cell>
          <cell r="C59" t="str">
            <v>(-) Instalações</v>
          </cell>
          <cell r="D59">
            <v>-529593.43999999994</v>
          </cell>
          <cell r="E59">
            <v>90383.63</v>
          </cell>
          <cell r="F59">
            <v>-20000.46</v>
          </cell>
          <cell r="G59">
            <v>459210.27</v>
          </cell>
        </row>
        <row r="60">
          <cell r="B60">
            <v>123983</v>
          </cell>
          <cell r="C60" t="str">
            <v>(-) Máquinas e Equipamentos</v>
          </cell>
          <cell r="D60">
            <v>-711634.57</v>
          </cell>
          <cell r="E60">
            <v>0</v>
          </cell>
          <cell r="F60">
            <v>-1779</v>
          </cell>
          <cell r="G60">
            <v>713413.57</v>
          </cell>
        </row>
        <row r="61">
          <cell r="B61">
            <v>123984</v>
          </cell>
          <cell r="C61" t="str">
            <v>(-) Equipamentos de Informática</v>
          </cell>
          <cell r="D61">
            <v>-6608370.2599999998</v>
          </cell>
          <cell r="E61">
            <v>0</v>
          </cell>
          <cell r="F61">
            <v>-103050.38</v>
          </cell>
          <cell r="G61">
            <v>6711420.6399999997</v>
          </cell>
        </row>
        <row r="62">
          <cell r="B62">
            <v>123986</v>
          </cell>
          <cell r="C62" t="str">
            <v>(-) Móveis e Utensílios</v>
          </cell>
          <cell r="D62">
            <v>-1989710.6</v>
          </cell>
          <cell r="E62">
            <v>0</v>
          </cell>
          <cell r="F62">
            <v>-3315.67</v>
          </cell>
          <cell r="G62">
            <v>1993026.27</v>
          </cell>
        </row>
        <row r="63">
          <cell r="B63">
            <v>124</v>
          </cell>
          <cell r="C63" t="str">
            <v>Intangível</v>
          </cell>
          <cell r="D63">
            <v>3363002.53</v>
          </cell>
          <cell r="E63">
            <v>0</v>
          </cell>
          <cell r="F63">
            <v>-111917.21</v>
          </cell>
          <cell r="G63">
            <v>3251085.32</v>
          </cell>
        </row>
        <row r="64">
          <cell r="B64">
            <v>1241</v>
          </cell>
          <cell r="C64" t="str">
            <v>Software</v>
          </cell>
          <cell r="D64">
            <v>11738715.48</v>
          </cell>
          <cell r="E64">
            <v>0</v>
          </cell>
          <cell r="F64">
            <v>0</v>
          </cell>
          <cell r="G64">
            <v>11738715.48</v>
          </cell>
        </row>
        <row r="65">
          <cell r="B65">
            <v>124101</v>
          </cell>
          <cell r="C65" t="str">
            <v>Software</v>
          </cell>
          <cell r="D65">
            <v>11738715.48</v>
          </cell>
          <cell r="E65">
            <v>0</v>
          </cell>
          <cell r="F65">
            <v>0</v>
          </cell>
          <cell r="G65">
            <v>11738715.48</v>
          </cell>
        </row>
        <row r="66">
          <cell r="B66">
            <v>12498</v>
          </cell>
          <cell r="C66" t="str">
            <v>( - ) Amortização</v>
          </cell>
          <cell r="D66">
            <v>-8375712.9500000002</v>
          </cell>
          <cell r="E66">
            <v>0</v>
          </cell>
          <cell r="F66">
            <v>-111917.21</v>
          </cell>
          <cell r="G66">
            <v>8487630.1600000001</v>
          </cell>
        </row>
        <row r="67">
          <cell r="B67">
            <v>1242</v>
          </cell>
          <cell r="C67" t="str">
            <v>( - ) Amortização Software</v>
          </cell>
          <cell r="D67">
            <v>-8375712.9500000002</v>
          </cell>
          <cell r="E67">
            <v>0</v>
          </cell>
          <cell r="F67">
            <v>-111917.21</v>
          </cell>
          <cell r="G67">
            <v>8487630.1600000001</v>
          </cell>
        </row>
        <row r="68">
          <cell r="B68">
            <v>2</v>
          </cell>
          <cell r="C68" t="str">
            <v>Passivo</v>
          </cell>
          <cell r="D68">
            <v>-56914289.880000003</v>
          </cell>
          <cell r="E68">
            <v>15143513.66</v>
          </cell>
          <cell r="F68">
            <v>-14658890.800000001</v>
          </cell>
          <cell r="G68">
            <v>56429667.020000003</v>
          </cell>
        </row>
        <row r="69">
          <cell r="B69">
            <v>21</v>
          </cell>
          <cell r="C69" t="str">
            <v>Circulante</v>
          </cell>
          <cell r="D69">
            <v>-22238886.18</v>
          </cell>
          <cell r="E69">
            <v>12192373.449999999</v>
          </cell>
          <cell r="F69">
            <v>-14177942.9</v>
          </cell>
          <cell r="G69">
            <v>24224455.629999999</v>
          </cell>
        </row>
        <row r="70">
          <cell r="B70">
            <v>211</v>
          </cell>
          <cell r="C70" t="str">
            <v>Obrigações de Curto Prazo</v>
          </cell>
          <cell r="D70">
            <v>-22238886.18</v>
          </cell>
          <cell r="E70">
            <v>12192373.449999999</v>
          </cell>
          <cell r="F70">
            <v>-14177942.9</v>
          </cell>
          <cell r="G70">
            <v>24224455.629999999</v>
          </cell>
        </row>
        <row r="71">
          <cell r="B71">
            <v>2114</v>
          </cell>
          <cell r="C71" t="str">
            <v>Fornecedores Nacionais</v>
          </cell>
          <cell r="D71">
            <v>-764659.32</v>
          </cell>
          <cell r="E71">
            <v>3116712.34</v>
          </cell>
          <cell r="F71">
            <v>-4761210.6900000004</v>
          </cell>
          <cell r="G71">
            <v>2409157.67</v>
          </cell>
        </row>
        <row r="72">
          <cell r="B72">
            <v>60444400000000</v>
          </cell>
          <cell r="C72" t="str">
            <v>LIGHT SERVICOS DE ELETRICIDADE S.A</v>
          </cell>
          <cell r="D72">
            <v>-30000</v>
          </cell>
          <cell r="E72">
            <v>43676.24</v>
          </cell>
          <cell r="F72">
            <v>-43676.24</v>
          </cell>
          <cell r="G72">
            <v>30000</v>
          </cell>
        </row>
        <row r="73">
          <cell r="B73">
            <v>34028300000000</v>
          </cell>
          <cell r="C73" t="str">
            <v>EMPRESA BRASILEIRA DE CORREIOS E TELEGRA</v>
          </cell>
          <cell r="D73">
            <v>0</v>
          </cell>
          <cell r="E73">
            <v>188.7</v>
          </cell>
          <cell r="F73">
            <v>-188.7</v>
          </cell>
          <cell r="G73">
            <v>0</v>
          </cell>
        </row>
        <row r="74">
          <cell r="B74" t="str">
            <v>33641663/0001-44</v>
          </cell>
          <cell r="C74" t="str">
            <v>FUNDACAO GETULIO VARGAS</v>
          </cell>
          <cell r="D74">
            <v>0</v>
          </cell>
          <cell r="E74">
            <v>1960</v>
          </cell>
          <cell r="F74">
            <v>-1960</v>
          </cell>
          <cell r="G74">
            <v>0</v>
          </cell>
        </row>
        <row r="75">
          <cell r="B75" t="str">
            <v>09305983/0001-49</v>
          </cell>
          <cell r="C75" t="str">
            <v>PSR SOLUCOES E CONSULTORIA EM ENERGIA LT</v>
          </cell>
          <cell r="D75">
            <v>0</v>
          </cell>
          <cell r="E75">
            <v>5080.13</v>
          </cell>
          <cell r="F75">
            <v>-5080.13</v>
          </cell>
          <cell r="G75">
            <v>0</v>
          </cell>
        </row>
        <row r="76">
          <cell r="B76" t="str">
            <v>69034668/0001-56</v>
          </cell>
          <cell r="C76" t="str">
            <v>SODEXO PASS DO BRASIL SERVC. E COMERCIO</v>
          </cell>
          <cell r="D76">
            <v>0</v>
          </cell>
          <cell r="E76">
            <v>208670.82</v>
          </cell>
          <cell r="F76">
            <v>-208670.82</v>
          </cell>
          <cell r="G76">
            <v>0</v>
          </cell>
        </row>
        <row r="77">
          <cell r="B77" t="str">
            <v>33661745/0001-50</v>
          </cell>
          <cell r="C77" t="str">
            <v>CIEE</v>
          </cell>
          <cell r="D77">
            <v>-1036.6099999999999</v>
          </cell>
          <cell r="E77">
            <v>1036.6099999999999</v>
          </cell>
          <cell r="F77">
            <v>0</v>
          </cell>
          <cell r="G77">
            <v>0</v>
          </cell>
        </row>
        <row r="78">
          <cell r="B78" t="str">
            <v>67393181/0001-34</v>
          </cell>
          <cell r="C78" t="str">
            <v>IMAGEM GEOSISTEMAS E COMERCIO</v>
          </cell>
          <cell r="D78">
            <v>0</v>
          </cell>
          <cell r="E78">
            <v>0</v>
          </cell>
          <cell r="F78">
            <v>-16800</v>
          </cell>
          <cell r="G78">
            <v>16800</v>
          </cell>
        </row>
        <row r="79">
          <cell r="B79" t="str">
            <v>61797924/0007-40</v>
          </cell>
          <cell r="C79" t="str">
            <v>HEWLETT PACKARD DO BRASIL LTDA</v>
          </cell>
          <cell r="D79">
            <v>-8454.1200000000008</v>
          </cell>
          <cell r="E79">
            <v>8454.1200000000008</v>
          </cell>
          <cell r="F79">
            <v>-8454.1200000000008</v>
          </cell>
          <cell r="G79">
            <v>8454.1200000000008</v>
          </cell>
        </row>
        <row r="80">
          <cell r="B80" t="str">
            <v>71208516/0001-74</v>
          </cell>
          <cell r="C80" t="str">
            <v>ALGAR SERVICO E TELECOMUNICACOES</v>
          </cell>
          <cell r="D80">
            <v>-1453.83</v>
          </cell>
          <cell r="E80">
            <v>791.68</v>
          </cell>
          <cell r="F80">
            <v>-676.15</v>
          </cell>
          <cell r="G80">
            <v>1338.3</v>
          </cell>
        </row>
        <row r="81">
          <cell r="B81" t="str">
            <v>33402892/0002-97</v>
          </cell>
          <cell r="C81" t="str">
            <v>ASSOCIAÇÃO BRASILEIRA DE NORMAS TECNICAS</v>
          </cell>
          <cell r="D81">
            <v>-1458.33</v>
          </cell>
          <cell r="E81">
            <v>1458.33</v>
          </cell>
          <cell r="F81">
            <v>-1458.33</v>
          </cell>
          <cell r="G81">
            <v>1458.33</v>
          </cell>
        </row>
        <row r="82">
          <cell r="B82">
            <v>30033800000000</v>
          </cell>
          <cell r="C82" t="str">
            <v>COMITE NAC. BRASILEIRO PROD. TRANS. ENER</v>
          </cell>
          <cell r="D82">
            <v>-1050</v>
          </cell>
          <cell r="E82">
            <v>1050</v>
          </cell>
          <cell r="F82">
            <v>0</v>
          </cell>
          <cell r="G82">
            <v>0</v>
          </cell>
        </row>
        <row r="83">
          <cell r="B83" t="str">
            <v>53113791/0001-22</v>
          </cell>
          <cell r="C83" t="str">
            <v>TOTVS SA</v>
          </cell>
          <cell r="D83">
            <v>0</v>
          </cell>
          <cell r="E83">
            <v>6898.03</v>
          </cell>
          <cell r="F83">
            <v>-51357.77</v>
          </cell>
          <cell r="G83">
            <v>44459.74</v>
          </cell>
        </row>
        <row r="84">
          <cell r="B84" t="str">
            <v>42288886/0001-60</v>
          </cell>
          <cell r="C84" t="str">
            <v>CENTRO DE PESQ DE ENERGIA ELETRICA CEPEL</v>
          </cell>
          <cell r="D84">
            <v>0</v>
          </cell>
          <cell r="E84">
            <v>12281.11</v>
          </cell>
          <cell r="F84">
            <v>-12281.11</v>
          </cell>
          <cell r="G84">
            <v>0</v>
          </cell>
        </row>
        <row r="85">
          <cell r="B85">
            <v>32578400000000</v>
          </cell>
          <cell r="C85" t="str">
            <v>UNITECH-RIO COM. E SERV. LTDA</v>
          </cell>
          <cell r="D85">
            <v>-419900</v>
          </cell>
          <cell r="E85">
            <v>0</v>
          </cell>
          <cell r="F85">
            <v>0</v>
          </cell>
          <cell r="G85">
            <v>419900</v>
          </cell>
        </row>
        <row r="86">
          <cell r="B86" t="str">
            <v>08794730/0001-13</v>
          </cell>
          <cell r="C86" t="str">
            <v>RIOOFFSITE SERVICOS DE FITOTECA LTDA</v>
          </cell>
          <cell r="D86">
            <v>0</v>
          </cell>
          <cell r="E86">
            <v>1446.4</v>
          </cell>
          <cell r="F86">
            <v>-1446.4</v>
          </cell>
          <cell r="G86">
            <v>0</v>
          </cell>
        </row>
        <row r="87">
          <cell r="B87" t="str">
            <v>86781069/0001-15</v>
          </cell>
          <cell r="C87" t="str">
            <v>ZENITE INFORMACAO E CONSULTORIA S/A</v>
          </cell>
          <cell r="D87">
            <v>0</v>
          </cell>
          <cell r="E87">
            <v>0</v>
          </cell>
          <cell r="F87">
            <v>-27483</v>
          </cell>
          <cell r="G87">
            <v>27483</v>
          </cell>
        </row>
        <row r="88">
          <cell r="B88" t="str">
            <v>08255393/0001-96</v>
          </cell>
          <cell r="C88" t="str">
            <v>FOCO OPINIAO E MERCADO LTDA</v>
          </cell>
          <cell r="D88">
            <v>0</v>
          </cell>
          <cell r="E88">
            <v>0</v>
          </cell>
          <cell r="F88">
            <v>-270410</v>
          </cell>
          <cell r="G88">
            <v>270410</v>
          </cell>
        </row>
        <row r="89">
          <cell r="B89" t="str">
            <v>47866934/0001-74</v>
          </cell>
          <cell r="C89" t="str">
            <v>TICKET SERVICOS SA</v>
          </cell>
          <cell r="D89">
            <v>-1450</v>
          </cell>
          <cell r="E89">
            <v>2900</v>
          </cell>
          <cell r="F89">
            <v>-1450</v>
          </cell>
          <cell r="G89">
            <v>0</v>
          </cell>
        </row>
        <row r="90">
          <cell r="B90" t="str">
            <v>05344234/0001-70</v>
          </cell>
          <cell r="C90" t="str">
            <v>RJ LOCACAO DE VEICULOS E SERVICOS LTDA</v>
          </cell>
          <cell r="D90">
            <v>0</v>
          </cell>
          <cell r="E90">
            <v>1201.3599999999999</v>
          </cell>
          <cell r="F90">
            <v>-10921.43</v>
          </cell>
          <cell r="G90">
            <v>9720.07</v>
          </cell>
        </row>
        <row r="91">
          <cell r="B91" t="str">
            <v>86517729/0001-55</v>
          </cell>
          <cell r="C91" t="str">
            <v>VIENA EMPREENDIMENTOS LTDA</v>
          </cell>
          <cell r="D91">
            <v>-84229.6</v>
          </cell>
          <cell r="E91">
            <v>0</v>
          </cell>
          <cell r="F91">
            <v>0</v>
          </cell>
          <cell r="G91">
            <v>84229.6</v>
          </cell>
        </row>
        <row r="92">
          <cell r="B92">
            <v>33754500000000</v>
          </cell>
          <cell r="C92" t="str">
            <v>PREVI - CAIXA DE PREVIDÊNCIA DOS FUNCION</v>
          </cell>
          <cell r="D92">
            <v>0</v>
          </cell>
          <cell r="E92">
            <v>0</v>
          </cell>
          <cell r="F92">
            <v>-276348.53999999998</v>
          </cell>
          <cell r="G92">
            <v>276348.53999999998</v>
          </cell>
        </row>
        <row r="93">
          <cell r="B93">
            <v>3017430000000</v>
          </cell>
          <cell r="C93" t="str">
            <v>NCT INFORMATICA LTDA</v>
          </cell>
          <cell r="D93">
            <v>0</v>
          </cell>
          <cell r="E93">
            <v>6124</v>
          </cell>
          <cell r="F93">
            <v>-6124</v>
          </cell>
          <cell r="G93">
            <v>0</v>
          </cell>
        </row>
        <row r="94">
          <cell r="B94" t="str">
            <v>24602524/0001-10</v>
          </cell>
          <cell r="C94" t="str">
            <v>BIODIESELBR INFORMAÇÃO ESPECIALIZADA LTD</v>
          </cell>
          <cell r="D94">
            <v>0</v>
          </cell>
          <cell r="E94">
            <v>9900</v>
          </cell>
          <cell r="F94">
            <v>-9900</v>
          </cell>
          <cell r="G94">
            <v>0</v>
          </cell>
        </row>
        <row r="95">
          <cell r="B95">
            <v>16727400000000</v>
          </cell>
          <cell r="C95" t="str">
            <v>RIOPAR Participações S/A</v>
          </cell>
          <cell r="D95">
            <v>0</v>
          </cell>
          <cell r="E95">
            <v>5139.96</v>
          </cell>
          <cell r="F95">
            <v>-5139.96</v>
          </cell>
          <cell r="G95">
            <v>0</v>
          </cell>
        </row>
        <row r="96">
          <cell r="B96">
            <v>3535902</v>
          </cell>
          <cell r="C96" t="str">
            <v>DECISION SERVIÇOS DE TECNOLOGIA DA INFOR</v>
          </cell>
          <cell r="D96">
            <v>0</v>
          </cell>
          <cell r="E96">
            <v>1111.1099999999999</v>
          </cell>
          <cell r="F96">
            <v>-232533.11</v>
          </cell>
          <cell r="G96">
            <v>231422</v>
          </cell>
        </row>
        <row r="97">
          <cell r="B97">
            <v>18522900000000</v>
          </cell>
          <cell r="C97" t="str">
            <v>MUNDIVOX COMUNICAÇÕES LTDA</v>
          </cell>
          <cell r="D97">
            <v>0</v>
          </cell>
          <cell r="E97">
            <v>4115.8500000000004</v>
          </cell>
          <cell r="F97">
            <v>-4115.8500000000004</v>
          </cell>
          <cell r="G97">
            <v>0</v>
          </cell>
        </row>
        <row r="98">
          <cell r="B98">
            <v>3200400001</v>
          </cell>
          <cell r="C98" t="str">
            <v>COORDENAÇÃO GERAL DE RECURSOS LOGISTICOS</v>
          </cell>
          <cell r="D98">
            <v>-2176.25</v>
          </cell>
          <cell r="E98">
            <v>0</v>
          </cell>
          <cell r="F98">
            <v>0</v>
          </cell>
          <cell r="G98">
            <v>2176.25</v>
          </cell>
        </row>
        <row r="99">
          <cell r="B99">
            <v>67632200000000</v>
          </cell>
          <cell r="C99" t="str">
            <v>WALM ENG. E TEC. AMBIENTAL LTDA</v>
          </cell>
          <cell r="D99">
            <v>0</v>
          </cell>
          <cell r="E99">
            <v>724806.89</v>
          </cell>
          <cell r="F99">
            <v>-724806.89</v>
          </cell>
          <cell r="G99">
            <v>0</v>
          </cell>
        </row>
        <row r="100">
          <cell r="B100">
            <v>5761750000000</v>
          </cell>
          <cell r="C100" t="str">
            <v>BIOTA PROJETOS E CONSULTORIA AMBIENTAL</v>
          </cell>
          <cell r="D100">
            <v>0</v>
          </cell>
          <cell r="E100">
            <v>830572.7</v>
          </cell>
          <cell r="F100">
            <v>-830572.7</v>
          </cell>
          <cell r="G100">
            <v>0</v>
          </cell>
        </row>
        <row r="101">
          <cell r="B101">
            <v>10348300000000</v>
          </cell>
          <cell r="C101" t="str">
            <v>WINDSOR ADM. DE HOTÉIS E SERVIÇOS</v>
          </cell>
          <cell r="D101">
            <v>0</v>
          </cell>
          <cell r="E101">
            <v>0</v>
          </cell>
          <cell r="F101">
            <v>-5759.42</v>
          </cell>
          <cell r="G101">
            <v>5759.42</v>
          </cell>
        </row>
        <row r="102">
          <cell r="B102">
            <v>23458500000000</v>
          </cell>
          <cell r="C102" t="str">
            <v>4E FOR ECONOMICS CONSULTORIA LTDA</v>
          </cell>
          <cell r="D102">
            <v>0</v>
          </cell>
          <cell r="E102">
            <v>25333.3</v>
          </cell>
          <cell r="F102">
            <v>-25333.3</v>
          </cell>
          <cell r="G102">
            <v>0</v>
          </cell>
        </row>
        <row r="103">
          <cell r="B103">
            <v>52618100000000</v>
          </cell>
          <cell r="C103" t="str">
            <v>GL ELETRO-ELETRONICOS LTDA</v>
          </cell>
          <cell r="D103">
            <v>-359</v>
          </cell>
          <cell r="E103">
            <v>359</v>
          </cell>
          <cell r="F103">
            <v>-359</v>
          </cell>
          <cell r="G103">
            <v>359</v>
          </cell>
        </row>
        <row r="104">
          <cell r="B104">
            <v>2593170000000</v>
          </cell>
          <cell r="C104" t="str">
            <v>GARTNER DO BRASIL SERVIÇOS DE PESQUISA L</v>
          </cell>
          <cell r="D104">
            <v>0</v>
          </cell>
          <cell r="E104">
            <v>0</v>
          </cell>
          <cell r="F104">
            <v>-46525</v>
          </cell>
          <cell r="G104">
            <v>46525</v>
          </cell>
        </row>
        <row r="105">
          <cell r="B105">
            <v>2676310000000</v>
          </cell>
          <cell r="C105" t="str">
            <v>IDEIAS TURISMO EIRELI</v>
          </cell>
          <cell r="D105">
            <v>0</v>
          </cell>
          <cell r="E105">
            <v>86690.2</v>
          </cell>
          <cell r="F105">
            <v>-86690.2</v>
          </cell>
          <cell r="G105">
            <v>0</v>
          </cell>
        </row>
        <row r="106">
          <cell r="B106">
            <v>14031100000000</v>
          </cell>
          <cell r="C106" t="str">
            <v>COND. ED. MARQUES DOS REIS</v>
          </cell>
          <cell r="D106">
            <v>0</v>
          </cell>
          <cell r="E106">
            <v>121034.4</v>
          </cell>
          <cell r="F106">
            <v>-121034.4</v>
          </cell>
          <cell r="G106">
            <v>0</v>
          </cell>
        </row>
        <row r="107">
          <cell r="B107">
            <v>21449300000000</v>
          </cell>
          <cell r="C107" t="str">
            <v>BERKAN AUDITORES INDEPENDENTES S.S</v>
          </cell>
          <cell r="D107">
            <v>0</v>
          </cell>
          <cell r="E107">
            <v>9864.5</v>
          </cell>
          <cell r="F107">
            <v>-9864.5</v>
          </cell>
          <cell r="G107">
            <v>0</v>
          </cell>
        </row>
        <row r="108">
          <cell r="B108">
            <v>74336600000000</v>
          </cell>
          <cell r="C108" t="str">
            <v>ELETROMAGNETICS TEC. E INF. LTDA</v>
          </cell>
          <cell r="D108">
            <v>0</v>
          </cell>
          <cell r="E108">
            <v>0</v>
          </cell>
          <cell r="F108">
            <v>-74341.39</v>
          </cell>
          <cell r="G108">
            <v>74341.39</v>
          </cell>
        </row>
        <row r="109">
          <cell r="B109">
            <v>15011200000000</v>
          </cell>
          <cell r="C109" t="str">
            <v>ESTATER TECNOLOGIA E SERVICOS LTDA</v>
          </cell>
          <cell r="D109">
            <v>0</v>
          </cell>
          <cell r="E109">
            <v>792</v>
          </cell>
          <cell r="F109">
            <v>-792</v>
          </cell>
          <cell r="G109">
            <v>0</v>
          </cell>
        </row>
        <row r="110">
          <cell r="B110">
            <v>3364280000000</v>
          </cell>
          <cell r="C110" t="str">
            <v>AUTODATA SEMINARIOS E EDITORA LTDA</v>
          </cell>
          <cell r="D110">
            <v>0</v>
          </cell>
          <cell r="E110">
            <v>2305.5</v>
          </cell>
          <cell r="F110">
            <v>-2305.5</v>
          </cell>
          <cell r="G110">
            <v>0</v>
          </cell>
        </row>
        <row r="111">
          <cell r="B111">
            <v>7718940000000</v>
          </cell>
          <cell r="C111" t="str">
            <v>ZILMA WAVGENCZAK ME.</v>
          </cell>
          <cell r="D111">
            <v>0</v>
          </cell>
          <cell r="E111">
            <v>140</v>
          </cell>
          <cell r="F111">
            <v>-140</v>
          </cell>
          <cell r="G111">
            <v>0</v>
          </cell>
        </row>
        <row r="112">
          <cell r="B112">
            <v>9079570000000</v>
          </cell>
          <cell r="C112" t="str">
            <v>TOTAL LIFE ASSISTENCIA A VIDA LTDA</v>
          </cell>
          <cell r="D112">
            <v>0</v>
          </cell>
          <cell r="E112">
            <v>0</v>
          </cell>
          <cell r="F112">
            <v>-2914.22</v>
          </cell>
          <cell r="G112">
            <v>2914.22</v>
          </cell>
        </row>
        <row r="113">
          <cell r="B113">
            <v>39545600000000</v>
          </cell>
          <cell r="C113" t="str">
            <v>CVE EVENTOS LTDA</v>
          </cell>
          <cell r="D113">
            <v>0</v>
          </cell>
          <cell r="E113">
            <v>0</v>
          </cell>
          <cell r="F113">
            <v>-2160</v>
          </cell>
          <cell r="G113">
            <v>2160</v>
          </cell>
        </row>
        <row r="114">
          <cell r="B114">
            <v>19088600000000</v>
          </cell>
          <cell r="C114" t="str">
            <v>MGS CLEAN SOLUÇÕES E SERVIÇOS</v>
          </cell>
          <cell r="D114">
            <v>-60000</v>
          </cell>
          <cell r="E114">
            <v>52152.86</v>
          </cell>
          <cell r="F114">
            <v>-136472.88</v>
          </cell>
          <cell r="G114">
            <v>144320.01999999999</v>
          </cell>
        </row>
        <row r="115">
          <cell r="B115">
            <v>398099000000</v>
          </cell>
          <cell r="C115" t="str">
            <v>ASSOCIAÇÃO BRASILEIRA DE ORÇAMENTO PÚBLICO</v>
          </cell>
          <cell r="D115">
            <v>-9000</v>
          </cell>
          <cell r="E115">
            <v>9000</v>
          </cell>
          <cell r="F115">
            <v>0</v>
          </cell>
          <cell r="G115">
            <v>0</v>
          </cell>
        </row>
        <row r="116">
          <cell r="B116">
            <v>10242700000000</v>
          </cell>
          <cell r="C116" t="str">
            <v>BUYSOFT DO BRASIL LTDA</v>
          </cell>
          <cell r="D116">
            <v>-11200</v>
          </cell>
          <cell r="E116">
            <v>11200</v>
          </cell>
          <cell r="F116">
            <v>0</v>
          </cell>
          <cell r="G116">
            <v>0</v>
          </cell>
        </row>
        <row r="117">
          <cell r="B117">
            <v>34036200000000</v>
          </cell>
          <cell r="C117" t="str">
            <v>TIME MULTISSERVIÇOS LTDA</v>
          </cell>
          <cell r="D117">
            <v>-60000</v>
          </cell>
          <cell r="E117">
            <v>125931.93</v>
          </cell>
          <cell r="F117">
            <v>-149839.73000000001</v>
          </cell>
          <cell r="G117">
            <v>83907.8</v>
          </cell>
        </row>
        <row r="118">
          <cell r="B118">
            <v>36813600000000</v>
          </cell>
          <cell r="C118" t="str">
            <v>GESTAO QUANTUM CENTRO DE PROCESSAMENTO CONTABIL</v>
          </cell>
          <cell r="D118">
            <v>-14358.79</v>
          </cell>
          <cell r="E118">
            <v>14358.79</v>
          </cell>
          <cell r="F118">
            <v>-14358.79</v>
          </cell>
          <cell r="G118">
            <v>14358.79</v>
          </cell>
        </row>
        <row r="119">
          <cell r="B119">
            <v>8294690000000</v>
          </cell>
          <cell r="C119" t="str">
            <v>WAYCARBON SOLUCOES AMBIENTAIS E PROJETOS DE CARBONO LT</v>
          </cell>
          <cell r="D119">
            <v>0</v>
          </cell>
          <cell r="E119">
            <v>0</v>
          </cell>
          <cell r="F119">
            <v>-120000</v>
          </cell>
          <cell r="G119">
            <v>120000</v>
          </cell>
        </row>
        <row r="120">
          <cell r="B120">
            <v>3657350000000</v>
          </cell>
          <cell r="C120" t="str">
            <v>ASSOCIAÇÃO BRASILEIRA DE AGENCIAS DE REGULAÇÃO - ABAR</v>
          </cell>
          <cell r="D120">
            <v>0</v>
          </cell>
          <cell r="E120">
            <v>3960</v>
          </cell>
          <cell r="F120">
            <v>-3960</v>
          </cell>
          <cell r="G120">
            <v>0</v>
          </cell>
        </row>
        <row r="121">
          <cell r="B121">
            <v>34977900000000</v>
          </cell>
          <cell r="C121" t="str">
            <v>RMA ENGENHARIA LTDA</v>
          </cell>
          <cell r="D121">
            <v>0</v>
          </cell>
          <cell r="E121">
            <v>0</v>
          </cell>
          <cell r="F121">
            <v>-1400</v>
          </cell>
          <cell r="G121">
            <v>1400</v>
          </cell>
        </row>
        <row r="122">
          <cell r="B122">
            <v>25131900000000</v>
          </cell>
          <cell r="C122" t="str">
            <v>MOBIX ORGANIZACAO E PRODUCAO DE EVENTOS LTDA</v>
          </cell>
          <cell r="D122">
            <v>0</v>
          </cell>
          <cell r="E122">
            <v>0</v>
          </cell>
          <cell r="F122">
            <v>-5700</v>
          </cell>
          <cell r="G122">
            <v>5700</v>
          </cell>
        </row>
        <row r="123">
          <cell r="B123">
            <v>33267100000000</v>
          </cell>
          <cell r="C123" t="str">
            <v>KANELS VAREJO ESPECIALIZADO EM EQUIPAMENTOS DE AUDIO E VIDEO EIRELI</v>
          </cell>
          <cell r="D123">
            <v>0</v>
          </cell>
          <cell r="E123">
            <v>0</v>
          </cell>
          <cell r="F123">
            <v>-49665</v>
          </cell>
          <cell r="G123">
            <v>49665</v>
          </cell>
        </row>
        <row r="124">
          <cell r="B124">
            <v>33198300000000</v>
          </cell>
          <cell r="C124" t="str">
            <v>REFRIGERACAO IV CENTENARIO EIRELI</v>
          </cell>
          <cell r="D124">
            <v>0</v>
          </cell>
          <cell r="E124">
            <v>499.6</v>
          </cell>
          <cell r="F124">
            <v>-499.6</v>
          </cell>
          <cell r="G124">
            <v>0</v>
          </cell>
        </row>
        <row r="125">
          <cell r="B125">
            <v>26543900000000</v>
          </cell>
          <cell r="C125" t="str">
            <v>GRAPHIX COPIAS E IMPRESSOES EIRELI ME</v>
          </cell>
          <cell r="D125">
            <v>-320</v>
          </cell>
          <cell r="E125">
            <v>320</v>
          </cell>
          <cell r="F125">
            <v>0</v>
          </cell>
          <cell r="G125">
            <v>0</v>
          </cell>
        </row>
        <row r="126">
          <cell r="B126">
            <v>10740900000000</v>
          </cell>
          <cell r="C126" t="str">
            <v>A &amp; A TRADUCOES E INTERPRETACOES LTDA</v>
          </cell>
          <cell r="D126">
            <v>-496</v>
          </cell>
          <cell r="E126">
            <v>496</v>
          </cell>
          <cell r="F126">
            <v>0</v>
          </cell>
          <cell r="G126">
            <v>0</v>
          </cell>
        </row>
        <row r="127">
          <cell r="B127">
            <v>28712100000000</v>
          </cell>
          <cell r="C127" t="str">
            <v>MODULO SECURITY SOLUTIONS EM RECUPERACAO JUDICIAL</v>
          </cell>
          <cell r="D127">
            <v>0</v>
          </cell>
          <cell r="E127">
            <v>0</v>
          </cell>
          <cell r="F127">
            <v>-4500</v>
          </cell>
          <cell r="G127">
            <v>4500</v>
          </cell>
        </row>
        <row r="128">
          <cell r="B128">
            <v>1406620000000</v>
          </cell>
          <cell r="C128" t="str">
            <v>AGENCIA DE INTEGRAÇÃO ESCOLA LTDA</v>
          </cell>
          <cell r="D128">
            <v>-55171.46</v>
          </cell>
          <cell r="E128">
            <v>111929.82</v>
          </cell>
          <cell r="F128">
            <v>-56758.36</v>
          </cell>
          <cell r="G128">
            <v>0</v>
          </cell>
        </row>
        <row r="129">
          <cell r="B129">
            <v>12499500000000</v>
          </cell>
          <cell r="C129" t="str">
            <v>CLICKSIGN GESTAO DE DOCUMENTOS S/A</v>
          </cell>
          <cell r="D129">
            <v>0</v>
          </cell>
          <cell r="E129">
            <v>232.2</v>
          </cell>
          <cell r="F129">
            <v>-232.2</v>
          </cell>
          <cell r="G129">
            <v>0</v>
          </cell>
        </row>
        <row r="130">
          <cell r="B130">
            <v>7843950000000</v>
          </cell>
          <cell r="C130" t="str">
            <v>CHESTNUT GLOBAL PARTNERS DO BRASIL LTDA</v>
          </cell>
          <cell r="D130">
            <v>0</v>
          </cell>
          <cell r="E130">
            <v>2750</v>
          </cell>
          <cell r="F130">
            <v>-2750</v>
          </cell>
          <cell r="G130">
            <v>0</v>
          </cell>
        </row>
        <row r="131">
          <cell r="B131">
            <v>72061000000000</v>
          </cell>
          <cell r="C131" t="str">
            <v>FUNDACAO COORDENACAO DE PROJETOS PESQUISAS E ESTUDOS</v>
          </cell>
          <cell r="D131">
            <v>0</v>
          </cell>
          <cell r="E131">
            <v>0</v>
          </cell>
          <cell r="F131">
            <v>-110579.72</v>
          </cell>
          <cell r="G131">
            <v>110579.72</v>
          </cell>
        </row>
        <row r="132">
          <cell r="B132">
            <v>35419400000000</v>
          </cell>
          <cell r="C132" t="str">
            <v>HIGH SERVICOS DE COMPLIANCE LTDA</v>
          </cell>
          <cell r="D132">
            <v>0</v>
          </cell>
          <cell r="E132">
            <v>0</v>
          </cell>
          <cell r="F132">
            <v>-1291.67</v>
          </cell>
          <cell r="G132">
            <v>1291.67</v>
          </cell>
        </row>
        <row r="133">
          <cell r="B133">
            <v>12979000000000</v>
          </cell>
          <cell r="C133" t="str">
            <v>T &amp; S LOCACAO DE MAO DE OBRA EM GERAL EIRELI</v>
          </cell>
          <cell r="D133">
            <v>0</v>
          </cell>
          <cell r="E133">
            <v>3695.46</v>
          </cell>
          <cell r="F133">
            <v>-33595.06</v>
          </cell>
          <cell r="G133">
            <v>29899.599999999999</v>
          </cell>
        </row>
        <row r="134">
          <cell r="B134">
            <v>23689400000000</v>
          </cell>
          <cell r="C134" t="str">
            <v>SPUTNIK CURSOS LTDA</v>
          </cell>
          <cell r="D134">
            <v>0</v>
          </cell>
          <cell r="E134">
            <v>47468.94</v>
          </cell>
          <cell r="F134">
            <v>-47468.94</v>
          </cell>
          <cell r="G134">
            <v>0</v>
          </cell>
        </row>
        <row r="135">
          <cell r="B135">
            <v>38056400000000</v>
          </cell>
          <cell r="C135" t="str">
            <v>IOS INFORMATICA, ORGANIZACAO E SISTEMAS LTDA</v>
          </cell>
          <cell r="D135">
            <v>0</v>
          </cell>
          <cell r="E135">
            <v>32530.11</v>
          </cell>
          <cell r="F135">
            <v>-32530.11</v>
          </cell>
          <cell r="G135">
            <v>0</v>
          </cell>
        </row>
        <row r="136">
          <cell r="B136">
            <v>14113000000000</v>
          </cell>
          <cell r="C136" t="str">
            <v>DIVERSA CONSULTORIA E PLANEJAMENTO EM SUSTENTABILIDADE</v>
          </cell>
          <cell r="D136">
            <v>0</v>
          </cell>
          <cell r="E136">
            <v>0</v>
          </cell>
          <cell r="F136">
            <v>-119396.23</v>
          </cell>
          <cell r="G136">
            <v>119396.23</v>
          </cell>
        </row>
        <row r="137">
          <cell r="B137">
            <v>7857620000000</v>
          </cell>
          <cell r="C137" t="str">
            <v>MENEZES NIEBUHR SOCIEDADE DE ADVOGADOS</v>
          </cell>
          <cell r="D137">
            <v>0</v>
          </cell>
          <cell r="E137">
            <v>0</v>
          </cell>
          <cell r="F137">
            <v>-75000</v>
          </cell>
          <cell r="G137">
            <v>75000</v>
          </cell>
        </row>
        <row r="138">
          <cell r="B138" t="str">
            <v>01707536/000104</v>
          </cell>
          <cell r="C138" t="str">
            <v>ISH TECNOLOGIA S/A</v>
          </cell>
          <cell r="D138">
            <v>0</v>
          </cell>
          <cell r="E138">
            <v>36354.17</v>
          </cell>
          <cell r="F138">
            <v>-36354.17</v>
          </cell>
          <cell r="G138">
            <v>0</v>
          </cell>
        </row>
        <row r="139">
          <cell r="B139">
            <v>34260600000000</v>
          </cell>
          <cell r="C139" t="str">
            <v>CONSELHO REGIONAL DE ENGENHARIA E AGRONOMIA DO RIO DE JANEIRO</v>
          </cell>
          <cell r="D139">
            <v>-2346.33</v>
          </cell>
          <cell r="E139">
            <v>0</v>
          </cell>
          <cell r="F139">
            <v>0</v>
          </cell>
          <cell r="G139">
            <v>2346.33</v>
          </cell>
        </row>
        <row r="140">
          <cell r="B140">
            <v>29483800000000</v>
          </cell>
          <cell r="C140" t="str">
            <v>FS TECNOLOGIA TREINAMENTO EM DESENVOLVIMENTO</v>
          </cell>
          <cell r="D140">
            <v>0</v>
          </cell>
          <cell r="E140">
            <v>3962.92</v>
          </cell>
          <cell r="F140">
            <v>-3962.92</v>
          </cell>
          <cell r="G140">
            <v>0</v>
          </cell>
        </row>
        <row r="141">
          <cell r="B141">
            <v>30920300000000</v>
          </cell>
          <cell r="C141" t="str">
            <v>SANEMIX MUNDO DOS SERVICOS EIRELI</v>
          </cell>
          <cell r="D141">
            <v>0</v>
          </cell>
          <cell r="E141">
            <v>3200</v>
          </cell>
          <cell r="F141">
            <v>-3200</v>
          </cell>
          <cell r="G141">
            <v>0</v>
          </cell>
        </row>
        <row r="142">
          <cell r="B142">
            <v>32681700000000</v>
          </cell>
          <cell r="C142" t="str">
            <v>PLM - AUDITORIA E CONSULTORIA LTDA</v>
          </cell>
          <cell r="D142">
            <v>0</v>
          </cell>
          <cell r="E142">
            <v>0</v>
          </cell>
          <cell r="F142">
            <v>-193</v>
          </cell>
          <cell r="G142">
            <v>193</v>
          </cell>
        </row>
        <row r="143">
          <cell r="B143">
            <v>8401150000000</v>
          </cell>
          <cell r="C143" t="str">
            <v>EXACTTUS CONSULTORIA ATUARIAL LTDA</v>
          </cell>
          <cell r="D143">
            <v>0</v>
          </cell>
          <cell r="E143">
            <v>0</v>
          </cell>
          <cell r="F143">
            <v>-84711.58</v>
          </cell>
          <cell r="G143">
            <v>84711.58</v>
          </cell>
        </row>
        <row r="144">
          <cell r="B144">
            <v>27553300000000</v>
          </cell>
          <cell r="C144" t="str">
            <v>INFRA JORNALISMO LTDA</v>
          </cell>
          <cell r="D144">
            <v>0</v>
          </cell>
          <cell r="E144">
            <v>1600</v>
          </cell>
          <cell r="F144">
            <v>-1600</v>
          </cell>
          <cell r="G144">
            <v>0</v>
          </cell>
        </row>
        <row r="145">
          <cell r="B145">
            <v>16724700000000</v>
          </cell>
          <cell r="C145" t="str">
            <v>M &amp; J OFICINA DE CADEIRAS EIRELI ME</v>
          </cell>
          <cell r="D145">
            <v>-199</v>
          </cell>
          <cell r="E145">
            <v>199</v>
          </cell>
          <cell r="F145">
            <v>0</v>
          </cell>
          <cell r="G145">
            <v>0</v>
          </cell>
        </row>
        <row r="146">
          <cell r="B146">
            <v>45660300000000</v>
          </cell>
          <cell r="C146" t="str">
            <v>SOLAR SOLUTIONS SOLUÇÕES SOLARES LTDA</v>
          </cell>
          <cell r="D146">
            <v>0</v>
          </cell>
          <cell r="E146">
            <v>18000</v>
          </cell>
          <cell r="F146">
            <v>-18000</v>
          </cell>
          <cell r="G146">
            <v>0</v>
          </cell>
        </row>
        <row r="147">
          <cell r="B147">
            <v>1337720000000</v>
          </cell>
          <cell r="C147" t="str">
            <v>MARILIA REBELLO &amp; ASSOCIADOS LTDA</v>
          </cell>
          <cell r="D147">
            <v>0</v>
          </cell>
          <cell r="E147">
            <v>4410</v>
          </cell>
          <cell r="F147">
            <v>-4410</v>
          </cell>
          <cell r="G147">
            <v>0</v>
          </cell>
        </row>
        <row r="148">
          <cell r="B148">
            <v>13016900000000</v>
          </cell>
          <cell r="C148" t="str">
            <v>AVALOR ENGENHARIA DE AVALIACOES LTDA</v>
          </cell>
          <cell r="D148">
            <v>0</v>
          </cell>
          <cell r="E148">
            <v>7950</v>
          </cell>
          <cell r="F148">
            <v>-7950</v>
          </cell>
          <cell r="G148">
            <v>0</v>
          </cell>
        </row>
        <row r="149">
          <cell r="B149">
            <v>23312600000000</v>
          </cell>
          <cell r="C149" t="str">
            <v>CURSOS VAI QUE DA LTDA - ME</v>
          </cell>
          <cell r="D149">
            <v>0</v>
          </cell>
          <cell r="E149">
            <v>1204.2</v>
          </cell>
          <cell r="F149">
            <v>-1204.2</v>
          </cell>
          <cell r="G149">
            <v>0</v>
          </cell>
        </row>
        <row r="150">
          <cell r="B150">
            <v>5630090000000</v>
          </cell>
          <cell r="C150" t="str">
            <v>VICMA COMERCIO DE EQUIPAMENTOS PARA ESCRITORIO LTDA</v>
          </cell>
          <cell r="D150">
            <v>0</v>
          </cell>
          <cell r="E150">
            <v>0</v>
          </cell>
          <cell r="F150">
            <v>-562.95000000000005</v>
          </cell>
          <cell r="G150">
            <v>562.95000000000005</v>
          </cell>
        </row>
        <row r="151">
          <cell r="B151">
            <v>12654500000000</v>
          </cell>
          <cell r="C151" t="str">
            <v>BARCINO TREINAMENTO E GESTAO LTDA-ME</v>
          </cell>
          <cell r="D151">
            <v>0</v>
          </cell>
          <cell r="E151">
            <v>0</v>
          </cell>
          <cell r="F151">
            <v>-1490</v>
          </cell>
          <cell r="G151">
            <v>1490</v>
          </cell>
        </row>
        <row r="152">
          <cell r="B152">
            <v>2114998</v>
          </cell>
          <cell r="C152" t="str">
            <v>Fornecedores a Classificar</v>
          </cell>
          <cell r="D152">
            <v>0</v>
          </cell>
          <cell r="E152">
            <v>496963.4</v>
          </cell>
          <cell r="F152">
            <v>-496963.4</v>
          </cell>
          <cell r="G152">
            <v>0</v>
          </cell>
        </row>
        <row r="153">
          <cell r="B153">
            <v>9199790000000</v>
          </cell>
          <cell r="C153" t="str">
            <v>PREMIER CURSOS LTDA</v>
          </cell>
          <cell r="D153">
            <v>0</v>
          </cell>
          <cell r="E153">
            <v>960</v>
          </cell>
          <cell r="F153">
            <v>-960</v>
          </cell>
          <cell r="G153">
            <v>0</v>
          </cell>
        </row>
        <row r="154">
          <cell r="B154">
            <v>38458400000000</v>
          </cell>
          <cell r="C154" t="str">
            <v>EXXPRESS BRINDES LTDA</v>
          </cell>
          <cell r="D154">
            <v>0</v>
          </cell>
          <cell r="E154">
            <v>0</v>
          </cell>
          <cell r="F154">
            <v>-3576</v>
          </cell>
          <cell r="G154">
            <v>3576</v>
          </cell>
        </row>
        <row r="155">
          <cell r="B155">
            <v>2117</v>
          </cell>
          <cell r="C155" t="str">
            <v>Retenções Tributárias</v>
          </cell>
          <cell r="D155">
            <v>-20105.05</v>
          </cell>
          <cell r="E155">
            <v>1083929.73</v>
          </cell>
          <cell r="F155">
            <v>-1083178.93</v>
          </cell>
          <cell r="G155">
            <v>19354.25</v>
          </cell>
        </row>
        <row r="156">
          <cell r="B156">
            <v>561</v>
          </cell>
          <cell r="C156" t="str">
            <v>IRRF a Recolher de Empregados</v>
          </cell>
          <cell r="D156">
            <v>-6149.26</v>
          </cell>
          <cell r="E156">
            <v>875484.18</v>
          </cell>
          <cell r="F156">
            <v>-870850.74</v>
          </cell>
          <cell r="G156">
            <v>1515.82</v>
          </cell>
        </row>
        <row r="157">
          <cell r="B157" t="str">
            <v>INSS</v>
          </cell>
          <cell r="C157" t="str">
            <v>INSS DE TERCEIROS</v>
          </cell>
          <cell r="D157">
            <v>-13955.79</v>
          </cell>
          <cell r="E157">
            <v>13955.79</v>
          </cell>
          <cell r="F157">
            <v>-17838.43</v>
          </cell>
          <cell r="G157">
            <v>17838.43</v>
          </cell>
        </row>
        <row r="158">
          <cell r="B158">
            <v>6147</v>
          </cell>
          <cell r="C158" t="str">
            <v>Ret IN 539/05 - IR/CS/PIS/COFINS - 5,85%</v>
          </cell>
          <cell r="D158">
            <v>0</v>
          </cell>
          <cell r="E158">
            <v>2470.75</v>
          </cell>
          <cell r="F158">
            <v>-2470.75</v>
          </cell>
          <cell r="G158">
            <v>0</v>
          </cell>
        </row>
        <row r="159">
          <cell r="B159">
            <v>6190</v>
          </cell>
          <cell r="C159" t="str">
            <v>Ret IN 539/05 - IR/CS/PIS/COFINS - 9,45%</v>
          </cell>
          <cell r="D159">
            <v>0</v>
          </cell>
          <cell r="E159">
            <v>185389</v>
          </cell>
          <cell r="F159">
            <v>-185389</v>
          </cell>
          <cell r="G159">
            <v>0</v>
          </cell>
        </row>
        <row r="160">
          <cell r="B160">
            <v>6175</v>
          </cell>
          <cell r="C160" t="str">
            <v>Ret IN 539/05 - IR/CS/PIS/COFINS - 7,05%</v>
          </cell>
          <cell r="D160">
            <v>0</v>
          </cell>
          <cell r="E160">
            <v>4217.62</v>
          </cell>
          <cell r="F160">
            <v>-4217.62</v>
          </cell>
          <cell r="G160">
            <v>0</v>
          </cell>
        </row>
        <row r="161">
          <cell r="B161" t="str">
            <v>ISS</v>
          </cell>
          <cell r="C161" t="str">
            <v>ISS de Terceiros</v>
          </cell>
          <cell r="D161">
            <v>0</v>
          </cell>
          <cell r="E161">
            <v>2412.39</v>
          </cell>
          <cell r="F161">
            <v>-2412.39</v>
          </cell>
          <cell r="G161">
            <v>0</v>
          </cell>
        </row>
        <row r="162">
          <cell r="B162">
            <v>2118</v>
          </cell>
          <cell r="C162" t="str">
            <v>Obrigações Trabalhistas e Sociais</v>
          </cell>
          <cell r="D162">
            <v>-18281629.399999999</v>
          </cell>
          <cell r="E162">
            <v>7629366.5300000003</v>
          </cell>
          <cell r="F162">
            <v>-7961302.7400000002</v>
          </cell>
          <cell r="G162">
            <v>18613565.609999999</v>
          </cell>
        </row>
        <row r="163">
          <cell r="B163">
            <v>21181</v>
          </cell>
          <cell r="C163" t="str">
            <v>Salários a Pagar</v>
          </cell>
          <cell r="D163">
            <v>-3104122.72</v>
          </cell>
          <cell r="E163">
            <v>4955956.92</v>
          </cell>
          <cell r="F163">
            <v>-4978019.6399999997</v>
          </cell>
          <cell r="G163">
            <v>3126185.44</v>
          </cell>
        </row>
        <row r="164">
          <cell r="B164">
            <v>21182</v>
          </cell>
          <cell r="C164" t="str">
            <v>13º Salário a Pagar</v>
          </cell>
          <cell r="D164">
            <v>-3704105.01</v>
          </cell>
          <cell r="E164">
            <v>0</v>
          </cell>
          <cell r="F164">
            <v>-368971.21</v>
          </cell>
          <cell r="G164">
            <v>4073076.22</v>
          </cell>
        </row>
        <row r="165">
          <cell r="B165">
            <v>21183</v>
          </cell>
          <cell r="C165" t="str">
            <v>Férias a Pagar</v>
          </cell>
          <cell r="D165">
            <v>-6706501.2599999998</v>
          </cell>
          <cell r="E165">
            <v>544017.86</v>
          </cell>
          <cell r="F165">
            <v>-465163.88</v>
          </cell>
          <cell r="G165">
            <v>6627647.2800000003</v>
          </cell>
        </row>
        <row r="166">
          <cell r="B166">
            <v>21184</v>
          </cell>
          <cell r="C166" t="str">
            <v>INSS a Recolher</v>
          </cell>
          <cell r="D166">
            <v>-1168302.3799999999</v>
          </cell>
          <cell r="E166">
            <v>1185283.3700000001</v>
          </cell>
          <cell r="F166">
            <v>-1169608.5900000001</v>
          </cell>
          <cell r="G166">
            <v>1152627.6000000001</v>
          </cell>
        </row>
        <row r="167">
          <cell r="B167">
            <v>21185</v>
          </cell>
          <cell r="C167" t="str">
            <v>FGTS a Recolher</v>
          </cell>
          <cell r="D167">
            <v>-372717.07</v>
          </cell>
          <cell r="E167">
            <v>372717.11</v>
          </cell>
          <cell r="F167">
            <v>-368450.94</v>
          </cell>
          <cell r="G167">
            <v>368450.9</v>
          </cell>
        </row>
        <row r="168">
          <cell r="B168">
            <v>21186</v>
          </cell>
          <cell r="C168" t="str">
            <v>Contribuição Sindical a Pagar</v>
          </cell>
          <cell r="D168">
            <v>0</v>
          </cell>
          <cell r="E168">
            <v>145</v>
          </cell>
          <cell r="F168">
            <v>-145</v>
          </cell>
          <cell r="G168">
            <v>0</v>
          </cell>
        </row>
        <row r="169">
          <cell r="B169">
            <v>21187</v>
          </cell>
          <cell r="C169" t="str">
            <v>Pensão Alimentícia</v>
          </cell>
          <cell r="D169">
            <v>0</v>
          </cell>
          <cell r="E169">
            <v>11942.52</v>
          </cell>
          <cell r="F169">
            <v>-11942.52</v>
          </cell>
          <cell r="G169">
            <v>0</v>
          </cell>
        </row>
        <row r="170">
          <cell r="B170">
            <v>21188</v>
          </cell>
          <cell r="C170" t="str">
            <v>Rescisões a Pagar</v>
          </cell>
          <cell r="D170">
            <v>-37866.81</v>
          </cell>
          <cell r="E170">
            <v>66170.98</v>
          </cell>
          <cell r="F170">
            <v>-28304.17</v>
          </cell>
          <cell r="G170">
            <v>0</v>
          </cell>
        </row>
        <row r="171">
          <cell r="B171">
            <v>21189</v>
          </cell>
          <cell r="C171" t="str">
            <v>Previdência Privada Complementar</v>
          </cell>
          <cell r="D171">
            <v>-333292.99</v>
          </cell>
          <cell r="E171">
            <v>333292.99</v>
          </cell>
          <cell r="F171">
            <v>-330245.62</v>
          </cell>
          <cell r="G171">
            <v>330245.62</v>
          </cell>
        </row>
        <row r="172">
          <cell r="B172">
            <v>211810</v>
          </cell>
          <cell r="C172" t="str">
            <v>INSS s/ 13º Salario a Pagar</v>
          </cell>
          <cell r="D172">
            <v>-773366.42</v>
          </cell>
          <cell r="E172">
            <v>0</v>
          </cell>
          <cell r="F172">
            <v>-77034.53</v>
          </cell>
          <cell r="G172">
            <v>850400.95</v>
          </cell>
        </row>
        <row r="173">
          <cell r="B173">
            <v>211811</v>
          </cell>
          <cell r="C173" t="str">
            <v>FGTS s/ 13º Salario a Pagar</v>
          </cell>
          <cell r="D173">
            <v>-126117.47</v>
          </cell>
          <cell r="E173">
            <v>0</v>
          </cell>
          <cell r="F173">
            <v>-29346.69</v>
          </cell>
          <cell r="G173">
            <v>155464.16</v>
          </cell>
        </row>
        <row r="174">
          <cell r="B174">
            <v>211812</v>
          </cell>
          <cell r="C174" t="str">
            <v>INSS s/ Férias a Pagar</v>
          </cell>
          <cell r="D174">
            <v>-1415861.8</v>
          </cell>
          <cell r="E174">
            <v>115746.07</v>
          </cell>
          <cell r="F174">
            <v>-97085.04</v>
          </cell>
          <cell r="G174">
            <v>1397200.77</v>
          </cell>
        </row>
        <row r="175">
          <cell r="B175">
            <v>211813</v>
          </cell>
          <cell r="C175" t="str">
            <v>FGTS s/ Férias a Pagar</v>
          </cell>
          <cell r="D175">
            <v>-539375.47</v>
          </cell>
          <cell r="E175">
            <v>44093.71</v>
          </cell>
          <cell r="F175">
            <v>-36984.910000000003</v>
          </cell>
          <cell r="G175">
            <v>532266.67000000004</v>
          </cell>
        </row>
        <row r="176">
          <cell r="B176">
            <v>211110</v>
          </cell>
          <cell r="C176" t="str">
            <v>Provisões p/ Contingências</v>
          </cell>
          <cell r="D176">
            <v>-2801632.42</v>
          </cell>
          <cell r="E176">
            <v>0</v>
          </cell>
          <cell r="F176">
            <v>-12933.06</v>
          </cell>
          <cell r="G176">
            <v>2814565.48</v>
          </cell>
        </row>
        <row r="177">
          <cell r="B177">
            <v>211111</v>
          </cell>
          <cell r="C177" t="str">
            <v>Provisão p/ Contingências Trabalhistas</v>
          </cell>
          <cell r="D177">
            <v>-2801632.42</v>
          </cell>
          <cell r="E177">
            <v>0</v>
          </cell>
          <cell r="F177">
            <v>-12933.06</v>
          </cell>
          <cell r="G177">
            <v>2814565.48</v>
          </cell>
        </row>
        <row r="178">
          <cell r="B178">
            <v>21114</v>
          </cell>
          <cell r="C178" t="str">
            <v>Obrigações com a Cessão de Pessoal</v>
          </cell>
          <cell r="D178">
            <v>-41393.81</v>
          </cell>
          <cell r="E178">
            <v>32898.67</v>
          </cell>
          <cell r="F178">
            <v>-32898.67</v>
          </cell>
          <cell r="G178">
            <v>41393.81</v>
          </cell>
        </row>
        <row r="179">
          <cell r="B179">
            <v>211145</v>
          </cell>
          <cell r="C179" t="str">
            <v>Obrigações com o STJ</v>
          </cell>
          <cell r="D179">
            <v>-24403.53</v>
          </cell>
          <cell r="E179">
            <v>24403.53</v>
          </cell>
          <cell r="F179">
            <v>-24403.53</v>
          </cell>
          <cell r="G179">
            <v>24403.53</v>
          </cell>
        </row>
        <row r="180">
          <cell r="B180">
            <v>211147</v>
          </cell>
          <cell r="C180" t="str">
            <v>Obrigações com a USP</v>
          </cell>
          <cell r="D180">
            <v>-16990.28</v>
          </cell>
          <cell r="E180">
            <v>8495.14</v>
          </cell>
          <cell r="F180">
            <v>-8495.14</v>
          </cell>
          <cell r="G180">
            <v>16990.28</v>
          </cell>
        </row>
        <row r="181">
          <cell r="B181">
            <v>21115</v>
          </cell>
          <cell r="C181" t="str">
            <v>Previdência Privada Complementar</v>
          </cell>
          <cell r="D181">
            <v>-329466.18</v>
          </cell>
          <cell r="E181">
            <v>329466.18</v>
          </cell>
          <cell r="F181">
            <v>-326418.81</v>
          </cell>
          <cell r="G181">
            <v>326418.81</v>
          </cell>
        </row>
        <row r="182">
          <cell r="B182">
            <v>211151</v>
          </cell>
          <cell r="C182" t="str">
            <v>Fundação ELETROS</v>
          </cell>
          <cell r="D182">
            <v>-329466.18</v>
          </cell>
          <cell r="E182">
            <v>329466.18</v>
          </cell>
          <cell r="F182">
            <v>-326418.81</v>
          </cell>
          <cell r="G182">
            <v>326418.81</v>
          </cell>
        </row>
        <row r="183">
          <cell r="B183">
            <v>22</v>
          </cell>
          <cell r="C183" t="str">
            <v>Passivo Não Circulante</v>
          </cell>
          <cell r="D183">
            <v>-7035275.1500000004</v>
          </cell>
          <cell r="E183">
            <v>0</v>
          </cell>
          <cell r="F183">
            <v>-53397.9</v>
          </cell>
          <cell r="G183">
            <v>7088673.0499999998</v>
          </cell>
        </row>
        <row r="184">
          <cell r="B184">
            <v>221</v>
          </cell>
          <cell r="C184" t="str">
            <v>Obrigações de Longo Prazo</v>
          </cell>
          <cell r="D184">
            <v>-7035275.1500000004</v>
          </cell>
          <cell r="E184">
            <v>0</v>
          </cell>
          <cell r="F184">
            <v>-53397.9</v>
          </cell>
          <cell r="G184">
            <v>7088673.0499999998</v>
          </cell>
        </row>
        <row r="185">
          <cell r="B185">
            <v>2215</v>
          </cell>
          <cell r="C185" t="str">
            <v>Provisões p/ Contingências</v>
          </cell>
          <cell r="D185">
            <v>-7035275.1500000004</v>
          </cell>
          <cell r="E185">
            <v>0</v>
          </cell>
          <cell r="F185">
            <v>-53397.9</v>
          </cell>
          <cell r="G185">
            <v>7088673.0499999998</v>
          </cell>
        </row>
        <row r="186">
          <cell r="B186">
            <v>22151</v>
          </cell>
          <cell r="C186" t="str">
            <v>Provisão p/ Contingências Trabalhistas</v>
          </cell>
          <cell r="D186">
            <v>-400410.97</v>
          </cell>
          <cell r="E186">
            <v>0</v>
          </cell>
          <cell r="F186">
            <v>-1615.87</v>
          </cell>
          <cell r="G186">
            <v>402026.84</v>
          </cell>
        </row>
        <row r="187">
          <cell r="B187">
            <v>22152</v>
          </cell>
          <cell r="C187" t="str">
            <v>Provisão p/ Contingências Civeis</v>
          </cell>
          <cell r="D187">
            <v>-1187.67</v>
          </cell>
          <cell r="E187">
            <v>0</v>
          </cell>
          <cell r="F187">
            <v>-5.48</v>
          </cell>
          <cell r="G187">
            <v>1193.1500000000001</v>
          </cell>
        </row>
        <row r="188">
          <cell r="B188">
            <v>22153</v>
          </cell>
          <cell r="C188" t="str">
            <v>Provisão p/ Contingências Fiscais</v>
          </cell>
          <cell r="D188">
            <v>-6631319.3300000001</v>
          </cell>
          <cell r="E188">
            <v>0</v>
          </cell>
          <cell r="F188">
            <v>-51765.67</v>
          </cell>
          <cell r="G188">
            <v>6683085</v>
          </cell>
        </row>
        <row r="189">
          <cell r="B189">
            <v>22154</v>
          </cell>
          <cell r="C189" t="str">
            <v>Provisões p/ Contingências Processo Administrativo</v>
          </cell>
          <cell r="D189">
            <v>-2357.1799999999998</v>
          </cell>
          <cell r="E189">
            <v>0</v>
          </cell>
          <cell r="F189">
            <v>-10.88</v>
          </cell>
          <cell r="G189">
            <v>2368.06</v>
          </cell>
        </row>
        <row r="190">
          <cell r="B190" t="str">
            <v>PL</v>
          </cell>
          <cell r="C190" t="str">
            <v>Patrimônio Líquido</v>
          </cell>
          <cell r="D190">
            <v>-27640128.550000001</v>
          </cell>
          <cell r="E190">
            <v>2951140.21</v>
          </cell>
          <cell r="F190">
            <v>-427550</v>
          </cell>
          <cell r="G190">
            <v>25116538.34</v>
          </cell>
        </row>
        <row r="191">
          <cell r="B191">
            <v>241</v>
          </cell>
          <cell r="C191" t="str">
            <v>Capital Social</v>
          </cell>
          <cell r="D191">
            <v>-28468909.870000001</v>
          </cell>
          <cell r="E191">
            <v>0</v>
          </cell>
          <cell r="F191">
            <v>0</v>
          </cell>
          <cell r="G191">
            <v>28468909.870000001</v>
          </cell>
        </row>
        <row r="192">
          <cell r="B192">
            <v>2411</v>
          </cell>
          <cell r="C192" t="str">
            <v>Capital Subscrito</v>
          </cell>
          <cell r="D192">
            <v>-28468909.870000001</v>
          </cell>
          <cell r="E192">
            <v>0</v>
          </cell>
          <cell r="F192">
            <v>0</v>
          </cell>
          <cell r="G192">
            <v>28468909.870000001</v>
          </cell>
        </row>
        <row r="193">
          <cell r="B193">
            <v>24111</v>
          </cell>
          <cell r="C193" t="str">
            <v>Capital Subscrito</v>
          </cell>
          <cell r="D193">
            <v>-28468909.870000001</v>
          </cell>
          <cell r="E193">
            <v>0</v>
          </cell>
          <cell r="F193">
            <v>0</v>
          </cell>
          <cell r="G193">
            <v>28468909.870000001</v>
          </cell>
        </row>
        <row r="194">
          <cell r="B194">
            <v>243</v>
          </cell>
          <cell r="C194" t="str">
            <v>Aj de av.patrimonial</v>
          </cell>
          <cell r="D194">
            <v>29.32</v>
          </cell>
          <cell r="E194">
            <v>0</v>
          </cell>
          <cell r="F194">
            <v>0</v>
          </cell>
          <cell r="G194">
            <v>29.32</v>
          </cell>
        </row>
        <row r="195">
          <cell r="B195">
            <v>2431</v>
          </cell>
          <cell r="C195" t="str">
            <v>Aj. de av. patrimonial</v>
          </cell>
          <cell r="D195">
            <v>29.32</v>
          </cell>
          <cell r="E195">
            <v>0</v>
          </cell>
          <cell r="F195">
            <v>0</v>
          </cell>
          <cell r="G195">
            <v>29.32</v>
          </cell>
        </row>
        <row r="196">
          <cell r="B196">
            <v>24311</v>
          </cell>
          <cell r="C196" t="str">
            <v>Aj.de av. patrimonial</v>
          </cell>
          <cell r="D196">
            <v>29.32</v>
          </cell>
          <cell r="E196">
            <v>0</v>
          </cell>
          <cell r="F196">
            <v>0</v>
          </cell>
          <cell r="G196">
            <v>29.32</v>
          </cell>
        </row>
        <row r="197">
          <cell r="B197">
            <v>246</v>
          </cell>
          <cell r="C197" t="str">
            <v>Lucros ou Prejuízos Acumulados</v>
          </cell>
          <cell r="D197">
            <v>2742314.59</v>
          </cell>
          <cell r="E197">
            <v>2951140.21</v>
          </cell>
          <cell r="F197">
            <v>0</v>
          </cell>
          <cell r="G197">
            <v>5693454.7999999998</v>
          </cell>
        </row>
        <row r="198">
          <cell r="B198">
            <v>2462</v>
          </cell>
          <cell r="C198" t="str">
            <v>(-) Prejuízos Acumulados</v>
          </cell>
          <cell r="D198">
            <v>3358482.06</v>
          </cell>
          <cell r="E198">
            <v>0</v>
          </cell>
          <cell r="F198">
            <v>0</v>
          </cell>
          <cell r="G198">
            <v>3358482.06</v>
          </cell>
        </row>
        <row r="199">
          <cell r="B199">
            <v>24622</v>
          </cell>
          <cell r="C199" t="str">
            <v>(-) Prejuízo Acumulado</v>
          </cell>
          <cell r="D199">
            <v>3358482.06</v>
          </cell>
          <cell r="E199">
            <v>0</v>
          </cell>
          <cell r="F199">
            <v>0</v>
          </cell>
          <cell r="G199">
            <v>3358482.06</v>
          </cell>
        </row>
        <row r="200">
          <cell r="B200">
            <v>24699</v>
          </cell>
          <cell r="C200" t="str">
            <v>Resultado do Exercício</v>
          </cell>
          <cell r="D200">
            <v>-616167.47</v>
          </cell>
          <cell r="E200">
            <v>2951140.21</v>
          </cell>
          <cell r="F200">
            <v>0</v>
          </cell>
          <cell r="G200">
            <v>2334972.7400000002</v>
          </cell>
        </row>
        <row r="201">
          <cell r="B201">
            <v>246991</v>
          </cell>
          <cell r="C201" t="str">
            <v>Resultado do Exercício</v>
          </cell>
          <cell r="D201">
            <v>-616167.47</v>
          </cell>
          <cell r="E201">
            <v>2951140.21</v>
          </cell>
          <cell r="F201">
            <v>0</v>
          </cell>
          <cell r="G201">
            <v>2334972.7400000002</v>
          </cell>
        </row>
        <row r="202">
          <cell r="B202">
            <v>247</v>
          </cell>
          <cell r="C202" t="str">
            <v>Adiantamento p/Futuro Aumento de Capital</v>
          </cell>
          <cell r="D202">
            <v>-1913562.59</v>
          </cell>
          <cell r="E202">
            <v>0</v>
          </cell>
          <cell r="F202">
            <v>-427550</v>
          </cell>
          <cell r="G202">
            <v>2341112.59</v>
          </cell>
        </row>
        <row r="203">
          <cell r="B203">
            <v>2471</v>
          </cell>
          <cell r="C203" t="str">
            <v>Adiantamento p/Futuro Aumento de Capital</v>
          </cell>
          <cell r="D203">
            <v>-1913562.59</v>
          </cell>
          <cell r="E203">
            <v>0</v>
          </cell>
          <cell r="F203">
            <v>-427550</v>
          </cell>
          <cell r="G203">
            <v>2341112.59</v>
          </cell>
        </row>
        <row r="204">
          <cell r="B204">
            <v>24711</v>
          </cell>
          <cell r="C204" t="str">
            <v>Adiantamento p/Futuro Aumento de Capital</v>
          </cell>
          <cell r="D204">
            <v>-1913562.59</v>
          </cell>
          <cell r="E204">
            <v>0</v>
          </cell>
          <cell r="F204">
            <v>-427550</v>
          </cell>
          <cell r="G204">
            <v>2341112.59</v>
          </cell>
        </row>
        <row r="205">
          <cell r="B205">
            <v>3</v>
          </cell>
          <cell r="C205" t="str">
            <v>Receitas</v>
          </cell>
          <cell r="D205">
            <v>-97854416.489999995</v>
          </cell>
          <cell r="E205">
            <v>21397.07</v>
          </cell>
          <cell r="F205">
            <v>-8600864.1799999997</v>
          </cell>
          <cell r="G205">
            <v>106433883.59999999</v>
          </cell>
        </row>
        <row r="206">
          <cell r="B206">
            <v>31</v>
          </cell>
          <cell r="C206" t="str">
            <v>Subsídios Públicos</v>
          </cell>
          <cell r="D206">
            <v>-90226493.879999995</v>
          </cell>
          <cell r="E206">
            <v>0</v>
          </cell>
          <cell r="F206">
            <v>-8579467.1099999994</v>
          </cell>
          <cell r="G206">
            <v>98805960.989999995</v>
          </cell>
        </row>
        <row r="207">
          <cell r="B207">
            <v>311</v>
          </cell>
          <cell r="C207" t="str">
            <v>Subsídios do Tesouro Nacional</v>
          </cell>
          <cell r="D207">
            <v>-90226493.879999995</v>
          </cell>
          <cell r="E207">
            <v>0</v>
          </cell>
          <cell r="F207">
            <v>-8579467.1099999994</v>
          </cell>
          <cell r="G207">
            <v>98805960.989999995</v>
          </cell>
        </row>
        <row r="208">
          <cell r="B208">
            <v>3111</v>
          </cell>
          <cell r="C208" t="str">
            <v>Subsídios do Tesouro Nacional</v>
          </cell>
          <cell r="D208">
            <v>-90226493.879999995</v>
          </cell>
          <cell r="E208">
            <v>0</v>
          </cell>
          <cell r="F208">
            <v>-8579467.1099999994</v>
          </cell>
          <cell r="G208">
            <v>98805960.989999995</v>
          </cell>
        </row>
        <row r="209">
          <cell r="B209">
            <v>31111</v>
          </cell>
          <cell r="C209" t="str">
            <v>Recursos Recebidos do Tesouro Nacional</v>
          </cell>
          <cell r="D209">
            <v>-90226493.879999995</v>
          </cell>
          <cell r="E209">
            <v>0</v>
          </cell>
          <cell r="F209">
            <v>-8579467.1099999994</v>
          </cell>
          <cell r="G209">
            <v>98805960.989999995</v>
          </cell>
        </row>
        <row r="210">
          <cell r="B210">
            <v>33</v>
          </cell>
          <cell r="C210" t="str">
            <v>Outras Receitas Operacionais</v>
          </cell>
          <cell r="D210">
            <v>-7627922.6100000003</v>
          </cell>
          <cell r="E210">
            <v>21397.07</v>
          </cell>
          <cell r="F210">
            <v>-21397.07</v>
          </cell>
          <cell r="G210">
            <v>7627922.6100000003</v>
          </cell>
        </row>
        <row r="211">
          <cell r="B211">
            <v>331</v>
          </cell>
          <cell r="C211" t="str">
            <v>Receitas Financeiras</v>
          </cell>
          <cell r="D211">
            <v>-940023.79</v>
          </cell>
          <cell r="E211">
            <v>21397.07</v>
          </cell>
          <cell r="F211">
            <v>-21397.07</v>
          </cell>
          <cell r="G211">
            <v>940023.79</v>
          </cell>
        </row>
        <row r="212">
          <cell r="B212">
            <v>3311</v>
          </cell>
          <cell r="C212" t="str">
            <v>Receitas Financ./ Prest. de Serviços</v>
          </cell>
          <cell r="D212">
            <v>-940023.79</v>
          </cell>
          <cell r="E212">
            <v>21397.07</v>
          </cell>
          <cell r="F212">
            <v>-21397.07</v>
          </cell>
          <cell r="G212">
            <v>940023.79</v>
          </cell>
        </row>
        <row r="213">
          <cell r="B213">
            <v>33113</v>
          </cell>
          <cell r="C213" t="str">
            <v>Rendas de Variações Monetárias</v>
          </cell>
          <cell r="D213">
            <v>-939364.51</v>
          </cell>
          <cell r="E213">
            <v>21397.07</v>
          </cell>
          <cell r="F213">
            <v>-21397.07</v>
          </cell>
          <cell r="G213">
            <v>939364.51</v>
          </cell>
        </row>
        <row r="214">
          <cell r="B214">
            <v>33114</v>
          </cell>
          <cell r="C214" t="str">
            <v>Descontos Obtidos</v>
          </cell>
          <cell r="D214">
            <v>-659.28</v>
          </cell>
          <cell r="E214">
            <v>0</v>
          </cell>
          <cell r="F214">
            <v>0</v>
          </cell>
          <cell r="G214">
            <v>659.28</v>
          </cell>
        </row>
        <row r="215">
          <cell r="B215">
            <v>332</v>
          </cell>
          <cell r="C215" t="str">
            <v>Reembolso de Custos e Despesas</v>
          </cell>
          <cell r="D215">
            <v>-6292672.7599999998</v>
          </cell>
          <cell r="E215">
            <v>0</v>
          </cell>
          <cell r="F215">
            <v>0</v>
          </cell>
          <cell r="G215">
            <v>6292672.7599999998</v>
          </cell>
        </row>
        <row r="216">
          <cell r="B216">
            <v>3321</v>
          </cell>
          <cell r="C216" t="str">
            <v>Reversão de Custos e Despesas</v>
          </cell>
          <cell r="D216">
            <v>-6292672.7599999998</v>
          </cell>
          <cell r="E216">
            <v>0</v>
          </cell>
          <cell r="F216">
            <v>0</v>
          </cell>
          <cell r="G216">
            <v>6292672.7599999998</v>
          </cell>
        </row>
        <row r="217">
          <cell r="B217">
            <v>33212</v>
          </cell>
          <cell r="C217" t="str">
            <v>Leilões ANEEL – Transmissão de Energia</v>
          </cell>
          <cell r="D217">
            <v>-6222722.1900000004</v>
          </cell>
          <cell r="E217">
            <v>0</v>
          </cell>
          <cell r="F217">
            <v>0</v>
          </cell>
          <cell r="G217">
            <v>6222722.1900000004</v>
          </cell>
        </row>
        <row r="218">
          <cell r="B218">
            <v>33213</v>
          </cell>
          <cell r="C218" t="str">
            <v>Recuperação de Despesa e Custo</v>
          </cell>
          <cell r="D218">
            <v>-69950.570000000007</v>
          </cell>
          <cell r="E218">
            <v>0</v>
          </cell>
          <cell r="F218">
            <v>0</v>
          </cell>
          <cell r="G218">
            <v>69950.570000000007</v>
          </cell>
        </row>
        <row r="219">
          <cell r="B219">
            <v>336</v>
          </cell>
          <cell r="C219" t="str">
            <v>Reversão de Provisões</v>
          </cell>
          <cell r="D219">
            <v>-22976.05</v>
          </cell>
          <cell r="E219">
            <v>0</v>
          </cell>
          <cell r="F219">
            <v>0</v>
          </cell>
          <cell r="G219">
            <v>22976.05</v>
          </cell>
        </row>
        <row r="220">
          <cell r="B220">
            <v>3361</v>
          </cell>
          <cell r="C220" t="str">
            <v>Reversão de Provisões - Contingência</v>
          </cell>
          <cell r="D220">
            <v>-22976.05</v>
          </cell>
          <cell r="E220">
            <v>0</v>
          </cell>
          <cell r="F220">
            <v>0</v>
          </cell>
          <cell r="G220">
            <v>22976.05</v>
          </cell>
        </row>
        <row r="221">
          <cell r="B221">
            <v>33612</v>
          </cell>
          <cell r="C221" t="str">
            <v>Contingência Civis</v>
          </cell>
          <cell r="D221">
            <v>-22976.05</v>
          </cell>
          <cell r="E221">
            <v>0</v>
          </cell>
          <cell r="F221">
            <v>0</v>
          </cell>
          <cell r="G221">
            <v>22976.05</v>
          </cell>
        </row>
        <row r="222">
          <cell r="B222">
            <v>339</v>
          </cell>
          <cell r="C222" t="str">
            <v>Outras Receitas</v>
          </cell>
          <cell r="D222">
            <v>-372250.01</v>
          </cell>
          <cell r="E222">
            <v>0</v>
          </cell>
          <cell r="F222">
            <v>0</v>
          </cell>
          <cell r="G222">
            <v>372250.01</v>
          </cell>
        </row>
        <row r="223">
          <cell r="B223">
            <v>3399</v>
          </cell>
          <cell r="C223" t="str">
            <v>Receita Concurso Público</v>
          </cell>
          <cell r="D223">
            <v>-372250.01</v>
          </cell>
          <cell r="E223">
            <v>0</v>
          </cell>
          <cell r="F223">
            <v>0</v>
          </cell>
          <cell r="G223">
            <v>372250.01</v>
          </cell>
        </row>
        <row r="224">
          <cell r="B224">
            <v>33991</v>
          </cell>
          <cell r="C224" t="str">
            <v>Receita de Concurso Público</v>
          </cell>
          <cell r="D224">
            <v>-372250.01</v>
          </cell>
          <cell r="E224">
            <v>0</v>
          </cell>
          <cell r="F224">
            <v>0</v>
          </cell>
          <cell r="G224">
            <v>372250.01</v>
          </cell>
        </row>
        <row r="225">
          <cell r="B225">
            <v>4</v>
          </cell>
          <cell r="C225" t="str">
            <v>Custos e Despesas</v>
          </cell>
          <cell r="D225">
            <v>97238249.019999996</v>
          </cell>
          <cell r="E225">
            <v>11756856.34</v>
          </cell>
          <cell r="F225">
            <v>-226249.02</v>
          </cell>
          <cell r="G225">
            <v>108768856.34</v>
          </cell>
        </row>
        <row r="226">
          <cell r="B226">
            <v>41</v>
          </cell>
          <cell r="C226" t="str">
            <v>Custos</v>
          </cell>
          <cell r="D226">
            <v>61446149.049999997</v>
          </cell>
          <cell r="E226">
            <v>8035798.0599999996</v>
          </cell>
          <cell r="F226">
            <v>-204291.43</v>
          </cell>
          <cell r="G226">
            <v>69277655.680000007</v>
          </cell>
        </row>
        <row r="227">
          <cell r="B227">
            <v>411</v>
          </cell>
          <cell r="C227" t="str">
            <v>Gastos com Pessoal - Serviços</v>
          </cell>
          <cell r="D227">
            <v>49543792.229999997</v>
          </cell>
          <cell r="E227">
            <v>4970788.1900000004</v>
          </cell>
          <cell r="F227">
            <v>-199376.68</v>
          </cell>
          <cell r="G227">
            <v>54315203.740000002</v>
          </cell>
        </row>
        <row r="228">
          <cell r="B228">
            <v>4111</v>
          </cell>
          <cell r="C228" t="str">
            <v>Remunerações</v>
          </cell>
          <cell r="D228">
            <v>34507513.390000001</v>
          </cell>
          <cell r="E228">
            <v>3452629.58</v>
          </cell>
          <cell r="F228">
            <v>-152712.94</v>
          </cell>
          <cell r="G228">
            <v>37807430.030000001</v>
          </cell>
        </row>
        <row r="229">
          <cell r="B229">
            <v>41111</v>
          </cell>
          <cell r="C229" t="str">
            <v>Salários</v>
          </cell>
          <cell r="D229">
            <v>27910937.210000001</v>
          </cell>
          <cell r="E229">
            <v>2856192.48</v>
          </cell>
          <cell r="F229">
            <v>-25768.7</v>
          </cell>
          <cell r="G229">
            <v>30741360.989999998</v>
          </cell>
        </row>
        <row r="230">
          <cell r="B230">
            <v>41117</v>
          </cell>
          <cell r="C230" t="str">
            <v>Provisão de Férias e Encargos Sociais</v>
          </cell>
          <cell r="D230">
            <v>3574907.75</v>
          </cell>
          <cell r="E230">
            <v>315739.40999999997</v>
          </cell>
          <cell r="F230">
            <v>-126944.24</v>
          </cell>
          <cell r="G230">
            <v>3763702.92</v>
          </cell>
        </row>
        <row r="231">
          <cell r="B231">
            <v>41118</v>
          </cell>
          <cell r="C231" t="str">
            <v>Abono Pecuniário de Férias</v>
          </cell>
          <cell r="D231">
            <v>316468.01</v>
          </cell>
          <cell r="E231">
            <v>24590.12</v>
          </cell>
          <cell r="F231">
            <v>0</v>
          </cell>
          <cell r="G231">
            <v>341058.13</v>
          </cell>
        </row>
        <row r="232">
          <cell r="B232">
            <v>41119</v>
          </cell>
          <cell r="C232" t="str">
            <v>Provisão de 13º Salários e Enc. Sociais</v>
          </cell>
          <cell r="D232">
            <v>2626072.09</v>
          </cell>
          <cell r="E232">
            <v>256107.57</v>
          </cell>
          <cell r="F232">
            <v>0</v>
          </cell>
          <cell r="G232">
            <v>2882179.66</v>
          </cell>
        </row>
        <row r="233">
          <cell r="B233">
            <v>411111</v>
          </cell>
          <cell r="C233" t="str">
            <v>Salario Maternidade - Prorrogação</v>
          </cell>
          <cell r="D233">
            <v>47574.65</v>
          </cell>
          <cell r="E233">
            <v>0</v>
          </cell>
          <cell r="F233">
            <v>0</v>
          </cell>
          <cell r="G233">
            <v>47574.65</v>
          </cell>
        </row>
        <row r="234">
          <cell r="B234">
            <v>411113</v>
          </cell>
          <cell r="C234" t="str">
            <v>Licença Paternidade Prorrogação</v>
          </cell>
          <cell r="D234">
            <v>31553.68</v>
          </cell>
          <cell r="E234">
            <v>0</v>
          </cell>
          <cell r="F234">
            <v>0</v>
          </cell>
          <cell r="G234">
            <v>31553.68</v>
          </cell>
        </row>
        <row r="235">
          <cell r="B235">
            <v>4112</v>
          </cell>
          <cell r="C235" t="str">
            <v>Encargos Sociais</v>
          </cell>
          <cell r="D235">
            <v>9955815.3000000007</v>
          </cell>
          <cell r="E235">
            <v>1002577.66</v>
          </cell>
          <cell r="F235">
            <v>-43728.13</v>
          </cell>
          <cell r="G235">
            <v>10914664.83</v>
          </cell>
        </row>
        <row r="236">
          <cell r="B236">
            <v>41121</v>
          </cell>
          <cell r="C236" t="str">
            <v>INSS</v>
          </cell>
          <cell r="D236">
            <v>5943555.8799999999</v>
          </cell>
          <cell r="E236">
            <v>605826.93000000005</v>
          </cell>
          <cell r="F236">
            <v>0</v>
          </cell>
          <cell r="G236">
            <v>6549382.8099999996</v>
          </cell>
        </row>
        <row r="237">
          <cell r="B237">
            <v>41122</v>
          </cell>
          <cell r="C237" t="str">
            <v>FGTS</v>
          </cell>
          <cell r="D237">
            <v>2271728.94</v>
          </cell>
          <cell r="E237">
            <v>230914.91</v>
          </cell>
          <cell r="F237">
            <v>0</v>
          </cell>
          <cell r="G237">
            <v>2502643.85</v>
          </cell>
        </row>
        <row r="238">
          <cell r="B238">
            <v>41124</v>
          </cell>
          <cell r="C238" t="str">
            <v>INSS s/ 13º Salário</v>
          </cell>
          <cell r="D238">
            <v>549878.93000000005</v>
          </cell>
          <cell r="E238">
            <v>53782.61</v>
          </cell>
          <cell r="F238">
            <v>0</v>
          </cell>
          <cell r="G238">
            <v>603661.54</v>
          </cell>
        </row>
        <row r="239">
          <cell r="B239">
            <v>41125</v>
          </cell>
          <cell r="C239" t="str">
            <v>INSS s/ Férias</v>
          </cell>
          <cell r="D239">
            <v>710665.6</v>
          </cell>
          <cell r="E239">
            <v>66305.2</v>
          </cell>
          <cell r="F239">
            <v>-31665.200000000001</v>
          </cell>
          <cell r="G239">
            <v>745305.59999999998</v>
          </cell>
        </row>
        <row r="240">
          <cell r="B240">
            <v>41126</v>
          </cell>
          <cell r="C240" t="str">
            <v>FGTS s/ Férias</v>
          </cell>
          <cell r="D240">
            <v>270508.18</v>
          </cell>
          <cell r="E240">
            <v>25259.23</v>
          </cell>
          <cell r="F240">
            <v>-12062.93</v>
          </cell>
          <cell r="G240">
            <v>283704.48</v>
          </cell>
        </row>
        <row r="241">
          <cell r="B241">
            <v>41127</v>
          </cell>
          <cell r="C241" t="str">
            <v>FGTS s/ 13º Salário</v>
          </cell>
          <cell r="D241">
            <v>209477.77</v>
          </cell>
          <cell r="E241">
            <v>20488.78</v>
          </cell>
          <cell r="F241">
            <v>0</v>
          </cell>
          <cell r="G241">
            <v>229966.55</v>
          </cell>
        </row>
        <row r="242">
          <cell r="B242">
            <v>4113</v>
          </cell>
          <cell r="C242" t="str">
            <v>Benefícios</v>
          </cell>
          <cell r="D242">
            <v>5080463.54</v>
          </cell>
          <cell r="E242">
            <v>515580.95</v>
          </cell>
          <cell r="F242">
            <v>-2935.61</v>
          </cell>
          <cell r="G242">
            <v>5593108.8799999999</v>
          </cell>
        </row>
        <row r="243">
          <cell r="B243">
            <v>41131</v>
          </cell>
          <cell r="C243" t="str">
            <v>Previdência Privada Complementar</v>
          </cell>
          <cell r="D243">
            <v>2189440.6</v>
          </cell>
          <cell r="E243">
            <v>224084.37</v>
          </cell>
          <cell r="F243">
            <v>0</v>
          </cell>
          <cell r="G243">
            <v>2413524.9700000002</v>
          </cell>
        </row>
        <row r="244">
          <cell r="B244">
            <v>41132</v>
          </cell>
          <cell r="C244" t="str">
            <v>Auxílio Alimentação</v>
          </cell>
          <cell r="D244">
            <v>1461175.56</v>
          </cell>
          <cell r="E244">
            <v>142940.54999999999</v>
          </cell>
          <cell r="F244">
            <v>-431.25</v>
          </cell>
          <cell r="G244">
            <v>1603684.86</v>
          </cell>
        </row>
        <row r="245">
          <cell r="B245">
            <v>41133</v>
          </cell>
          <cell r="C245" t="str">
            <v>Auxílio Transporte</v>
          </cell>
          <cell r="D245">
            <v>965.74</v>
          </cell>
          <cell r="E245">
            <v>2270.36</v>
          </cell>
          <cell r="F245">
            <v>-2270.36</v>
          </cell>
          <cell r="G245">
            <v>965.74</v>
          </cell>
        </row>
        <row r="246">
          <cell r="B246">
            <v>41135</v>
          </cell>
          <cell r="C246" t="str">
            <v>Auxílio Creche</v>
          </cell>
          <cell r="D246">
            <v>426951.86</v>
          </cell>
          <cell r="E246">
            <v>44678.37</v>
          </cell>
          <cell r="F246">
            <v>0</v>
          </cell>
          <cell r="G246">
            <v>471630.23</v>
          </cell>
        </row>
        <row r="247">
          <cell r="B247">
            <v>41136</v>
          </cell>
          <cell r="C247" t="str">
            <v>Assistência Médica e  Odontológica</v>
          </cell>
          <cell r="D247">
            <v>978892.72</v>
          </cell>
          <cell r="E247">
            <v>98896.07</v>
          </cell>
          <cell r="F247">
            <v>0</v>
          </cell>
          <cell r="G247">
            <v>1077788.79</v>
          </cell>
        </row>
        <row r="248">
          <cell r="B248">
            <v>411310</v>
          </cell>
          <cell r="C248" t="str">
            <v>Vale Cultura</v>
          </cell>
          <cell r="D248">
            <v>4244</v>
          </cell>
          <cell r="E248">
            <v>650</v>
          </cell>
          <cell r="F248">
            <v>-234</v>
          </cell>
          <cell r="G248">
            <v>4660</v>
          </cell>
        </row>
        <row r="249">
          <cell r="B249">
            <v>411311</v>
          </cell>
          <cell r="C249" t="str">
            <v>Saúde Ocupacional</v>
          </cell>
          <cell r="D249">
            <v>18793.060000000001</v>
          </cell>
          <cell r="E249">
            <v>2061.23</v>
          </cell>
          <cell r="F249">
            <v>0</v>
          </cell>
          <cell r="G249">
            <v>20854.29</v>
          </cell>
        </row>
        <row r="250">
          <cell r="B250">
            <v>413</v>
          </cell>
          <cell r="C250" t="str">
            <v>Custos c/ Serviços de Terceiros - Serv.</v>
          </cell>
          <cell r="D250">
            <v>5175880.5199999996</v>
          </cell>
          <cell r="E250">
            <v>2379307.23</v>
          </cell>
          <cell r="F250">
            <v>0</v>
          </cell>
          <cell r="G250">
            <v>7555187.75</v>
          </cell>
        </row>
        <row r="251">
          <cell r="B251">
            <v>4131</v>
          </cell>
          <cell r="C251" t="str">
            <v>Serviços de Terceiros</v>
          </cell>
          <cell r="D251">
            <v>5175880.5199999996</v>
          </cell>
          <cell r="E251">
            <v>2379307.23</v>
          </cell>
          <cell r="F251">
            <v>0</v>
          </cell>
          <cell r="G251">
            <v>7555187.75</v>
          </cell>
        </row>
        <row r="252">
          <cell r="B252">
            <v>41311</v>
          </cell>
          <cell r="C252" t="str">
            <v>Serviços de Consultoria</v>
          </cell>
          <cell r="D252">
            <v>3351795.71</v>
          </cell>
          <cell r="E252">
            <v>2201098.84</v>
          </cell>
          <cell r="F252">
            <v>0</v>
          </cell>
          <cell r="G252">
            <v>5552894.5499999998</v>
          </cell>
        </row>
        <row r="253">
          <cell r="B253">
            <v>41312</v>
          </cell>
          <cell r="C253" t="str">
            <v>Serviços de Apoio Técnico e/ou Administrativo</v>
          </cell>
          <cell r="D253">
            <v>828506.97</v>
          </cell>
          <cell r="E253">
            <v>79329.86</v>
          </cell>
          <cell r="F253">
            <v>0</v>
          </cell>
          <cell r="G253">
            <v>907836.83</v>
          </cell>
        </row>
        <row r="254">
          <cell r="B254">
            <v>41313</v>
          </cell>
          <cell r="C254" t="str">
            <v>Cessão ou Requisição de Pessoal</v>
          </cell>
          <cell r="D254">
            <v>122324.06</v>
          </cell>
          <cell r="E254">
            <v>8495.14</v>
          </cell>
          <cell r="F254">
            <v>0</v>
          </cell>
          <cell r="G254">
            <v>130819.2</v>
          </cell>
        </row>
        <row r="255">
          <cell r="B255">
            <v>41315</v>
          </cell>
          <cell r="C255" t="str">
            <v>Cursos, Seminários e Convenções</v>
          </cell>
          <cell r="D255">
            <v>439633.12</v>
          </cell>
          <cell r="E255">
            <v>38065.5</v>
          </cell>
          <cell r="F255">
            <v>0</v>
          </cell>
          <cell r="G255">
            <v>477698.62</v>
          </cell>
        </row>
        <row r="256">
          <cell r="B256">
            <v>413114</v>
          </cell>
          <cell r="C256" t="str">
            <v>Cessão Temporária e Manutenção de Softwa</v>
          </cell>
          <cell r="D256">
            <v>161103.69</v>
          </cell>
          <cell r="E256">
            <v>21154.9</v>
          </cell>
          <cell r="F256">
            <v>0</v>
          </cell>
          <cell r="G256">
            <v>182258.59</v>
          </cell>
        </row>
        <row r="257">
          <cell r="B257">
            <v>413117</v>
          </cell>
          <cell r="C257" t="str">
            <v>Custos com Estagiarios</v>
          </cell>
          <cell r="D257">
            <v>258390.78</v>
          </cell>
          <cell r="E257">
            <v>31162.99</v>
          </cell>
          <cell r="F257">
            <v>0</v>
          </cell>
          <cell r="G257">
            <v>289553.77</v>
          </cell>
        </row>
        <row r="258">
          <cell r="B258">
            <v>4131997</v>
          </cell>
          <cell r="C258" t="str">
            <v>Serviço Prestado PF</v>
          </cell>
          <cell r="D258">
            <v>14126.19</v>
          </cell>
          <cell r="E258">
            <v>0</v>
          </cell>
          <cell r="F258">
            <v>0</v>
          </cell>
          <cell r="G258">
            <v>14126.19</v>
          </cell>
        </row>
        <row r="259">
          <cell r="B259">
            <v>414</v>
          </cell>
          <cell r="C259" t="str">
            <v>Custos c/ Tributos - Serviços</v>
          </cell>
          <cell r="D259">
            <v>245288.18</v>
          </cell>
          <cell r="E259">
            <v>23222.78</v>
          </cell>
          <cell r="F259">
            <v>0</v>
          </cell>
          <cell r="G259">
            <v>268510.96000000002</v>
          </cell>
        </row>
        <row r="260">
          <cell r="B260">
            <v>4141</v>
          </cell>
          <cell r="C260" t="str">
            <v>Impostos, Taxas e Contribuições</v>
          </cell>
          <cell r="D260">
            <v>245288.18</v>
          </cell>
          <cell r="E260">
            <v>23222.78</v>
          </cell>
          <cell r="F260">
            <v>0</v>
          </cell>
          <cell r="G260">
            <v>268510.96000000002</v>
          </cell>
        </row>
        <row r="261">
          <cell r="B261">
            <v>41412</v>
          </cell>
          <cell r="C261" t="str">
            <v>IPTU</v>
          </cell>
          <cell r="D261">
            <v>234550.02</v>
          </cell>
          <cell r="E261">
            <v>23222.78</v>
          </cell>
          <cell r="F261">
            <v>0</v>
          </cell>
          <cell r="G261">
            <v>257772.79999999999</v>
          </cell>
        </row>
        <row r="262">
          <cell r="B262">
            <v>41418</v>
          </cell>
          <cell r="C262" t="str">
            <v>Taxas Estaduais</v>
          </cell>
          <cell r="D262">
            <v>10738.16</v>
          </cell>
          <cell r="E262">
            <v>0</v>
          </cell>
          <cell r="F262">
            <v>0</v>
          </cell>
          <cell r="G262">
            <v>10738.16</v>
          </cell>
        </row>
        <row r="263">
          <cell r="B263">
            <v>416</v>
          </cell>
          <cell r="C263" t="str">
            <v>Custos Gerais - Serviços</v>
          </cell>
          <cell r="D263">
            <v>6481188.1200000001</v>
          </cell>
          <cell r="E263">
            <v>662479.86</v>
          </cell>
          <cell r="F263">
            <v>-4914.75</v>
          </cell>
          <cell r="G263">
            <v>7138753.2300000004</v>
          </cell>
        </row>
        <row r="264">
          <cell r="B264">
            <v>4161</v>
          </cell>
          <cell r="C264" t="str">
            <v>Custos de Funcionamento das Instalações</v>
          </cell>
          <cell r="D264">
            <v>3514999.87</v>
          </cell>
          <cell r="E264">
            <v>412352</v>
          </cell>
          <cell r="F264">
            <v>0</v>
          </cell>
          <cell r="G264">
            <v>3927351.87</v>
          </cell>
        </row>
        <row r="265">
          <cell r="B265">
            <v>41611</v>
          </cell>
          <cell r="C265" t="str">
            <v>Aluguéis</v>
          </cell>
          <cell r="D265">
            <v>1656832.6</v>
          </cell>
          <cell r="E265">
            <v>195461.32</v>
          </cell>
          <cell r="F265">
            <v>0</v>
          </cell>
          <cell r="G265">
            <v>1852293.92</v>
          </cell>
        </row>
        <row r="266">
          <cell r="B266">
            <v>41614</v>
          </cell>
          <cell r="C266" t="str">
            <v>Energia Elétrica</v>
          </cell>
          <cell r="D266">
            <v>481747.18</v>
          </cell>
          <cell r="E266">
            <v>43854.82</v>
          </cell>
          <cell r="F266">
            <v>0</v>
          </cell>
          <cell r="G266">
            <v>525602</v>
          </cell>
        </row>
        <row r="267">
          <cell r="B267">
            <v>41616</v>
          </cell>
          <cell r="C267" t="str">
            <v>Telecomunicações</v>
          </cell>
          <cell r="D267">
            <v>29848.77</v>
          </cell>
          <cell r="E267">
            <v>3389.39</v>
          </cell>
          <cell r="F267">
            <v>0</v>
          </cell>
          <cell r="G267">
            <v>33238.160000000003</v>
          </cell>
        </row>
        <row r="268">
          <cell r="B268">
            <v>416110</v>
          </cell>
          <cell r="C268" t="str">
            <v>Conduções e Lanches</v>
          </cell>
          <cell r="D268">
            <v>129.47</v>
          </cell>
          <cell r="E268">
            <v>120</v>
          </cell>
          <cell r="F268">
            <v>0</v>
          </cell>
          <cell r="G268">
            <v>249.47</v>
          </cell>
        </row>
        <row r="269">
          <cell r="B269">
            <v>416112</v>
          </cell>
          <cell r="C269" t="str">
            <v>Alugueis de Móveis, Máquinas e Equip.</v>
          </cell>
          <cell r="D269">
            <v>4668.8900000000003</v>
          </cell>
          <cell r="E269">
            <v>353.37</v>
          </cell>
          <cell r="F269">
            <v>0</v>
          </cell>
          <cell r="G269">
            <v>5022.26</v>
          </cell>
        </row>
        <row r="270">
          <cell r="B270">
            <v>416114</v>
          </cell>
          <cell r="C270" t="str">
            <v>Serviço de Limpeza e Higiene</v>
          </cell>
          <cell r="D270">
            <v>366570.62</v>
          </cell>
          <cell r="E270">
            <v>59645.1</v>
          </cell>
          <cell r="F270">
            <v>0</v>
          </cell>
          <cell r="G270">
            <v>426215.72</v>
          </cell>
        </row>
        <row r="271">
          <cell r="B271">
            <v>416115</v>
          </cell>
          <cell r="C271" t="str">
            <v>Serviços Gerais</v>
          </cell>
          <cell r="D271">
            <v>252516.18</v>
          </cell>
          <cell r="E271">
            <v>36882.99</v>
          </cell>
          <cell r="F271">
            <v>0</v>
          </cell>
          <cell r="G271">
            <v>289399.17</v>
          </cell>
        </row>
        <row r="272">
          <cell r="B272">
            <v>416116</v>
          </cell>
          <cell r="C272" t="str">
            <v>Condomínios</v>
          </cell>
          <cell r="D272">
            <v>722686.16</v>
          </cell>
          <cell r="E272">
            <v>72645.009999999995</v>
          </cell>
          <cell r="F272">
            <v>0</v>
          </cell>
          <cell r="G272">
            <v>795331.17</v>
          </cell>
        </row>
        <row r="273">
          <cell r="B273">
            <v>4162</v>
          </cell>
          <cell r="C273" t="str">
            <v>Custos Gerais da Administração</v>
          </cell>
          <cell r="D273">
            <v>2966188.25</v>
          </cell>
          <cell r="E273">
            <v>250127.86</v>
          </cell>
          <cell r="F273">
            <v>-4914.75</v>
          </cell>
          <cell r="G273">
            <v>3211401.36</v>
          </cell>
        </row>
        <row r="274">
          <cell r="B274">
            <v>41621</v>
          </cell>
          <cell r="C274" t="str">
            <v>Honorários da Diretoria</v>
          </cell>
          <cell r="D274">
            <v>734755.08</v>
          </cell>
          <cell r="E274">
            <v>80361.36</v>
          </cell>
          <cell r="F274">
            <v>0</v>
          </cell>
          <cell r="G274">
            <v>815116.44</v>
          </cell>
        </row>
        <row r="275">
          <cell r="B275">
            <v>41624</v>
          </cell>
          <cell r="C275" t="str">
            <v>Custos de Viagens - Passagens Aéreas</v>
          </cell>
          <cell r="D275">
            <v>542037.23</v>
          </cell>
          <cell r="E275">
            <v>50513.32</v>
          </cell>
          <cell r="F275">
            <v>0</v>
          </cell>
          <cell r="G275">
            <v>592550.55000000005</v>
          </cell>
        </row>
        <row r="276">
          <cell r="B276">
            <v>41625</v>
          </cell>
          <cell r="C276" t="str">
            <v>Custos de Viagens - Hospedagens</v>
          </cell>
          <cell r="D276">
            <v>1253.04</v>
          </cell>
          <cell r="E276">
            <v>0</v>
          </cell>
          <cell r="F276">
            <v>0</v>
          </cell>
          <cell r="G276">
            <v>1253.04</v>
          </cell>
        </row>
        <row r="277">
          <cell r="B277">
            <v>41626</v>
          </cell>
          <cell r="C277" t="str">
            <v>Custos de Viagens - Outros</v>
          </cell>
          <cell r="D277">
            <v>180005.45</v>
          </cell>
          <cell r="E277">
            <v>17337.16</v>
          </cell>
          <cell r="F277">
            <v>-4914.75</v>
          </cell>
          <cell r="G277">
            <v>192427.86</v>
          </cell>
        </row>
        <row r="278">
          <cell r="B278">
            <v>41627</v>
          </cell>
          <cell r="C278" t="str">
            <v>Assinatura Banco de Dados e Portais</v>
          </cell>
          <cell r="D278">
            <v>1186526.82</v>
          </cell>
          <cell r="E278">
            <v>101916.02</v>
          </cell>
          <cell r="F278">
            <v>0</v>
          </cell>
          <cell r="G278">
            <v>1288442.8400000001</v>
          </cell>
        </row>
        <row r="279">
          <cell r="B279">
            <v>416210</v>
          </cell>
          <cell r="C279" t="str">
            <v>Custo de Viagem ao Exterior</v>
          </cell>
          <cell r="D279">
            <v>321610.63</v>
          </cell>
          <cell r="E279">
            <v>0</v>
          </cell>
          <cell r="F279">
            <v>0</v>
          </cell>
          <cell r="G279">
            <v>321610.63</v>
          </cell>
        </row>
        <row r="280">
          <cell r="B280">
            <v>42</v>
          </cell>
          <cell r="C280" t="str">
            <v>Despesas</v>
          </cell>
          <cell r="D280">
            <v>35792099.969999999</v>
          </cell>
          <cell r="E280">
            <v>3721058.28</v>
          </cell>
          <cell r="F280">
            <v>-21957.59</v>
          </cell>
          <cell r="G280">
            <v>39491200.659999996</v>
          </cell>
        </row>
        <row r="281">
          <cell r="B281">
            <v>421</v>
          </cell>
          <cell r="C281" t="str">
            <v>Despesas com Pessoal</v>
          </cell>
          <cell r="D281">
            <v>21499855.899999999</v>
          </cell>
          <cell r="E281">
            <v>2246980.67</v>
          </cell>
          <cell r="F281">
            <v>-19853</v>
          </cell>
          <cell r="G281">
            <v>23726983.57</v>
          </cell>
        </row>
        <row r="282">
          <cell r="B282">
            <v>4211</v>
          </cell>
          <cell r="C282" t="str">
            <v>Remunerações</v>
          </cell>
          <cell r="D282">
            <v>14779063.310000001</v>
          </cell>
          <cell r="E282">
            <v>1547245.75</v>
          </cell>
          <cell r="F282">
            <v>-12547.57</v>
          </cell>
          <cell r="G282">
            <v>16313761.49</v>
          </cell>
        </row>
        <row r="283">
          <cell r="B283">
            <v>42111</v>
          </cell>
          <cell r="C283" t="str">
            <v>Salários</v>
          </cell>
          <cell r="D283">
            <v>11840063.789999999</v>
          </cell>
          <cell r="E283">
            <v>1274831.1599999999</v>
          </cell>
          <cell r="F283">
            <v>-269.3</v>
          </cell>
          <cell r="G283">
            <v>13114625.65</v>
          </cell>
        </row>
        <row r="284">
          <cell r="B284">
            <v>42117</v>
          </cell>
          <cell r="C284" t="str">
            <v>Provisão de Férias e Encargos Sociais</v>
          </cell>
          <cell r="D284">
            <v>1564472.96</v>
          </cell>
          <cell r="E284">
            <v>149424.47</v>
          </cell>
          <cell r="F284">
            <v>-12278.27</v>
          </cell>
          <cell r="G284">
            <v>1701619.16</v>
          </cell>
        </row>
        <row r="285">
          <cell r="B285">
            <v>42118</v>
          </cell>
          <cell r="C285" t="str">
            <v>Abono Pecuniário de Férias</v>
          </cell>
          <cell r="D285">
            <v>156316.71</v>
          </cell>
          <cell r="E285">
            <v>10126.48</v>
          </cell>
          <cell r="F285">
            <v>0</v>
          </cell>
          <cell r="G285">
            <v>166443.19</v>
          </cell>
        </row>
        <row r="286">
          <cell r="B286">
            <v>42119</v>
          </cell>
          <cell r="C286" t="str">
            <v>Provisão de 13º Salários e Encargos</v>
          </cell>
          <cell r="D286">
            <v>1134082.23</v>
          </cell>
          <cell r="E286">
            <v>112863.64</v>
          </cell>
          <cell r="F286">
            <v>0</v>
          </cell>
          <cell r="G286">
            <v>1246945.8700000001</v>
          </cell>
        </row>
        <row r="287">
          <cell r="B287">
            <v>421110</v>
          </cell>
          <cell r="C287" t="str">
            <v>Salario Maternidade - Prorrogação</v>
          </cell>
          <cell r="D287">
            <v>84127.62</v>
          </cell>
          <cell r="E287">
            <v>0</v>
          </cell>
          <cell r="F287">
            <v>0</v>
          </cell>
          <cell r="G287">
            <v>84127.62</v>
          </cell>
        </row>
        <row r="288">
          <cell r="B288">
            <v>4212</v>
          </cell>
          <cell r="C288" t="str">
            <v>Encargos Sociais</v>
          </cell>
          <cell r="D288">
            <v>4422305.5599999996</v>
          </cell>
          <cell r="E288">
            <v>460423.14</v>
          </cell>
          <cell r="F288">
            <v>-3560.71</v>
          </cell>
          <cell r="G288">
            <v>4879167.99</v>
          </cell>
        </row>
        <row r="289">
          <cell r="B289">
            <v>42121</v>
          </cell>
          <cell r="C289" t="str">
            <v>INSS</v>
          </cell>
          <cell r="D289">
            <v>2657972.9900000002</v>
          </cell>
          <cell r="E289">
            <v>279320.27</v>
          </cell>
          <cell r="F289">
            <v>0</v>
          </cell>
          <cell r="G289">
            <v>2937293.26</v>
          </cell>
        </row>
        <row r="290">
          <cell r="B290">
            <v>42122</v>
          </cell>
          <cell r="C290" t="str">
            <v>FGTS</v>
          </cell>
          <cell r="D290">
            <v>1007496.7</v>
          </cell>
          <cell r="E290">
            <v>106487.52</v>
          </cell>
          <cell r="F290">
            <v>0</v>
          </cell>
          <cell r="G290">
            <v>1113984.22</v>
          </cell>
        </row>
        <row r="291">
          <cell r="B291">
            <v>42124</v>
          </cell>
          <cell r="C291" t="str">
            <v>INSS s/ 13º Salário</v>
          </cell>
          <cell r="D291">
            <v>233661.29</v>
          </cell>
          <cell r="E291">
            <v>23251.919999999998</v>
          </cell>
          <cell r="F291">
            <v>0</v>
          </cell>
          <cell r="G291">
            <v>256913.21</v>
          </cell>
        </row>
        <row r="292">
          <cell r="B292">
            <v>42125</v>
          </cell>
          <cell r="C292" t="str">
            <v>INSS s/ Férias</v>
          </cell>
          <cell r="D292">
            <v>314311.24</v>
          </cell>
          <cell r="E292">
            <v>30779.84</v>
          </cell>
          <cell r="F292">
            <v>-2578.44</v>
          </cell>
          <cell r="G292">
            <v>342512.64000000001</v>
          </cell>
        </row>
        <row r="293">
          <cell r="B293">
            <v>42126</v>
          </cell>
          <cell r="C293" t="str">
            <v>FGTS s/ Férias</v>
          </cell>
          <cell r="D293">
            <v>119831.85</v>
          </cell>
          <cell r="E293">
            <v>11725.68</v>
          </cell>
          <cell r="F293">
            <v>-982.27</v>
          </cell>
          <cell r="G293">
            <v>130575.26</v>
          </cell>
        </row>
        <row r="294">
          <cell r="B294">
            <v>42127</v>
          </cell>
          <cell r="C294" t="str">
            <v>FGTS s/ 13º Salário</v>
          </cell>
          <cell r="D294">
            <v>89031.49</v>
          </cell>
          <cell r="E294">
            <v>8857.91</v>
          </cell>
          <cell r="F294">
            <v>0</v>
          </cell>
          <cell r="G294">
            <v>97889.4</v>
          </cell>
        </row>
        <row r="295">
          <cell r="B295">
            <v>4213</v>
          </cell>
          <cell r="C295" t="str">
            <v>Benefícios</v>
          </cell>
          <cell r="D295">
            <v>2298487.0299999998</v>
          </cell>
          <cell r="E295">
            <v>239311.78</v>
          </cell>
          <cell r="F295">
            <v>-3744.72</v>
          </cell>
          <cell r="G295">
            <v>2534054.09</v>
          </cell>
        </row>
        <row r="296">
          <cell r="B296">
            <v>42131</v>
          </cell>
          <cell r="C296" t="str">
            <v>Previdência Privada Complementar</v>
          </cell>
          <cell r="D296">
            <v>983872.98</v>
          </cell>
          <cell r="E296">
            <v>102334.44</v>
          </cell>
          <cell r="F296">
            <v>0</v>
          </cell>
          <cell r="G296">
            <v>1086207.42</v>
          </cell>
        </row>
        <row r="297">
          <cell r="B297">
            <v>42132</v>
          </cell>
          <cell r="C297" t="str">
            <v>Auxílio Alimentação</v>
          </cell>
          <cell r="D297">
            <v>670023.73</v>
          </cell>
          <cell r="E297">
            <v>65730.27</v>
          </cell>
          <cell r="F297">
            <v>0</v>
          </cell>
          <cell r="G297">
            <v>735754</v>
          </cell>
        </row>
        <row r="298">
          <cell r="B298">
            <v>42133</v>
          </cell>
          <cell r="C298" t="str">
            <v>Auxílio Transporte</v>
          </cell>
          <cell r="D298">
            <v>19539.8</v>
          </cell>
          <cell r="E298">
            <v>5139.96</v>
          </cell>
          <cell r="F298">
            <v>-3562.72</v>
          </cell>
          <cell r="G298">
            <v>21117.040000000001</v>
          </cell>
        </row>
        <row r="299">
          <cell r="B299">
            <v>42134</v>
          </cell>
          <cell r="C299" t="str">
            <v>Auxílio Moradia</v>
          </cell>
          <cell r="D299">
            <v>39000</v>
          </cell>
          <cell r="E299">
            <v>3900</v>
          </cell>
          <cell r="F299">
            <v>0</v>
          </cell>
          <cell r="G299">
            <v>42900</v>
          </cell>
        </row>
        <row r="300">
          <cell r="B300">
            <v>42135</v>
          </cell>
          <cell r="C300" t="str">
            <v>Auxílio Creche</v>
          </cell>
          <cell r="D300">
            <v>133133.89000000001</v>
          </cell>
          <cell r="E300">
            <v>16985.28</v>
          </cell>
          <cell r="F300">
            <v>0</v>
          </cell>
          <cell r="G300">
            <v>150119.17000000001</v>
          </cell>
        </row>
        <row r="301">
          <cell r="B301">
            <v>42136</v>
          </cell>
          <cell r="C301" t="str">
            <v>Assistência Médica e  Odontológica</v>
          </cell>
          <cell r="D301">
            <v>395993.53</v>
          </cell>
          <cell r="E301">
            <v>40818.839999999997</v>
          </cell>
          <cell r="F301">
            <v>0</v>
          </cell>
          <cell r="G301">
            <v>436812.37</v>
          </cell>
        </row>
        <row r="302">
          <cell r="B302">
            <v>421310</v>
          </cell>
          <cell r="C302" t="str">
            <v>Vale Cultura</v>
          </cell>
          <cell r="D302">
            <v>6436</v>
          </cell>
          <cell r="E302">
            <v>800</v>
          </cell>
          <cell r="F302">
            <v>-182</v>
          </cell>
          <cell r="G302">
            <v>7054</v>
          </cell>
        </row>
        <row r="303">
          <cell r="B303">
            <v>421311</v>
          </cell>
          <cell r="C303" t="str">
            <v>Saúde Ocupacional</v>
          </cell>
          <cell r="D303">
            <v>50487.1</v>
          </cell>
          <cell r="E303">
            <v>3602.99</v>
          </cell>
          <cell r="F303">
            <v>0</v>
          </cell>
          <cell r="G303">
            <v>54090.09</v>
          </cell>
        </row>
        <row r="304">
          <cell r="B304">
            <v>422</v>
          </cell>
          <cell r="C304" t="str">
            <v>Despesas Com Materiais</v>
          </cell>
          <cell r="D304">
            <v>132482.03</v>
          </cell>
          <cell r="E304">
            <v>5297.1</v>
          </cell>
          <cell r="F304">
            <v>-320</v>
          </cell>
          <cell r="G304">
            <v>137459.13</v>
          </cell>
        </row>
        <row r="305">
          <cell r="B305">
            <v>4221</v>
          </cell>
          <cell r="C305" t="str">
            <v>Despesas com Materiais Nacionais</v>
          </cell>
          <cell r="D305">
            <v>132482.03</v>
          </cell>
          <cell r="E305">
            <v>5297.1</v>
          </cell>
          <cell r="F305">
            <v>-320</v>
          </cell>
          <cell r="G305">
            <v>137459.13</v>
          </cell>
        </row>
        <row r="306">
          <cell r="B306">
            <v>42211</v>
          </cell>
          <cell r="C306" t="str">
            <v>Materiais Adm. e de Expediente</v>
          </cell>
          <cell r="D306">
            <v>130414.03</v>
          </cell>
          <cell r="E306">
            <v>5297.1</v>
          </cell>
          <cell r="F306">
            <v>-320</v>
          </cell>
          <cell r="G306">
            <v>135391.13</v>
          </cell>
        </row>
        <row r="307">
          <cell r="B307">
            <v>42213</v>
          </cell>
          <cell r="C307" t="str">
            <v>Materiais e Equipamentos</v>
          </cell>
          <cell r="D307">
            <v>2068</v>
          </cell>
          <cell r="E307">
            <v>0</v>
          </cell>
          <cell r="F307">
            <v>0</v>
          </cell>
          <cell r="G307">
            <v>2068</v>
          </cell>
        </row>
        <row r="308">
          <cell r="B308">
            <v>423</v>
          </cell>
          <cell r="C308" t="str">
            <v>Desp.c/Serv. de Terceiros</v>
          </cell>
          <cell r="D308">
            <v>3851711.78</v>
          </cell>
          <cell r="E308">
            <v>623849.68000000005</v>
          </cell>
          <cell r="F308">
            <v>-1036.6099999999999</v>
          </cell>
          <cell r="G308">
            <v>4474524.8499999996</v>
          </cell>
        </row>
        <row r="309">
          <cell r="B309">
            <v>4231</v>
          </cell>
          <cell r="C309" t="str">
            <v>Desp.c/Serv. de Terceiros</v>
          </cell>
          <cell r="D309">
            <v>3851711.78</v>
          </cell>
          <cell r="E309">
            <v>623849.68000000005</v>
          </cell>
          <cell r="F309">
            <v>-1036.6099999999999</v>
          </cell>
          <cell r="G309">
            <v>4474524.8499999996</v>
          </cell>
        </row>
        <row r="310">
          <cell r="B310">
            <v>42311</v>
          </cell>
          <cell r="C310" t="str">
            <v>Serviços de Consultoria</v>
          </cell>
          <cell r="D310">
            <v>554996</v>
          </cell>
          <cell r="E310">
            <v>46525</v>
          </cell>
          <cell r="F310">
            <v>0</v>
          </cell>
          <cell r="G310">
            <v>601521</v>
          </cell>
        </row>
        <row r="311">
          <cell r="B311">
            <v>42312</v>
          </cell>
          <cell r="C311" t="str">
            <v>Serviços de Apoio Técnico e/ou Administrativo</v>
          </cell>
          <cell r="D311">
            <v>1346651.42</v>
          </cell>
          <cell r="E311">
            <v>308899.62</v>
          </cell>
          <cell r="F311">
            <v>0</v>
          </cell>
          <cell r="G311">
            <v>1655551.04</v>
          </cell>
        </row>
        <row r="312">
          <cell r="B312">
            <v>42313</v>
          </cell>
          <cell r="C312" t="str">
            <v>Cessão ou Requisição de Pessoal</v>
          </cell>
          <cell r="D312">
            <v>250373.1</v>
          </cell>
          <cell r="E312">
            <v>24403.53</v>
          </cell>
          <cell r="F312">
            <v>0</v>
          </cell>
          <cell r="G312">
            <v>274776.63</v>
          </cell>
        </row>
        <row r="313">
          <cell r="B313">
            <v>42315</v>
          </cell>
          <cell r="C313" t="str">
            <v>Cursos, Seminários e Convenções</v>
          </cell>
          <cell r="D313">
            <v>341890.81</v>
          </cell>
          <cell r="E313">
            <v>72233.73</v>
          </cell>
          <cell r="F313">
            <v>0</v>
          </cell>
          <cell r="G313">
            <v>414124.54</v>
          </cell>
        </row>
        <row r="314">
          <cell r="B314">
            <v>42316</v>
          </cell>
          <cell r="C314" t="str">
            <v>Serviços de Processamentos de Dados</v>
          </cell>
          <cell r="D314">
            <v>228554.6</v>
          </cell>
          <cell r="E314">
            <v>0</v>
          </cell>
          <cell r="F314">
            <v>0</v>
          </cell>
          <cell r="G314">
            <v>228554.6</v>
          </cell>
        </row>
        <row r="315">
          <cell r="B315">
            <v>42317</v>
          </cell>
          <cell r="C315" t="str">
            <v>Serviços Manut. Equipamentos Informática</v>
          </cell>
          <cell r="D315">
            <v>293394.92</v>
          </cell>
          <cell r="E315">
            <v>18286.63</v>
          </cell>
          <cell r="F315">
            <v>0</v>
          </cell>
          <cell r="G315">
            <v>311681.55</v>
          </cell>
        </row>
        <row r="316">
          <cell r="B316">
            <v>42318</v>
          </cell>
          <cell r="C316" t="str">
            <v>Serv. Tributários e Auditoria</v>
          </cell>
          <cell r="D316">
            <v>161706.49</v>
          </cell>
          <cell r="E316">
            <v>24223.29</v>
          </cell>
          <cell r="F316">
            <v>0</v>
          </cell>
          <cell r="G316">
            <v>185929.78</v>
          </cell>
        </row>
        <row r="317">
          <cell r="B317">
            <v>423111</v>
          </cell>
          <cell r="C317" t="str">
            <v>Serviços de Reforma das Instalações</v>
          </cell>
          <cell r="D317">
            <v>11753.5</v>
          </cell>
          <cell r="E317">
            <v>0</v>
          </cell>
          <cell r="F317">
            <v>0</v>
          </cell>
          <cell r="G317">
            <v>11753.5</v>
          </cell>
        </row>
        <row r="318">
          <cell r="B318">
            <v>423113</v>
          </cell>
          <cell r="C318" t="str">
            <v>Locação de Veículos</v>
          </cell>
          <cell r="D318">
            <v>0</v>
          </cell>
          <cell r="E318">
            <v>10921.43</v>
          </cell>
          <cell r="F318">
            <v>0</v>
          </cell>
          <cell r="G318">
            <v>10921.43</v>
          </cell>
        </row>
        <row r="319">
          <cell r="B319">
            <v>423114</v>
          </cell>
          <cell r="C319" t="str">
            <v>Cessão Temporária e Manut. de Software</v>
          </cell>
          <cell r="D319">
            <v>433313.12</v>
          </cell>
          <cell r="E319">
            <v>92761.08</v>
          </cell>
          <cell r="F319">
            <v>0</v>
          </cell>
          <cell r="G319">
            <v>526074.19999999995</v>
          </cell>
        </row>
        <row r="320">
          <cell r="B320">
            <v>423117</v>
          </cell>
          <cell r="C320" t="str">
            <v>Despesas com Estagiarios</v>
          </cell>
          <cell r="D320">
            <v>204249.28</v>
          </cell>
          <cell r="E320">
            <v>25595.37</v>
          </cell>
          <cell r="F320">
            <v>0</v>
          </cell>
          <cell r="G320">
            <v>229844.65</v>
          </cell>
        </row>
        <row r="321">
          <cell r="B321">
            <v>423119</v>
          </cell>
          <cell r="C321" t="str">
            <v>Despesas com Jovem Aprendiz</v>
          </cell>
          <cell r="D321">
            <v>24828.54</v>
          </cell>
          <cell r="E321">
            <v>0</v>
          </cell>
          <cell r="F321">
            <v>-1036.6099999999999</v>
          </cell>
          <cell r="G321">
            <v>23791.93</v>
          </cell>
        </row>
        <row r="322">
          <cell r="B322">
            <v>424</v>
          </cell>
          <cell r="C322" t="str">
            <v>Desp.c/Tributos</v>
          </cell>
          <cell r="D322">
            <v>760509.21</v>
          </cell>
          <cell r="E322">
            <v>9610.2099999999991</v>
          </cell>
          <cell r="F322">
            <v>0</v>
          </cell>
          <cell r="G322">
            <v>770119.42</v>
          </cell>
        </row>
        <row r="323">
          <cell r="B323">
            <v>4241</v>
          </cell>
          <cell r="C323" t="str">
            <v>Desp.c/Tributos-Imp.,Txs e Contribuições</v>
          </cell>
          <cell r="D323">
            <v>760509.21</v>
          </cell>
          <cell r="E323">
            <v>9610.2099999999991</v>
          </cell>
          <cell r="F323">
            <v>0</v>
          </cell>
          <cell r="G323">
            <v>770119.42</v>
          </cell>
        </row>
        <row r="324">
          <cell r="B324">
            <v>42412</v>
          </cell>
          <cell r="C324" t="str">
            <v>IPTU</v>
          </cell>
          <cell r="D324">
            <v>97063.21</v>
          </cell>
          <cell r="E324">
            <v>9610.2099999999991</v>
          </cell>
          <cell r="F324">
            <v>0</v>
          </cell>
          <cell r="G324">
            <v>106673.42</v>
          </cell>
        </row>
        <row r="325">
          <cell r="B325">
            <v>42415</v>
          </cell>
          <cell r="C325" t="str">
            <v>PIS s/ Outras Receitas</v>
          </cell>
          <cell r="D325">
            <v>114927.21</v>
          </cell>
          <cell r="E325">
            <v>0</v>
          </cell>
          <cell r="F325">
            <v>0</v>
          </cell>
          <cell r="G325">
            <v>114927.21</v>
          </cell>
        </row>
        <row r="326">
          <cell r="B326">
            <v>42416</v>
          </cell>
          <cell r="C326" t="str">
            <v>COFINS s/ outras Receitas</v>
          </cell>
          <cell r="D326">
            <v>538818.84</v>
          </cell>
          <cell r="E326">
            <v>0</v>
          </cell>
          <cell r="F326">
            <v>0</v>
          </cell>
          <cell r="G326">
            <v>538818.84</v>
          </cell>
        </row>
        <row r="327">
          <cell r="B327">
            <v>42418</v>
          </cell>
          <cell r="C327" t="str">
            <v>Outros Impostos e Taxas</v>
          </cell>
          <cell r="D327">
            <v>317.56</v>
          </cell>
          <cell r="E327">
            <v>0</v>
          </cell>
          <cell r="F327">
            <v>0</v>
          </cell>
          <cell r="G327">
            <v>317.56</v>
          </cell>
        </row>
        <row r="328">
          <cell r="B328">
            <v>424112</v>
          </cell>
          <cell r="C328" t="str">
            <v>Taxas Estaduais</v>
          </cell>
          <cell r="D328">
            <v>9382.39</v>
          </cell>
          <cell r="E328">
            <v>0</v>
          </cell>
          <cell r="F328">
            <v>0</v>
          </cell>
          <cell r="G328">
            <v>9382.39</v>
          </cell>
        </row>
        <row r="329">
          <cell r="B329">
            <v>425</v>
          </cell>
          <cell r="C329" t="str">
            <v>Despesas com Provisôes</v>
          </cell>
          <cell r="D329">
            <v>662659.38</v>
          </cell>
          <cell r="E329">
            <v>0</v>
          </cell>
          <cell r="F329">
            <v>0</v>
          </cell>
          <cell r="G329">
            <v>662659.38</v>
          </cell>
        </row>
        <row r="330">
          <cell r="B330">
            <v>4251</v>
          </cell>
          <cell r="C330" t="str">
            <v>Imposto de Renda</v>
          </cell>
          <cell r="D330">
            <v>215987.71</v>
          </cell>
          <cell r="E330">
            <v>0</v>
          </cell>
          <cell r="F330">
            <v>0</v>
          </cell>
          <cell r="G330">
            <v>215987.71</v>
          </cell>
        </row>
        <row r="331">
          <cell r="B331">
            <v>42511</v>
          </cell>
          <cell r="C331" t="str">
            <v>Provisão p/ IRPJ</v>
          </cell>
          <cell r="D331">
            <v>215987.71</v>
          </cell>
          <cell r="E331">
            <v>0</v>
          </cell>
          <cell r="F331">
            <v>0</v>
          </cell>
          <cell r="G331">
            <v>215987.71</v>
          </cell>
        </row>
        <row r="332">
          <cell r="B332">
            <v>4252</v>
          </cell>
          <cell r="C332" t="str">
            <v>Contribuição Social s/ Lucro Líquido</v>
          </cell>
          <cell r="D332">
            <v>210374.3</v>
          </cell>
          <cell r="E332">
            <v>0</v>
          </cell>
          <cell r="F332">
            <v>0</v>
          </cell>
          <cell r="G332">
            <v>210374.3</v>
          </cell>
        </row>
        <row r="333">
          <cell r="B333">
            <v>42521</v>
          </cell>
          <cell r="C333" t="str">
            <v>Provisão p/ CSLL</v>
          </cell>
          <cell r="D333">
            <v>210374.3</v>
          </cell>
          <cell r="E333">
            <v>0</v>
          </cell>
          <cell r="F333">
            <v>0</v>
          </cell>
          <cell r="G333">
            <v>210374.3</v>
          </cell>
        </row>
        <row r="334">
          <cell r="B334">
            <v>4254</v>
          </cell>
          <cell r="C334" t="str">
            <v>Despesas c/ Provisões - p/ Contingências</v>
          </cell>
          <cell r="D334">
            <v>236297.37</v>
          </cell>
          <cell r="E334">
            <v>0</v>
          </cell>
          <cell r="F334">
            <v>0</v>
          </cell>
          <cell r="G334">
            <v>236297.37</v>
          </cell>
        </row>
        <row r="335">
          <cell r="B335">
            <v>42541</v>
          </cell>
          <cell r="C335" t="str">
            <v>Provisões p/ Contingências Trabalhistas</v>
          </cell>
          <cell r="D335">
            <v>228883.71</v>
          </cell>
          <cell r="E335">
            <v>0</v>
          </cell>
          <cell r="F335">
            <v>0</v>
          </cell>
          <cell r="G335">
            <v>228883.71</v>
          </cell>
        </row>
        <row r="336">
          <cell r="B336">
            <v>42543</v>
          </cell>
          <cell r="C336" t="str">
            <v>Provisões p/ Contingências Fiscais</v>
          </cell>
          <cell r="D336">
            <v>5067.3599999999997</v>
          </cell>
          <cell r="E336">
            <v>0</v>
          </cell>
          <cell r="F336">
            <v>0</v>
          </cell>
          <cell r="G336">
            <v>5067.3599999999997</v>
          </cell>
        </row>
        <row r="337">
          <cell r="B337">
            <v>42544</v>
          </cell>
          <cell r="C337" t="str">
            <v>Provisões p/ Contingências Processos Administrativos</v>
          </cell>
          <cell r="D337">
            <v>2346.3000000000002</v>
          </cell>
          <cell r="E337">
            <v>0</v>
          </cell>
          <cell r="F337">
            <v>0</v>
          </cell>
          <cell r="G337">
            <v>2346.3000000000002</v>
          </cell>
        </row>
        <row r="338">
          <cell r="B338">
            <v>426</v>
          </cell>
          <cell r="C338" t="str">
            <v>Despesas Gerais</v>
          </cell>
          <cell r="D338">
            <v>7265377.0800000001</v>
          </cell>
          <cell r="E338">
            <v>768989.66</v>
          </cell>
          <cell r="F338">
            <v>-747.98</v>
          </cell>
          <cell r="G338">
            <v>8033618.7599999998</v>
          </cell>
        </row>
        <row r="339">
          <cell r="B339">
            <v>4261</v>
          </cell>
          <cell r="C339" t="str">
            <v>Desp. Gerais Funcionamento Instalações</v>
          </cell>
          <cell r="D339">
            <v>4003853.73</v>
          </cell>
          <cell r="E339">
            <v>416006.03</v>
          </cell>
          <cell r="F339">
            <v>-199</v>
          </cell>
          <cell r="G339">
            <v>4419660.76</v>
          </cell>
        </row>
        <row r="340">
          <cell r="B340">
            <v>42611</v>
          </cell>
          <cell r="C340" t="str">
            <v>Aluguéis</v>
          </cell>
          <cell r="D340">
            <v>693357.34</v>
          </cell>
          <cell r="E340">
            <v>80887.22</v>
          </cell>
          <cell r="F340">
            <v>0</v>
          </cell>
          <cell r="G340">
            <v>774244.56</v>
          </cell>
        </row>
        <row r="341">
          <cell r="B341">
            <v>42613</v>
          </cell>
          <cell r="C341" t="str">
            <v>Manutenção e Reparos</v>
          </cell>
          <cell r="D341">
            <v>100060.25</v>
          </cell>
          <cell r="E341">
            <v>4600</v>
          </cell>
          <cell r="F341">
            <v>-199</v>
          </cell>
          <cell r="G341">
            <v>104461.25</v>
          </cell>
        </row>
        <row r="342">
          <cell r="B342">
            <v>42614</v>
          </cell>
          <cell r="C342" t="str">
            <v>Energia Elétrica</v>
          </cell>
          <cell r="D342">
            <v>198359.72</v>
          </cell>
          <cell r="E342">
            <v>18148.32</v>
          </cell>
          <cell r="F342">
            <v>0</v>
          </cell>
          <cell r="G342">
            <v>216508.04</v>
          </cell>
        </row>
        <row r="343">
          <cell r="B343">
            <v>42616</v>
          </cell>
          <cell r="C343" t="str">
            <v>Telecomunicações</v>
          </cell>
          <cell r="D343">
            <v>12946.52</v>
          </cell>
          <cell r="E343">
            <v>1402.61</v>
          </cell>
          <cell r="F343">
            <v>0</v>
          </cell>
          <cell r="G343">
            <v>14349.13</v>
          </cell>
        </row>
        <row r="344">
          <cell r="B344">
            <v>42617</v>
          </cell>
          <cell r="C344" t="str">
            <v>Correios e Malotes</v>
          </cell>
          <cell r="D344">
            <v>2494.06</v>
          </cell>
          <cell r="E344">
            <v>188.7</v>
          </cell>
          <cell r="F344">
            <v>0</v>
          </cell>
          <cell r="G344">
            <v>2682.76</v>
          </cell>
        </row>
        <row r="345">
          <cell r="B345">
            <v>42618</v>
          </cell>
          <cell r="C345" t="str">
            <v>Reproduções</v>
          </cell>
          <cell r="D345">
            <v>9204.7000000000007</v>
          </cell>
          <cell r="E345">
            <v>0</v>
          </cell>
          <cell r="F345">
            <v>0</v>
          </cell>
          <cell r="G345">
            <v>9204.7000000000007</v>
          </cell>
        </row>
        <row r="346">
          <cell r="B346">
            <v>426111</v>
          </cell>
          <cell r="C346" t="str">
            <v>Depreciação e Amortização</v>
          </cell>
          <cell r="D346">
            <v>2429618.0699999998</v>
          </cell>
          <cell r="E346">
            <v>240062.72</v>
          </cell>
          <cell r="F346">
            <v>0</v>
          </cell>
          <cell r="G346">
            <v>2669680.79</v>
          </cell>
        </row>
        <row r="347">
          <cell r="B347">
            <v>426112</v>
          </cell>
          <cell r="C347" t="str">
            <v>Alugueis de Móveis, Máquinas e Equip.</v>
          </cell>
          <cell r="D347">
            <v>1462.31</v>
          </cell>
          <cell r="E347">
            <v>709.18</v>
          </cell>
          <cell r="F347">
            <v>0</v>
          </cell>
          <cell r="G347">
            <v>2171.4899999999998</v>
          </cell>
        </row>
        <row r="348">
          <cell r="B348">
            <v>426114</v>
          </cell>
          <cell r="C348" t="str">
            <v>Serviço de Limpeza e Higiene</v>
          </cell>
          <cell r="D348">
            <v>152785.93</v>
          </cell>
          <cell r="E348">
            <v>24681.99</v>
          </cell>
          <cell r="F348">
            <v>0</v>
          </cell>
          <cell r="G348">
            <v>177467.92</v>
          </cell>
        </row>
        <row r="349">
          <cell r="B349">
            <v>426116</v>
          </cell>
          <cell r="C349" t="str">
            <v>Condomínios</v>
          </cell>
          <cell r="D349">
            <v>299067.21999999997</v>
          </cell>
          <cell r="E349">
            <v>30062.49</v>
          </cell>
          <cell r="F349">
            <v>0</v>
          </cell>
          <cell r="G349">
            <v>329129.71000000002</v>
          </cell>
        </row>
        <row r="350">
          <cell r="B350">
            <v>426117</v>
          </cell>
          <cell r="C350" t="str">
            <v>Serviços Gerais</v>
          </cell>
          <cell r="D350">
            <v>104497.61</v>
          </cell>
          <cell r="E350">
            <v>15262.8</v>
          </cell>
          <cell r="F350">
            <v>0</v>
          </cell>
          <cell r="G350">
            <v>119760.41</v>
          </cell>
        </row>
        <row r="351">
          <cell r="B351">
            <v>4262</v>
          </cell>
          <cell r="C351" t="str">
            <v>Despesas Gerais da Administração</v>
          </cell>
          <cell r="D351">
            <v>3261523.35</v>
          </cell>
          <cell r="E351">
            <v>352983.63</v>
          </cell>
          <cell r="F351">
            <v>-548.98</v>
          </cell>
          <cell r="G351">
            <v>3613958</v>
          </cell>
        </row>
        <row r="352">
          <cell r="B352">
            <v>42621</v>
          </cell>
          <cell r="C352" t="str">
            <v>Honorários da Diretoria</v>
          </cell>
          <cell r="D352">
            <v>682124.74</v>
          </cell>
          <cell r="E352">
            <v>64964.26</v>
          </cell>
          <cell r="F352">
            <v>0</v>
          </cell>
          <cell r="G352">
            <v>747089</v>
          </cell>
        </row>
        <row r="353">
          <cell r="B353">
            <v>42622</v>
          </cell>
          <cell r="C353" t="str">
            <v>Honorários Conselhos de Adm. e Fiscal</v>
          </cell>
          <cell r="D353">
            <v>306846.82</v>
          </cell>
          <cell r="E353">
            <v>29342.15</v>
          </cell>
          <cell r="F353">
            <v>0</v>
          </cell>
          <cell r="G353">
            <v>336188.97</v>
          </cell>
        </row>
        <row r="354">
          <cell r="B354">
            <v>42624</v>
          </cell>
          <cell r="C354" t="str">
            <v>Despesas de Viagens - Passagens Aéreas</v>
          </cell>
          <cell r="D354">
            <v>258882.7</v>
          </cell>
          <cell r="E354">
            <v>36176.879999999997</v>
          </cell>
          <cell r="F354">
            <v>0</v>
          </cell>
          <cell r="G354">
            <v>295059.58</v>
          </cell>
        </row>
        <row r="355">
          <cell r="B355">
            <v>42625</v>
          </cell>
          <cell r="C355" t="str">
            <v>Despesas de Viagens - Hospedagens</v>
          </cell>
          <cell r="D355">
            <v>13705.59</v>
          </cell>
          <cell r="E355">
            <v>5759.42</v>
          </cell>
          <cell r="F355">
            <v>0</v>
          </cell>
          <cell r="G355">
            <v>19465.009999999998</v>
          </cell>
        </row>
        <row r="356">
          <cell r="B356">
            <v>42626</v>
          </cell>
          <cell r="C356" t="str">
            <v>Despesas de Viagens - Outros</v>
          </cell>
          <cell r="D356">
            <v>56321.34</v>
          </cell>
          <cell r="E356">
            <v>12984.06</v>
          </cell>
          <cell r="F356">
            <v>-548.98</v>
          </cell>
          <cell r="G356">
            <v>68756.42</v>
          </cell>
        </row>
        <row r="357">
          <cell r="B357">
            <v>42627</v>
          </cell>
          <cell r="C357" t="str">
            <v>Assinaturas Banco de Dados e Portais</v>
          </cell>
          <cell r="D357">
            <v>1546350.91</v>
          </cell>
          <cell r="E357">
            <v>177201.37</v>
          </cell>
          <cell r="F357">
            <v>0</v>
          </cell>
          <cell r="G357">
            <v>1723552.28</v>
          </cell>
        </row>
        <row r="358">
          <cell r="B358">
            <v>42629</v>
          </cell>
          <cell r="C358" t="str">
            <v>Despesas Legais e Judiciais</v>
          </cell>
          <cell r="D358">
            <v>4760.91</v>
          </cell>
          <cell r="E358">
            <v>0</v>
          </cell>
          <cell r="F358">
            <v>0</v>
          </cell>
          <cell r="G358">
            <v>4760.91</v>
          </cell>
        </row>
        <row r="359">
          <cell r="B359">
            <v>426210</v>
          </cell>
          <cell r="C359" t="str">
            <v>Despesa de Viagem ao Exterior</v>
          </cell>
          <cell r="D359">
            <v>78253.83</v>
          </cell>
          <cell r="E359">
            <v>0</v>
          </cell>
          <cell r="F359">
            <v>0</v>
          </cell>
          <cell r="G359">
            <v>78253.83</v>
          </cell>
        </row>
        <row r="360">
          <cell r="B360">
            <v>426213</v>
          </cell>
          <cell r="C360" t="str">
            <v>DESPESAS NÃO DEDUTIVEIS</v>
          </cell>
          <cell r="D360">
            <v>40550.300000000003</v>
          </cell>
          <cell r="E360">
            <v>0</v>
          </cell>
          <cell r="F360">
            <v>0</v>
          </cell>
          <cell r="G360">
            <v>40550.300000000003</v>
          </cell>
        </row>
        <row r="361">
          <cell r="B361">
            <v>426214</v>
          </cell>
          <cell r="C361" t="str">
            <v>Honorários Comite de Auditoria</v>
          </cell>
          <cell r="D361">
            <v>100405.95</v>
          </cell>
          <cell r="E361">
            <v>10556.7</v>
          </cell>
          <cell r="F361">
            <v>0</v>
          </cell>
          <cell r="G361">
            <v>110962.65</v>
          </cell>
        </row>
        <row r="362">
          <cell r="B362">
            <v>426215</v>
          </cell>
          <cell r="C362" t="str">
            <v>Seguro de Responsabilidade Cívil</v>
          </cell>
          <cell r="D362">
            <v>173320.26</v>
          </cell>
          <cell r="E362">
            <v>15998.79</v>
          </cell>
          <cell r="F362">
            <v>0</v>
          </cell>
          <cell r="G362">
            <v>189319.05</v>
          </cell>
        </row>
        <row r="363">
          <cell r="B363">
            <v>427</v>
          </cell>
          <cell r="C363" t="str">
            <v>Despesas Financeiras</v>
          </cell>
          <cell r="D363">
            <v>869504.59</v>
          </cell>
          <cell r="E363">
            <v>66330.960000000006</v>
          </cell>
          <cell r="F363">
            <v>0</v>
          </cell>
          <cell r="G363">
            <v>935835.55</v>
          </cell>
        </row>
        <row r="364">
          <cell r="B364">
            <v>42701</v>
          </cell>
          <cell r="C364" t="str">
            <v>Despesas Financeiras</v>
          </cell>
          <cell r="D364">
            <v>869504.59</v>
          </cell>
          <cell r="E364">
            <v>66330.960000000006</v>
          </cell>
          <cell r="F364">
            <v>0</v>
          </cell>
          <cell r="G364">
            <v>935835.55</v>
          </cell>
        </row>
        <row r="365">
          <cell r="B365">
            <v>42711</v>
          </cell>
          <cell r="C365" t="str">
            <v>Juros Pagos ou Incorridos</v>
          </cell>
          <cell r="D365">
            <v>3.15</v>
          </cell>
          <cell r="E365">
            <v>0</v>
          </cell>
          <cell r="F365">
            <v>0</v>
          </cell>
          <cell r="G365">
            <v>3.15</v>
          </cell>
        </row>
        <row r="366">
          <cell r="B366">
            <v>42716</v>
          </cell>
          <cell r="C366" t="str">
            <v>Multas</v>
          </cell>
          <cell r="D366">
            <v>2346.33</v>
          </cell>
          <cell r="E366">
            <v>0</v>
          </cell>
          <cell r="F366">
            <v>0</v>
          </cell>
          <cell r="G366">
            <v>2346.33</v>
          </cell>
        </row>
        <row r="367">
          <cell r="B367">
            <v>42720</v>
          </cell>
          <cell r="C367" t="str">
            <v>Prov. Contingências Variações Monetárias</v>
          </cell>
          <cell r="D367">
            <v>867155.11</v>
          </cell>
          <cell r="E367">
            <v>66330.960000000006</v>
          </cell>
          <cell r="F367">
            <v>0</v>
          </cell>
          <cell r="G367">
            <v>933486.07</v>
          </cell>
        </row>
        <row r="368">
          <cell r="B368">
            <v>429</v>
          </cell>
          <cell r="C368" t="str">
            <v>Outras Despesas</v>
          </cell>
          <cell r="D368">
            <v>750000</v>
          </cell>
          <cell r="E368">
            <v>0</v>
          </cell>
          <cell r="F368">
            <v>0</v>
          </cell>
          <cell r="G368">
            <v>750000</v>
          </cell>
        </row>
        <row r="369">
          <cell r="B369">
            <v>42910</v>
          </cell>
          <cell r="C369" t="str">
            <v>Despesas Concurso Público</v>
          </cell>
          <cell r="D369">
            <v>750000</v>
          </cell>
          <cell r="E369">
            <v>0</v>
          </cell>
          <cell r="F369">
            <v>0</v>
          </cell>
          <cell r="G369">
            <v>750000</v>
          </cell>
        </row>
        <row r="370">
          <cell r="B370">
            <v>429101</v>
          </cell>
          <cell r="C370" t="str">
            <v>Despesa de Concurso Público</v>
          </cell>
          <cell r="D370">
            <v>750000</v>
          </cell>
          <cell r="E370">
            <v>0</v>
          </cell>
          <cell r="F370">
            <v>0</v>
          </cell>
          <cell r="G370">
            <v>750000</v>
          </cell>
        </row>
        <row r="371">
          <cell r="B371">
            <v>5</v>
          </cell>
          <cell r="C371" t="str">
            <v>Resultado do Período</v>
          </cell>
          <cell r="D371">
            <v>616167.47</v>
          </cell>
          <cell r="E371">
            <v>0</v>
          </cell>
          <cell r="F371">
            <v>-2951140.21</v>
          </cell>
          <cell r="G371">
            <v>2334972.7400000002</v>
          </cell>
        </row>
        <row r="372">
          <cell r="B372">
            <v>51</v>
          </cell>
          <cell r="C372" t="str">
            <v>Resultado do Período</v>
          </cell>
          <cell r="D372">
            <v>616167.47</v>
          </cell>
          <cell r="E372">
            <v>0</v>
          </cell>
          <cell r="F372">
            <v>-2951140.21</v>
          </cell>
          <cell r="G372">
            <v>2334972.7400000002</v>
          </cell>
        </row>
        <row r="373">
          <cell r="B373">
            <v>511</v>
          </cell>
          <cell r="C373" t="str">
            <v>Lucro do Período</v>
          </cell>
          <cell r="D373">
            <v>6440098.96</v>
          </cell>
          <cell r="E373">
            <v>0</v>
          </cell>
          <cell r="F373">
            <v>0</v>
          </cell>
          <cell r="G373">
            <v>6440098.96</v>
          </cell>
        </row>
        <row r="374">
          <cell r="B374">
            <v>5111</v>
          </cell>
          <cell r="C374" t="str">
            <v>Janeiro</v>
          </cell>
          <cell r="D374">
            <v>801472.64</v>
          </cell>
          <cell r="E374">
            <v>0</v>
          </cell>
          <cell r="F374">
            <v>0</v>
          </cell>
          <cell r="G374">
            <v>801472.64</v>
          </cell>
        </row>
        <row r="375">
          <cell r="B375">
            <v>5112</v>
          </cell>
          <cell r="C375" t="str">
            <v>Fevereiro</v>
          </cell>
          <cell r="D375">
            <v>935410.39</v>
          </cell>
          <cell r="E375">
            <v>0</v>
          </cell>
          <cell r="F375">
            <v>0</v>
          </cell>
          <cell r="G375">
            <v>935410.39</v>
          </cell>
        </row>
        <row r="376">
          <cell r="B376">
            <v>5114</v>
          </cell>
          <cell r="C376" t="str">
            <v>Abril</v>
          </cell>
          <cell r="D376">
            <v>3733895.49</v>
          </cell>
          <cell r="E376">
            <v>0</v>
          </cell>
          <cell r="F376">
            <v>0</v>
          </cell>
          <cell r="G376">
            <v>3733895.49</v>
          </cell>
        </row>
        <row r="377">
          <cell r="B377">
            <v>5117</v>
          </cell>
          <cell r="C377" t="str">
            <v>Julho</v>
          </cell>
          <cell r="D377">
            <v>387867.2</v>
          </cell>
          <cell r="E377">
            <v>0</v>
          </cell>
          <cell r="F377">
            <v>0</v>
          </cell>
          <cell r="G377">
            <v>387867.2</v>
          </cell>
        </row>
        <row r="378">
          <cell r="B378">
            <v>51110</v>
          </cell>
          <cell r="C378" t="str">
            <v>Outubro</v>
          </cell>
          <cell r="D378">
            <v>581453.24</v>
          </cell>
          <cell r="E378">
            <v>0</v>
          </cell>
          <cell r="F378">
            <v>0</v>
          </cell>
          <cell r="G378">
            <v>581453.24</v>
          </cell>
        </row>
        <row r="379">
          <cell r="B379">
            <v>512</v>
          </cell>
          <cell r="C379" t="str">
            <v>Prejuízo do Período</v>
          </cell>
          <cell r="D379">
            <v>-5823931.4900000002</v>
          </cell>
          <cell r="E379">
            <v>0</v>
          </cell>
          <cell r="F379">
            <v>-2951140.21</v>
          </cell>
          <cell r="G379">
            <v>8775071.6999999993</v>
          </cell>
        </row>
        <row r="380">
          <cell r="B380">
            <v>5123</v>
          </cell>
          <cell r="C380" t="str">
            <v>Março</v>
          </cell>
          <cell r="D380">
            <v>-2791988</v>
          </cell>
          <cell r="E380">
            <v>0</v>
          </cell>
          <cell r="F380">
            <v>0</v>
          </cell>
          <cell r="G380">
            <v>2791988</v>
          </cell>
        </row>
        <row r="381">
          <cell r="B381">
            <v>5125</v>
          </cell>
          <cell r="C381" t="str">
            <v>Maio</v>
          </cell>
          <cell r="D381">
            <v>-1383594.51</v>
          </cell>
          <cell r="E381">
            <v>0</v>
          </cell>
          <cell r="F381">
            <v>0</v>
          </cell>
          <cell r="G381">
            <v>1383594.51</v>
          </cell>
        </row>
        <row r="382">
          <cell r="B382">
            <v>5126</v>
          </cell>
          <cell r="C382" t="str">
            <v>Junho</v>
          </cell>
          <cell r="D382">
            <v>-1294145.93</v>
          </cell>
          <cell r="E382">
            <v>0</v>
          </cell>
          <cell r="F382">
            <v>0</v>
          </cell>
          <cell r="G382">
            <v>1294145.93</v>
          </cell>
        </row>
        <row r="383">
          <cell r="B383">
            <v>5128</v>
          </cell>
          <cell r="C383" t="str">
            <v>Agosto</v>
          </cell>
          <cell r="D383">
            <v>-77096.83</v>
          </cell>
          <cell r="E383">
            <v>0</v>
          </cell>
          <cell r="F383">
            <v>0</v>
          </cell>
          <cell r="G383">
            <v>77096.83</v>
          </cell>
        </row>
        <row r="384">
          <cell r="B384">
            <v>5129</v>
          </cell>
          <cell r="C384" t="str">
            <v>Setembro</v>
          </cell>
          <cell r="D384">
            <v>-277106.21999999997</v>
          </cell>
          <cell r="E384">
            <v>0</v>
          </cell>
          <cell r="F384">
            <v>0</v>
          </cell>
          <cell r="G384">
            <v>277106.21999999997</v>
          </cell>
        </row>
        <row r="385">
          <cell r="B385">
            <v>51211</v>
          </cell>
          <cell r="C385" t="str">
            <v>Novembro</v>
          </cell>
          <cell r="D385">
            <v>0</v>
          </cell>
          <cell r="E385">
            <v>0</v>
          </cell>
          <cell r="F385">
            <v>-2951140.21</v>
          </cell>
          <cell r="G385">
            <v>2951140.21</v>
          </cell>
        </row>
      </sheetData>
      <sheetData sheetId="17">
        <row r="196">
          <cell r="G196">
            <v>97854416.489999995</v>
          </cell>
        </row>
        <row r="212">
          <cell r="G212">
            <v>22976.05</v>
          </cell>
        </row>
        <row r="216">
          <cell r="G216">
            <v>97018241.620000005</v>
          </cell>
        </row>
        <row r="224">
          <cell r="G224">
            <v>47574.65</v>
          </cell>
        </row>
        <row r="225">
          <cell r="G225">
            <v>31553.68</v>
          </cell>
        </row>
        <row r="235">
          <cell r="G235">
            <v>1461175.56</v>
          </cell>
        </row>
        <row r="239">
          <cell r="G239">
            <v>4244</v>
          </cell>
        </row>
        <row r="278">
          <cell r="G278">
            <v>84127.62</v>
          </cell>
        </row>
        <row r="288">
          <cell r="G288">
            <v>670023.73</v>
          </cell>
        </row>
        <row r="293">
          <cell r="G293">
            <v>6436</v>
          </cell>
        </row>
        <row r="321">
          <cell r="G321">
            <v>74732.53</v>
          </cell>
        </row>
        <row r="323">
          <cell r="G323">
            <v>131622.07999999999</v>
          </cell>
        </row>
        <row r="325">
          <cell r="G325">
            <v>228883.71</v>
          </cell>
        </row>
        <row r="326">
          <cell r="G326">
            <v>5067.3599999999997</v>
          </cell>
        </row>
        <row r="327">
          <cell r="G327">
            <v>2346.3000000000002</v>
          </cell>
        </row>
        <row r="350">
          <cell r="G350">
            <v>40550.300000000003</v>
          </cell>
        </row>
        <row r="358">
          <cell r="G358">
            <v>867155.11</v>
          </cell>
        </row>
      </sheetData>
      <sheetData sheetId="18">
        <row r="188">
          <cell r="G188">
            <v>86966560.060000002</v>
          </cell>
        </row>
        <row r="203">
          <cell r="G203">
            <v>22976.05</v>
          </cell>
        </row>
        <row r="210">
          <cell r="G210">
            <v>86955557.159999996</v>
          </cell>
        </row>
        <row r="218">
          <cell r="G218">
            <v>47574.65</v>
          </cell>
        </row>
        <row r="219">
          <cell r="G219">
            <v>25354.66</v>
          </cell>
        </row>
        <row r="229">
          <cell r="G229">
            <v>1317533.83</v>
          </cell>
        </row>
        <row r="233">
          <cell r="G233">
            <v>3828</v>
          </cell>
        </row>
        <row r="272">
          <cell r="G272">
            <v>84127.62</v>
          </cell>
        </row>
        <row r="282">
          <cell r="G282">
            <v>603772.72</v>
          </cell>
        </row>
        <row r="287">
          <cell r="G287">
            <v>5818</v>
          </cell>
        </row>
        <row r="315">
          <cell r="G315">
            <v>90261.27</v>
          </cell>
        </row>
        <row r="317">
          <cell r="G317">
            <v>139804.67000000001</v>
          </cell>
        </row>
        <row r="319">
          <cell r="G319">
            <v>228883.71</v>
          </cell>
        </row>
        <row r="320">
          <cell r="G320">
            <v>5067.3599999999997</v>
          </cell>
        </row>
        <row r="321">
          <cell r="G321">
            <v>2346.3000000000002</v>
          </cell>
        </row>
        <row r="344">
          <cell r="G344">
            <v>40550.300000000003</v>
          </cell>
        </row>
        <row r="351">
          <cell r="G351">
            <v>800824.15</v>
          </cell>
        </row>
      </sheetData>
      <sheetData sheetId="19">
        <row r="189">
          <cell r="G189">
            <v>77878509.329999998</v>
          </cell>
        </row>
        <row r="205">
          <cell r="G205">
            <v>22945.54</v>
          </cell>
        </row>
        <row r="211">
          <cell r="G211">
            <v>77641537.030000001</v>
          </cell>
        </row>
        <row r="219">
          <cell r="G219">
            <v>47574.65</v>
          </cell>
        </row>
        <row r="220">
          <cell r="G220">
            <v>25354.66</v>
          </cell>
        </row>
        <row r="230">
          <cell r="G230">
            <v>1172894.6299999999</v>
          </cell>
        </row>
        <row r="234">
          <cell r="G234">
            <v>3412</v>
          </cell>
        </row>
        <row r="273">
          <cell r="G273">
            <v>84127.62</v>
          </cell>
        </row>
        <row r="283">
          <cell r="G283">
            <v>537261.34</v>
          </cell>
        </row>
        <row r="288">
          <cell r="G288">
            <v>5200</v>
          </cell>
        </row>
        <row r="316">
          <cell r="G316">
            <v>170958.94</v>
          </cell>
        </row>
        <row r="318">
          <cell r="G318">
            <v>152402.84</v>
          </cell>
        </row>
        <row r="320">
          <cell r="G320">
            <v>178512.66</v>
          </cell>
        </row>
        <row r="343">
          <cell r="G343">
            <v>40550.300000000003</v>
          </cell>
        </row>
        <row r="350">
          <cell r="G350">
            <v>694331.06</v>
          </cell>
        </row>
      </sheetData>
      <sheetData sheetId="20">
        <row r="185">
          <cell r="G185">
            <v>68508548.799999997</v>
          </cell>
        </row>
        <row r="201">
          <cell r="G201">
            <v>22945.54</v>
          </cell>
        </row>
        <row r="215">
          <cell r="G215">
            <v>47574.65</v>
          </cell>
        </row>
        <row r="216">
          <cell r="G216">
            <v>25354.66</v>
          </cell>
        </row>
        <row r="226">
          <cell r="G226">
            <v>1028255.44</v>
          </cell>
        </row>
        <row r="230">
          <cell r="G230">
            <v>2996</v>
          </cell>
        </row>
        <row r="270">
          <cell r="G270">
            <v>57368.88</v>
          </cell>
        </row>
        <row r="280">
          <cell r="G280">
            <v>470749.97</v>
          </cell>
        </row>
        <row r="285">
          <cell r="G285">
            <v>4582</v>
          </cell>
        </row>
        <row r="317">
          <cell r="G317">
            <v>178512.66</v>
          </cell>
        </row>
        <row r="340">
          <cell r="G340">
            <v>39560.300000000003</v>
          </cell>
        </row>
        <row r="347">
          <cell r="G347">
            <v>648082.22</v>
          </cell>
        </row>
      </sheetData>
      <sheetData sheetId="21">
        <row r="2">
          <cell r="B2"/>
        </row>
        <row r="4">
          <cell r="B4" t="str">
            <v>Reduzido</v>
          </cell>
          <cell r="C4" t="str">
            <v>Descrição</v>
          </cell>
          <cell r="D4" t="str">
            <v>Anterior</v>
          </cell>
          <cell r="E4" t="str">
            <v>Débitos</v>
          </cell>
          <cell r="F4" t="str">
            <v>Créditos</v>
          </cell>
          <cell r="G4" t="str">
            <v>Saldo Atual</v>
          </cell>
        </row>
        <row r="5">
          <cell r="B5">
            <v>1</v>
          </cell>
          <cell r="C5" t="str">
            <v>Ativo</v>
          </cell>
          <cell r="D5">
            <v>50979969.789999999</v>
          </cell>
          <cell r="E5">
            <v>40426363.240000002</v>
          </cell>
          <cell r="F5">
            <v>-33884879.670000002</v>
          </cell>
          <cell r="G5">
            <v>57521453.359999999</v>
          </cell>
        </row>
        <row r="6">
          <cell r="B6">
            <v>11</v>
          </cell>
          <cell r="C6" t="str">
            <v>Circulante</v>
          </cell>
          <cell r="D6">
            <v>36093042.990000002</v>
          </cell>
          <cell r="E6">
            <v>40243613.299999997</v>
          </cell>
          <cell r="F6">
            <v>-33041029.359999999</v>
          </cell>
          <cell r="G6">
            <v>43295626.93</v>
          </cell>
        </row>
        <row r="7">
          <cell r="B7">
            <v>111</v>
          </cell>
          <cell r="C7" t="str">
            <v>Disponibilidades</v>
          </cell>
          <cell r="D7">
            <v>32603639.07</v>
          </cell>
          <cell r="E7">
            <v>31759677.190000001</v>
          </cell>
          <cell r="F7">
            <v>-27073240.649999999</v>
          </cell>
          <cell r="G7">
            <v>37290075.609999999</v>
          </cell>
        </row>
        <row r="8">
          <cell r="B8">
            <v>1112</v>
          </cell>
          <cell r="C8" t="str">
            <v>Bancos</v>
          </cell>
          <cell r="D8">
            <v>32603639.07</v>
          </cell>
          <cell r="E8">
            <v>31759677.190000001</v>
          </cell>
          <cell r="F8">
            <v>-27073240.649999999</v>
          </cell>
          <cell r="G8">
            <v>37290075.609999999</v>
          </cell>
        </row>
        <row r="9">
          <cell r="B9" t="str">
            <v>BB</v>
          </cell>
          <cell r="C9" t="str">
            <v>Banco do Brasil conta única União</v>
          </cell>
          <cell r="D9">
            <v>32603639.07</v>
          </cell>
          <cell r="E9">
            <v>24509285.93</v>
          </cell>
          <cell r="F9">
            <v>-19822849.390000001</v>
          </cell>
          <cell r="G9">
            <v>37290075.609999999</v>
          </cell>
        </row>
        <row r="10">
          <cell r="B10" t="str">
            <v>CO</v>
          </cell>
          <cell r="C10" t="str">
            <v>Receita Cota Orçamentária</v>
          </cell>
          <cell r="D10">
            <v>0</v>
          </cell>
          <cell r="E10">
            <v>7250391.2599999998</v>
          </cell>
          <cell r="F10">
            <v>-7250391.2599999998</v>
          </cell>
          <cell r="G10">
            <v>0</v>
          </cell>
        </row>
        <row r="11">
          <cell r="B11">
            <v>112</v>
          </cell>
          <cell r="C11" t="str">
            <v>Créditos, Direitos e Bens</v>
          </cell>
          <cell r="D11">
            <v>638667.86</v>
          </cell>
          <cell r="E11">
            <v>7854198.1299999999</v>
          </cell>
          <cell r="F11">
            <v>-4883347.5</v>
          </cell>
          <cell r="G11">
            <v>3609518.49</v>
          </cell>
        </row>
        <row r="12">
          <cell r="B12">
            <v>1123</v>
          </cell>
          <cell r="C12" t="str">
            <v>Tributos a Recuperar ou Compensáveis</v>
          </cell>
          <cell r="D12">
            <v>7374.75</v>
          </cell>
          <cell r="E12">
            <v>834829.96</v>
          </cell>
          <cell r="F12">
            <v>-34692.54</v>
          </cell>
          <cell r="G12">
            <v>807512.17</v>
          </cell>
        </row>
        <row r="13">
          <cell r="B13">
            <v>11239</v>
          </cell>
          <cell r="C13" t="str">
            <v>COFINS a Recuperar</v>
          </cell>
          <cell r="D13">
            <v>1355.8</v>
          </cell>
          <cell r="E13">
            <v>39.43</v>
          </cell>
          <cell r="F13">
            <v>0</v>
          </cell>
          <cell r="G13">
            <v>1395.23</v>
          </cell>
        </row>
        <row r="14">
          <cell r="B14">
            <v>112316</v>
          </cell>
          <cell r="C14" t="str">
            <v>IRPJ Estimativa</v>
          </cell>
          <cell r="D14">
            <v>0</v>
          </cell>
          <cell r="E14">
            <v>597612.79</v>
          </cell>
          <cell r="F14">
            <v>0</v>
          </cell>
          <cell r="G14">
            <v>597612.79</v>
          </cell>
        </row>
        <row r="15">
          <cell r="B15">
            <v>112317</v>
          </cell>
          <cell r="C15" t="str">
            <v>CSLL Estimativa</v>
          </cell>
          <cell r="D15">
            <v>0</v>
          </cell>
          <cell r="E15">
            <v>202352.27</v>
          </cell>
          <cell r="F15">
            <v>0</v>
          </cell>
          <cell r="G15">
            <v>202352.27</v>
          </cell>
        </row>
        <row r="16">
          <cell r="B16">
            <v>112321</v>
          </cell>
          <cell r="C16" t="str">
            <v>Antecipação de IRRF - 0561</v>
          </cell>
          <cell r="D16">
            <v>0</v>
          </cell>
          <cell r="E16">
            <v>34692.54</v>
          </cell>
          <cell r="F16">
            <v>-34692.54</v>
          </cell>
          <cell r="G16">
            <v>0</v>
          </cell>
        </row>
        <row r="17">
          <cell r="B17">
            <v>112323</v>
          </cell>
          <cell r="C17" t="str">
            <v>IRRF a Compensar</v>
          </cell>
          <cell r="D17">
            <v>5799.09</v>
          </cell>
          <cell r="E17">
            <v>126.99</v>
          </cell>
          <cell r="F17">
            <v>0</v>
          </cell>
          <cell r="G17">
            <v>5926.08</v>
          </cell>
        </row>
        <row r="18">
          <cell r="B18">
            <v>112327</v>
          </cell>
          <cell r="C18" t="str">
            <v>PIS a Restituir</v>
          </cell>
          <cell r="D18">
            <v>219.86</v>
          </cell>
          <cell r="E18">
            <v>5.94</v>
          </cell>
          <cell r="F18">
            <v>0</v>
          </cell>
          <cell r="G18">
            <v>225.8</v>
          </cell>
        </row>
        <row r="19">
          <cell r="B19">
            <v>1124</v>
          </cell>
          <cell r="C19" t="str">
            <v>Adiantamentos a Empregados</v>
          </cell>
          <cell r="D19">
            <v>631161.13</v>
          </cell>
          <cell r="E19">
            <v>3210713.99</v>
          </cell>
          <cell r="F19">
            <v>-1516462.21</v>
          </cell>
          <cell r="G19">
            <v>2325412.91</v>
          </cell>
        </row>
        <row r="20">
          <cell r="B20">
            <v>11241</v>
          </cell>
          <cell r="C20" t="str">
            <v>Adiantamento de Férias</v>
          </cell>
          <cell r="D20">
            <v>160228.21</v>
          </cell>
          <cell r="E20">
            <v>1334613.81</v>
          </cell>
          <cell r="F20">
            <v>-1319389.28</v>
          </cell>
          <cell r="G20">
            <v>175452.74</v>
          </cell>
        </row>
        <row r="21">
          <cell r="B21">
            <v>11242</v>
          </cell>
          <cell r="C21" t="str">
            <v>Adiantamento de 13º Salário</v>
          </cell>
          <cell r="D21">
            <v>470932.92</v>
          </cell>
          <cell r="E21">
            <v>1679027.25</v>
          </cell>
          <cell r="F21">
            <v>0</v>
          </cell>
          <cell r="G21">
            <v>2149960.17</v>
          </cell>
        </row>
        <row r="22">
          <cell r="B22">
            <v>112424</v>
          </cell>
          <cell r="C22" t="str">
            <v>Empréstimo a funcionários</v>
          </cell>
          <cell r="D22">
            <v>0</v>
          </cell>
          <cell r="E22">
            <v>183317.33</v>
          </cell>
          <cell r="F22">
            <v>-183317.33</v>
          </cell>
          <cell r="G22">
            <v>0</v>
          </cell>
        </row>
        <row r="23">
          <cell r="B23">
            <v>112425</v>
          </cell>
          <cell r="C23" t="str">
            <v>Mensalidade AEPE</v>
          </cell>
          <cell r="D23">
            <v>0</v>
          </cell>
          <cell r="E23">
            <v>13755.6</v>
          </cell>
          <cell r="F23">
            <v>-13755.6</v>
          </cell>
          <cell r="G23">
            <v>0</v>
          </cell>
        </row>
        <row r="24">
          <cell r="B24">
            <v>1129</v>
          </cell>
          <cell r="C24" t="str">
            <v>Conta a Receber - Leilões ANEEL</v>
          </cell>
          <cell r="D24">
            <v>0</v>
          </cell>
          <cell r="E24">
            <v>3808654.18</v>
          </cell>
          <cell r="F24">
            <v>-3332192.75</v>
          </cell>
          <cell r="G24">
            <v>476461.43</v>
          </cell>
        </row>
        <row r="25">
          <cell r="B25">
            <v>11291</v>
          </cell>
          <cell r="C25" t="str">
            <v>Reembolso de custos a Receber - ANEEL</v>
          </cell>
          <cell r="D25">
            <v>0</v>
          </cell>
          <cell r="E25">
            <v>3808654.18</v>
          </cell>
          <cell r="F25">
            <v>-3332192.75</v>
          </cell>
          <cell r="G25">
            <v>476461.43</v>
          </cell>
        </row>
        <row r="26">
          <cell r="B26">
            <v>11299</v>
          </cell>
          <cell r="C26" t="str">
            <v>Outros Créditos</v>
          </cell>
          <cell r="D26">
            <v>131.97999999999999</v>
          </cell>
          <cell r="E26">
            <v>0</v>
          </cell>
          <cell r="F26">
            <v>0</v>
          </cell>
          <cell r="G26">
            <v>131.97999999999999</v>
          </cell>
        </row>
        <row r="27">
          <cell r="B27">
            <v>11299999</v>
          </cell>
          <cell r="C27" t="str">
            <v>Créditos Diversos</v>
          </cell>
          <cell r="D27">
            <v>131.97999999999999</v>
          </cell>
          <cell r="E27">
            <v>0</v>
          </cell>
          <cell r="F27">
            <v>0</v>
          </cell>
          <cell r="G27">
            <v>131.97999999999999</v>
          </cell>
        </row>
        <row r="28">
          <cell r="B28">
            <v>113</v>
          </cell>
          <cell r="C28" t="str">
            <v>Despesas Antecipadas</v>
          </cell>
          <cell r="D28">
            <v>2850736.06</v>
          </cell>
          <cell r="E28">
            <v>629737.98</v>
          </cell>
          <cell r="F28">
            <v>-1084441.21</v>
          </cell>
          <cell r="G28">
            <v>2396032.83</v>
          </cell>
        </row>
        <row r="29">
          <cell r="B29">
            <v>1131</v>
          </cell>
          <cell r="C29" t="str">
            <v>Despesas Antecipadas</v>
          </cell>
          <cell r="D29">
            <v>2850736.06</v>
          </cell>
          <cell r="E29">
            <v>629737.98</v>
          </cell>
          <cell r="F29">
            <v>-1084441.21</v>
          </cell>
          <cell r="G29">
            <v>2396032.83</v>
          </cell>
        </row>
        <row r="30">
          <cell r="B30">
            <v>11311</v>
          </cell>
          <cell r="C30" t="str">
            <v>Prêmio de Seguros Pagos Antecipadamente</v>
          </cell>
          <cell r="D30">
            <v>135456.43</v>
          </cell>
          <cell r="E30">
            <v>0</v>
          </cell>
          <cell r="F30">
            <v>-48529.67</v>
          </cell>
          <cell r="G30">
            <v>86926.76</v>
          </cell>
        </row>
        <row r="31">
          <cell r="B31">
            <v>11312</v>
          </cell>
          <cell r="C31" t="str">
            <v>Assinaturas e Anuidades</v>
          </cell>
          <cell r="D31">
            <v>766136.05</v>
          </cell>
          <cell r="E31">
            <v>17126.599999999999</v>
          </cell>
          <cell r="F31">
            <v>-279275.67</v>
          </cell>
          <cell r="G31">
            <v>503986.98</v>
          </cell>
        </row>
        <row r="32">
          <cell r="B32">
            <v>11313</v>
          </cell>
          <cell r="C32" t="str">
            <v>Provedores de Informações</v>
          </cell>
          <cell r="D32">
            <v>150916.32999999999</v>
          </cell>
          <cell r="E32">
            <v>0</v>
          </cell>
          <cell r="F32">
            <v>-47274.559999999998</v>
          </cell>
          <cell r="G32">
            <v>103641.77</v>
          </cell>
        </row>
        <row r="33">
          <cell r="B33">
            <v>11315</v>
          </cell>
          <cell r="C33" t="str">
            <v>Iptu a Apropriar</v>
          </cell>
          <cell r="D33">
            <v>302063.53000000003</v>
          </cell>
          <cell r="E33">
            <v>0</v>
          </cell>
          <cell r="F33">
            <v>-99593.43</v>
          </cell>
          <cell r="G33">
            <v>202470.1</v>
          </cell>
        </row>
        <row r="34">
          <cell r="B34">
            <v>11316</v>
          </cell>
          <cell r="C34" t="str">
            <v>Manutenção de Software</v>
          </cell>
          <cell r="D34">
            <v>1496163.72</v>
          </cell>
          <cell r="E34">
            <v>612611.38</v>
          </cell>
          <cell r="F34">
            <v>-609767.88</v>
          </cell>
          <cell r="G34">
            <v>1499007.22</v>
          </cell>
        </row>
        <row r="35">
          <cell r="B35">
            <v>12</v>
          </cell>
          <cell r="C35" t="str">
            <v>Ativo Não Circulante</v>
          </cell>
          <cell r="D35">
            <v>14886926.800000001</v>
          </cell>
          <cell r="E35">
            <v>182749.94</v>
          </cell>
          <cell r="F35">
            <v>-843850.31</v>
          </cell>
          <cell r="G35">
            <v>14225826.43</v>
          </cell>
        </row>
        <row r="36">
          <cell r="B36">
            <v>121</v>
          </cell>
          <cell r="C36" t="str">
            <v>Realizavel a Longo Prazo</v>
          </cell>
          <cell r="D36">
            <v>4433189.9400000004</v>
          </cell>
          <cell r="E36">
            <v>182749.94</v>
          </cell>
          <cell r="F36">
            <v>-106536.03</v>
          </cell>
          <cell r="G36">
            <v>4509403.8499999996</v>
          </cell>
        </row>
        <row r="37">
          <cell r="B37">
            <v>1213</v>
          </cell>
          <cell r="C37" t="str">
            <v>Tributos a Recuperar ou Compensáveis</v>
          </cell>
          <cell r="D37">
            <v>202827.93</v>
          </cell>
          <cell r="E37">
            <v>57636.06</v>
          </cell>
          <cell r="F37">
            <v>-105415.29</v>
          </cell>
          <cell r="G37">
            <v>155048.70000000001</v>
          </cell>
        </row>
        <row r="38">
          <cell r="B38">
            <v>12131</v>
          </cell>
          <cell r="C38" t="str">
            <v>IRPJ a Compensar</v>
          </cell>
          <cell r="D38">
            <v>71379.34</v>
          </cell>
          <cell r="E38">
            <v>54243.37</v>
          </cell>
          <cell r="F38">
            <v>-105415.29</v>
          </cell>
          <cell r="G38">
            <v>20207.419999999998</v>
          </cell>
        </row>
        <row r="39">
          <cell r="B39">
            <v>12134</v>
          </cell>
          <cell r="C39" t="str">
            <v>ISS a Restituir</v>
          </cell>
          <cell r="D39">
            <v>4640.58</v>
          </cell>
          <cell r="E39">
            <v>0</v>
          </cell>
          <cell r="F39">
            <v>0</v>
          </cell>
          <cell r="G39">
            <v>4640.58</v>
          </cell>
        </row>
        <row r="40">
          <cell r="B40">
            <v>12135</v>
          </cell>
          <cell r="C40" t="str">
            <v>CSLL a Compensar</v>
          </cell>
          <cell r="D40">
            <v>126808.01</v>
          </cell>
          <cell r="E40">
            <v>3392.69</v>
          </cell>
          <cell r="F40">
            <v>0</v>
          </cell>
          <cell r="G40">
            <v>130200.7</v>
          </cell>
        </row>
        <row r="41">
          <cell r="B41">
            <v>1217</v>
          </cell>
          <cell r="C41" t="str">
            <v>Títulos e Valores Mobiliários</v>
          </cell>
          <cell r="D41">
            <v>215</v>
          </cell>
          <cell r="E41">
            <v>0</v>
          </cell>
          <cell r="F41">
            <v>-26.96</v>
          </cell>
          <cell r="G41">
            <v>188.04</v>
          </cell>
        </row>
        <row r="42">
          <cell r="B42">
            <v>12171</v>
          </cell>
          <cell r="C42" t="str">
            <v>Ações - Preço de Aquisição</v>
          </cell>
          <cell r="D42">
            <v>215</v>
          </cell>
          <cell r="E42">
            <v>0</v>
          </cell>
          <cell r="F42">
            <v>-26.96</v>
          </cell>
          <cell r="G42">
            <v>188.04</v>
          </cell>
        </row>
        <row r="43">
          <cell r="B43">
            <v>1218</v>
          </cell>
          <cell r="C43" t="str">
            <v>Depósitos Judiciais</v>
          </cell>
          <cell r="D43">
            <v>4230147.01</v>
          </cell>
          <cell r="E43">
            <v>125113.88</v>
          </cell>
          <cell r="F43">
            <v>-1093.78</v>
          </cell>
          <cell r="G43">
            <v>4354167.1100000003</v>
          </cell>
        </row>
        <row r="44">
          <cell r="B44">
            <v>12181</v>
          </cell>
          <cell r="C44" t="str">
            <v>Depósitos Judiciais - Previdenciários</v>
          </cell>
          <cell r="D44">
            <v>3803698.17</v>
          </cell>
          <cell r="E44">
            <v>115491.11</v>
          </cell>
          <cell r="F44">
            <v>0</v>
          </cell>
          <cell r="G44">
            <v>3919189.28</v>
          </cell>
        </row>
        <row r="45">
          <cell r="B45">
            <v>12182</v>
          </cell>
          <cell r="C45" t="str">
            <v>Depósitos Judiciais - Trabalhistas</v>
          </cell>
          <cell r="D45">
            <v>269205.07</v>
          </cell>
          <cell r="E45">
            <v>5045.6099999999997</v>
          </cell>
          <cell r="F45">
            <v>0</v>
          </cell>
          <cell r="G45">
            <v>274250.68</v>
          </cell>
        </row>
        <row r="46">
          <cell r="B46">
            <v>12183</v>
          </cell>
          <cell r="C46" t="str">
            <v>Depósitos Judiciais - Cíveis</v>
          </cell>
          <cell r="D46">
            <v>157243.76999999999</v>
          </cell>
          <cell r="E46">
            <v>4577.16</v>
          </cell>
          <cell r="F46">
            <v>-1093.78</v>
          </cell>
          <cell r="G46">
            <v>160727.15</v>
          </cell>
        </row>
        <row r="47">
          <cell r="B47">
            <v>123</v>
          </cell>
          <cell r="C47" t="str">
            <v>Imobilizado</v>
          </cell>
          <cell r="D47">
            <v>6291072.8600000003</v>
          </cell>
          <cell r="E47">
            <v>0</v>
          </cell>
          <cell r="F47">
            <v>-394166.3</v>
          </cell>
          <cell r="G47">
            <v>5896906.5599999996</v>
          </cell>
        </row>
        <row r="48">
          <cell r="B48">
            <v>1231</v>
          </cell>
          <cell r="C48" t="str">
            <v>Bens em Operação</v>
          </cell>
          <cell r="D48">
            <v>15234523.779999999</v>
          </cell>
          <cell r="E48">
            <v>0</v>
          </cell>
          <cell r="F48">
            <v>0</v>
          </cell>
          <cell r="G48">
            <v>15234523.779999999</v>
          </cell>
        </row>
        <row r="49">
          <cell r="B49">
            <v>12313</v>
          </cell>
          <cell r="C49" t="str">
            <v>Instalações</v>
          </cell>
          <cell r="D49">
            <v>2490440.14</v>
          </cell>
          <cell r="E49">
            <v>0</v>
          </cell>
          <cell r="F49">
            <v>0</v>
          </cell>
          <cell r="G49">
            <v>2490440.14</v>
          </cell>
        </row>
        <row r="50">
          <cell r="B50">
            <v>12314</v>
          </cell>
          <cell r="C50" t="str">
            <v>Máquinas e Equipamentos</v>
          </cell>
          <cell r="D50">
            <v>791662.23</v>
          </cell>
          <cell r="E50">
            <v>0</v>
          </cell>
          <cell r="F50">
            <v>0</v>
          </cell>
          <cell r="G50">
            <v>791662.23</v>
          </cell>
        </row>
        <row r="51">
          <cell r="B51">
            <v>12315</v>
          </cell>
          <cell r="C51" t="str">
            <v>Equipamentos de Informática</v>
          </cell>
          <cell r="D51">
            <v>9793991.5</v>
          </cell>
          <cell r="E51">
            <v>0</v>
          </cell>
          <cell r="F51">
            <v>0</v>
          </cell>
          <cell r="G51">
            <v>9793991.5</v>
          </cell>
        </row>
        <row r="52">
          <cell r="B52">
            <v>12317</v>
          </cell>
          <cell r="C52" t="str">
            <v>Móveis e Utensílios</v>
          </cell>
          <cell r="D52">
            <v>2158429.91</v>
          </cell>
          <cell r="E52">
            <v>0</v>
          </cell>
          <cell r="F52">
            <v>0</v>
          </cell>
          <cell r="G52">
            <v>2158429.91</v>
          </cell>
        </row>
        <row r="53">
          <cell r="B53">
            <v>12398</v>
          </cell>
          <cell r="C53" t="str">
            <v>(-) Depreciação, Amortização e Exaustão</v>
          </cell>
          <cell r="D53">
            <v>-8943450.9199999999</v>
          </cell>
          <cell r="E53">
            <v>0</v>
          </cell>
          <cell r="F53">
            <v>-394166.3</v>
          </cell>
          <cell r="G53">
            <v>9337617.2200000007</v>
          </cell>
        </row>
        <row r="54">
          <cell r="B54">
            <v>123982</v>
          </cell>
          <cell r="C54" t="str">
            <v>(-) Instalações</v>
          </cell>
          <cell r="D54">
            <v>-389590.22</v>
          </cell>
          <cell r="E54">
            <v>0</v>
          </cell>
          <cell r="F54">
            <v>-60001.38</v>
          </cell>
          <cell r="G54">
            <v>449591.6</v>
          </cell>
        </row>
        <row r="55">
          <cell r="B55">
            <v>123983</v>
          </cell>
          <cell r="C55" t="str">
            <v>(-) Máquinas e Equipamentos</v>
          </cell>
          <cell r="D55">
            <v>-699181.57</v>
          </cell>
          <cell r="E55">
            <v>0</v>
          </cell>
          <cell r="F55">
            <v>-5337</v>
          </cell>
          <cell r="G55">
            <v>704518.57</v>
          </cell>
        </row>
        <row r="56">
          <cell r="B56">
            <v>123984</v>
          </cell>
          <cell r="C56" t="str">
            <v>(-) Equipamentos de Informática</v>
          </cell>
          <cell r="D56">
            <v>-5886538.8799999999</v>
          </cell>
          <cell r="E56">
            <v>0</v>
          </cell>
          <cell r="F56">
            <v>-319514.03000000003</v>
          </cell>
          <cell r="G56">
            <v>6206052.9100000001</v>
          </cell>
        </row>
        <row r="57">
          <cell r="B57">
            <v>123986</v>
          </cell>
          <cell r="C57" t="str">
            <v>(-) Móveis e Utensílios</v>
          </cell>
          <cell r="D57">
            <v>-1968140.25</v>
          </cell>
          <cell r="E57">
            <v>0</v>
          </cell>
          <cell r="F57">
            <v>-9313.89</v>
          </cell>
          <cell r="G57">
            <v>1977454.14</v>
          </cell>
        </row>
        <row r="58">
          <cell r="B58">
            <v>124</v>
          </cell>
          <cell r="C58" t="str">
            <v>Intangível</v>
          </cell>
          <cell r="D58">
            <v>4162664</v>
          </cell>
          <cell r="E58">
            <v>0</v>
          </cell>
          <cell r="F58">
            <v>-343147.98</v>
          </cell>
          <cell r="G58">
            <v>3819516.02</v>
          </cell>
        </row>
        <row r="59">
          <cell r="B59">
            <v>1241</v>
          </cell>
          <cell r="C59" t="str">
            <v>Software</v>
          </cell>
          <cell r="D59">
            <v>11738715.48</v>
          </cell>
          <cell r="E59">
            <v>0</v>
          </cell>
          <cell r="F59">
            <v>0</v>
          </cell>
          <cell r="G59">
            <v>11738715.48</v>
          </cell>
        </row>
        <row r="60">
          <cell r="B60">
            <v>124101</v>
          </cell>
          <cell r="C60" t="str">
            <v>Software</v>
          </cell>
          <cell r="D60">
            <v>11738715.48</v>
          </cell>
          <cell r="E60">
            <v>0</v>
          </cell>
          <cell r="F60">
            <v>0</v>
          </cell>
          <cell r="G60">
            <v>11738715.48</v>
          </cell>
        </row>
        <row r="61">
          <cell r="B61">
            <v>12498</v>
          </cell>
          <cell r="C61" t="str">
            <v>( - ) Amortização</v>
          </cell>
          <cell r="D61">
            <v>-7576051.4800000004</v>
          </cell>
          <cell r="E61">
            <v>0</v>
          </cell>
          <cell r="F61">
            <v>-343147.98</v>
          </cell>
          <cell r="G61">
            <v>7919199.46</v>
          </cell>
        </row>
        <row r="62">
          <cell r="B62">
            <v>1242</v>
          </cell>
          <cell r="C62" t="str">
            <v>( - ) Amortização Software</v>
          </cell>
          <cell r="D62">
            <v>-7576051.4800000004</v>
          </cell>
          <cell r="E62">
            <v>0</v>
          </cell>
          <cell r="F62">
            <v>-343147.98</v>
          </cell>
          <cell r="G62">
            <v>7919199.46</v>
          </cell>
        </row>
        <row r="63">
          <cell r="B63">
            <v>2</v>
          </cell>
          <cell r="C63" t="str">
            <v>Passivo</v>
          </cell>
          <cell r="D63">
            <v>-50979969.789999999</v>
          </cell>
          <cell r="E63">
            <v>38585665.670000002</v>
          </cell>
          <cell r="F63">
            <v>-45127149.240000002</v>
          </cell>
          <cell r="G63">
            <v>57521453.359999999</v>
          </cell>
        </row>
        <row r="64">
          <cell r="B64">
            <v>21</v>
          </cell>
          <cell r="C64" t="str">
            <v>Circulante</v>
          </cell>
          <cell r="D64">
            <v>-19080761.07</v>
          </cell>
          <cell r="E64">
            <v>33650058.93</v>
          </cell>
          <cell r="F64">
            <v>-38721890.469999999</v>
          </cell>
          <cell r="G64">
            <v>24152592.609999999</v>
          </cell>
        </row>
        <row r="65">
          <cell r="B65">
            <v>211</v>
          </cell>
          <cell r="C65" t="str">
            <v>Obrigações de Curto Prazo</v>
          </cell>
          <cell r="D65">
            <v>-19080761.07</v>
          </cell>
          <cell r="E65">
            <v>33650058.93</v>
          </cell>
          <cell r="F65">
            <v>-38721890.469999999</v>
          </cell>
          <cell r="G65">
            <v>24152592.609999999</v>
          </cell>
        </row>
        <row r="66">
          <cell r="B66">
            <v>2114</v>
          </cell>
          <cell r="C66" t="str">
            <v>Fornecedores Nacionais</v>
          </cell>
          <cell r="D66">
            <v>-1345918.68</v>
          </cell>
          <cell r="E66">
            <v>7448382.8600000003</v>
          </cell>
          <cell r="F66">
            <v>-6616664.8300000001</v>
          </cell>
          <cell r="G66">
            <v>514200.65</v>
          </cell>
        </row>
        <row r="67">
          <cell r="B67">
            <v>60444400000000</v>
          </cell>
          <cell r="C67" t="str">
            <v>LIGHT SERVICOS DE ELETRICIDADE S.A</v>
          </cell>
          <cell r="D67">
            <v>-11673.2</v>
          </cell>
          <cell r="E67">
            <v>139202.76</v>
          </cell>
          <cell r="F67">
            <v>-157529.56</v>
          </cell>
          <cell r="G67">
            <v>30000</v>
          </cell>
        </row>
        <row r="68">
          <cell r="B68" t="str">
            <v>33641663/0001-44</v>
          </cell>
          <cell r="C68" t="str">
            <v>FUNDACAO GETULIO VARGAS</v>
          </cell>
          <cell r="D68">
            <v>-300000</v>
          </cell>
          <cell r="E68">
            <v>617642.31999999995</v>
          </cell>
          <cell r="F68">
            <v>-467642.32</v>
          </cell>
          <cell r="G68">
            <v>150000</v>
          </cell>
        </row>
        <row r="69">
          <cell r="B69" t="str">
            <v>09305983/0001-49</v>
          </cell>
          <cell r="C69" t="str">
            <v>PSR SOLUCOES E CONSULTORIA EM ENERGIA LT</v>
          </cell>
          <cell r="D69">
            <v>0</v>
          </cell>
          <cell r="E69">
            <v>15240.39</v>
          </cell>
          <cell r="F69">
            <v>-15240.39</v>
          </cell>
          <cell r="G69">
            <v>0</v>
          </cell>
        </row>
        <row r="70">
          <cell r="B70" t="str">
            <v>69034668/0001-56</v>
          </cell>
          <cell r="C70" t="str">
            <v>SODEXO PASS DO BRASIL SERVC. E COMERCIO</v>
          </cell>
          <cell r="D70">
            <v>0</v>
          </cell>
          <cell r="E70">
            <v>640064.15</v>
          </cell>
          <cell r="F70">
            <v>-640064.15</v>
          </cell>
          <cell r="G70">
            <v>0</v>
          </cell>
        </row>
        <row r="71">
          <cell r="B71" t="str">
            <v>33661745/0001-50</v>
          </cell>
          <cell r="C71" t="str">
            <v>CIEE</v>
          </cell>
          <cell r="D71">
            <v>0</v>
          </cell>
          <cell r="E71">
            <v>5227.49</v>
          </cell>
          <cell r="F71">
            <v>-8796.81</v>
          </cell>
          <cell r="G71">
            <v>3569.32</v>
          </cell>
        </row>
        <row r="72">
          <cell r="B72" t="str">
            <v>67393181/0001-34</v>
          </cell>
          <cell r="C72" t="str">
            <v>IMAGEM GEOSISTEMAS E COMERCIO</v>
          </cell>
          <cell r="D72">
            <v>0</v>
          </cell>
          <cell r="E72">
            <v>422856.5</v>
          </cell>
          <cell r="F72">
            <v>-422856.5</v>
          </cell>
          <cell r="G72">
            <v>0</v>
          </cell>
        </row>
        <row r="73">
          <cell r="B73" t="str">
            <v>61797924/0007-40</v>
          </cell>
          <cell r="C73" t="str">
            <v>HEWLETT PACKARD DO BRASIL LTDA</v>
          </cell>
          <cell r="D73">
            <v>-25362.36</v>
          </cell>
          <cell r="E73">
            <v>42270.6</v>
          </cell>
          <cell r="F73">
            <v>-25362.36</v>
          </cell>
          <cell r="G73">
            <v>8454.1200000000008</v>
          </cell>
        </row>
        <row r="74">
          <cell r="B74" t="str">
            <v>07604035/0001-89</v>
          </cell>
          <cell r="C74" t="str">
            <v>RTA COMERCIO E SERVICO DE ASSISTENCIA</v>
          </cell>
          <cell r="D74">
            <v>-2581</v>
          </cell>
          <cell r="E74">
            <v>8381</v>
          </cell>
          <cell r="F74">
            <v>-5800</v>
          </cell>
          <cell r="G74">
            <v>0</v>
          </cell>
        </row>
        <row r="75">
          <cell r="B75" t="str">
            <v>71208516/0001-74</v>
          </cell>
          <cell r="C75" t="str">
            <v>ALGAR SERVICO E TELECOMUNICACOES</v>
          </cell>
          <cell r="D75">
            <v>-1156.3699999999999</v>
          </cell>
          <cell r="E75">
            <v>3427.46</v>
          </cell>
          <cell r="F75">
            <v>-2271.09</v>
          </cell>
          <cell r="G75">
            <v>0</v>
          </cell>
        </row>
        <row r="76">
          <cell r="B76" t="str">
            <v>04053315/0001-58</v>
          </cell>
          <cell r="C76" t="str">
            <v>NSI TRAINING TECNOLOGIA S/C LTDA.</v>
          </cell>
          <cell r="D76">
            <v>0</v>
          </cell>
          <cell r="E76">
            <v>1176</v>
          </cell>
          <cell r="F76">
            <v>-1176</v>
          </cell>
          <cell r="G76">
            <v>0</v>
          </cell>
        </row>
        <row r="77">
          <cell r="B77">
            <v>33634300000000</v>
          </cell>
          <cell r="C77" t="str">
            <v>IBP - INST. BRASILEIRO PET. GAS E BIOC.</v>
          </cell>
          <cell r="D77">
            <v>0</v>
          </cell>
          <cell r="E77">
            <v>1965.2</v>
          </cell>
          <cell r="F77">
            <v>-1965.2</v>
          </cell>
          <cell r="G77">
            <v>0</v>
          </cell>
        </row>
        <row r="78">
          <cell r="B78" t="str">
            <v>33402892/0002-97</v>
          </cell>
          <cell r="C78" t="str">
            <v>ASSOCIAÇÃO BRASILEIRA DE NORMAS TECNICAS</v>
          </cell>
          <cell r="D78">
            <v>0</v>
          </cell>
          <cell r="E78">
            <v>2916.66</v>
          </cell>
          <cell r="F78">
            <v>-4374.99</v>
          </cell>
          <cell r="G78">
            <v>1458.33</v>
          </cell>
        </row>
        <row r="79">
          <cell r="B79">
            <v>30033800000000</v>
          </cell>
          <cell r="C79" t="str">
            <v>COMITE NAC. BRASILEIRO PROD. TRANS. ENER</v>
          </cell>
          <cell r="D79">
            <v>0</v>
          </cell>
          <cell r="E79">
            <v>44870</v>
          </cell>
          <cell r="F79">
            <v>-44870</v>
          </cell>
          <cell r="G79">
            <v>0</v>
          </cell>
        </row>
        <row r="80">
          <cell r="B80" t="str">
            <v>04655786/0001-36</v>
          </cell>
          <cell r="C80" t="str">
            <v>NORTHIA ASSESSORIA DE SEGURANCA NO TRABA</v>
          </cell>
          <cell r="D80">
            <v>0</v>
          </cell>
          <cell r="E80">
            <v>17000</v>
          </cell>
          <cell r="F80">
            <v>-17000</v>
          </cell>
          <cell r="G80">
            <v>0</v>
          </cell>
        </row>
        <row r="81">
          <cell r="B81" t="str">
            <v>04724924/0001-91</v>
          </cell>
          <cell r="C81" t="str">
            <v>ACTIVEWEB TECHNOLOGIES INFORMATICA LTDA</v>
          </cell>
          <cell r="D81">
            <v>0</v>
          </cell>
          <cell r="E81">
            <v>690</v>
          </cell>
          <cell r="F81">
            <v>-690</v>
          </cell>
          <cell r="G81">
            <v>0</v>
          </cell>
        </row>
        <row r="82">
          <cell r="B82" t="str">
            <v>26994285/0001-17</v>
          </cell>
          <cell r="C82" t="str">
            <v>TOPOCART TOPOGRAFIA ENG. E AEROL. LTDA</v>
          </cell>
          <cell r="D82">
            <v>-93115.19</v>
          </cell>
          <cell r="E82">
            <v>93115.19</v>
          </cell>
          <cell r="F82">
            <v>0</v>
          </cell>
          <cell r="G82">
            <v>0</v>
          </cell>
        </row>
        <row r="83">
          <cell r="B83" t="str">
            <v>53113791/0001-22</v>
          </cell>
          <cell r="C83" t="str">
            <v>TOTVS SA</v>
          </cell>
          <cell r="D83">
            <v>0</v>
          </cell>
          <cell r="E83">
            <v>147427.31</v>
          </cell>
          <cell r="F83">
            <v>-147427.31</v>
          </cell>
          <cell r="G83">
            <v>0</v>
          </cell>
        </row>
        <row r="84">
          <cell r="B84" t="str">
            <v>42288886/0001-60</v>
          </cell>
          <cell r="C84" t="str">
            <v>CENTRO DE PESQ DE ENERGIA ELETRICA CEPEL</v>
          </cell>
          <cell r="D84">
            <v>0</v>
          </cell>
          <cell r="E84">
            <v>33333.339999999997</v>
          </cell>
          <cell r="F84">
            <v>-33333.339999999997</v>
          </cell>
          <cell r="G84">
            <v>0</v>
          </cell>
        </row>
        <row r="85">
          <cell r="B85" t="str">
            <v>08794730/0001-13</v>
          </cell>
          <cell r="C85" t="str">
            <v>RIOOFFSITE SERVICOS DE FITOTECA LTDA</v>
          </cell>
          <cell r="D85">
            <v>0</v>
          </cell>
          <cell r="E85">
            <v>4464.3</v>
          </cell>
          <cell r="F85">
            <v>-4464.3</v>
          </cell>
          <cell r="G85">
            <v>0</v>
          </cell>
        </row>
        <row r="86">
          <cell r="B86" t="str">
            <v>86781069/0001-15</v>
          </cell>
          <cell r="C86" t="str">
            <v>ZENITE INFORMACAO E CONSULTORIA S/A</v>
          </cell>
          <cell r="D86">
            <v>0</v>
          </cell>
          <cell r="E86">
            <v>12926</v>
          </cell>
          <cell r="F86">
            <v>-12926</v>
          </cell>
          <cell r="G86">
            <v>0</v>
          </cell>
        </row>
        <row r="87">
          <cell r="B87" t="str">
            <v>47866934/0001-74</v>
          </cell>
          <cell r="C87" t="str">
            <v>TICKET SERVICOS SA</v>
          </cell>
          <cell r="D87">
            <v>-1450</v>
          </cell>
          <cell r="E87">
            <v>4350</v>
          </cell>
          <cell r="F87">
            <v>-4350</v>
          </cell>
          <cell r="G87">
            <v>1450</v>
          </cell>
        </row>
        <row r="88">
          <cell r="B88" t="str">
            <v>76535764/0001-43</v>
          </cell>
          <cell r="C88" t="str">
            <v>OI SA</v>
          </cell>
          <cell r="D88">
            <v>0</v>
          </cell>
          <cell r="E88">
            <v>196.99</v>
          </cell>
          <cell r="F88">
            <v>-391.94</v>
          </cell>
          <cell r="G88">
            <v>194.95</v>
          </cell>
        </row>
        <row r="89">
          <cell r="B89" t="str">
            <v>06012731/0001-33</v>
          </cell>
          <cell r="C89" t="str">
            <v>ONE CURSOS-TREINAMENTO DESEN CAPACITACAO</v>
          </cell>
          <cell r="D89">
            <v>0</v>
          </cell>
          <cell r="E89">
            <v>4350</v>
          </cell>
          <cell r="F89">
            <v>-4350</v>
          </cell>
          <cell r="G89">
            <v>0</v>
          </cell>
        </row>
        <row r="90">
          <cell r="B90">
            <v>33754500000000</v>
          </cell>
          <cell r="C90" t="str">
            <v>PREVI - CAIXA DE PREVIDÊNCIA DOS FUNCION</v>
          </cell>
          <cell r="D90">
            <v>-206175.49</v>
          </cell>
          <cell r="E90">
            <v>824701.96</v>
          </cell>
          <cell r="F90">
            <v>-618526.47</v>
          </cell>
          <cell r="G90">
            <v>0</v>
          </cell>
        </row>
        <row r="91">
          <cell r="B91">
            <v>23056200000000</v>
          </cell>
          <cell r="C91" t="str">
            <v>CORTEX EVENTOS - ORGANIZAÇÃO DE FEIRAS E</v>
          </cell>
          <cell r="D91">
            <v>0</v>
          </cell>
          <cell r="E91">
            <v>8570</v>
          </cell>
          <cell r="F91">
            <v>-8570</v>
          </cell>
          <cell r="G91">
            <v>0</v>
          </cell>
        </row>
        <row r="92">
          <cell r="B92">
            <v>3017430000000</v>
          </cell>
          <cell r="C92" t="str">
            <v>NCT INFORMATICA LTDA</v>
          </cell>
          <cell r="D92">
            <v>-4350</v>
          </cell>
          <cell r="E92">
            <v>66422</v>
          </cell>
          <cell r="F92">
            <v>-62072</v>
          </cell>
          <cell r="G92">
            <v>0</v>
          </cell>
        </row>
        <row r="93">
          <cell r="B93" t="str">
            <v>005705050001-91</v>
          </cell>
          <cell r="C93" t="str">
            <v>COOPER POWER SYSTEMS BRASIL LTDA</v>
          </cell>
          <cell r="D93">
            <v>-56069.99</v>
          </cell>
          <cell r="E93">
            <v>56069.99</v>
          </cell>
          <cell r="F93">
            <v>0</v>
          </cell>
          <cell r="G93">
            <v>0</v>
          </cell>
        </row>
        <row r="94">
          <cell r="B94">
            <v>33555900000000</v>
          </cell>
          <cell r="C94" t="str">
            <v>FACULDADES CATÓLICAS</v>
          </cell>
          <cell r="D94">
            <v>0</v>
          </cell>
          <cell r="E94">
            <v>26145</v>
          </cell>
          <cell r="F94">
            <v>-26145</v>
          </cell>
          <cell r="G94">
            <v>0</v>
          </cell>
        </row>
        <row r="95">
          <cell r="B95">
            <v>16727400000000</v>
          </cell>
          <cell r="C95" t="str">
            <v>RIOPAR Participações S/A</v>
          </cell>
          <cell r="D95">
            <v>0</v>
          </cell>
          <cell r="E95">
            <v>17483.509999999998</v>
          </cell>
          <cell r="F95">
            <v>-17483.509999999998</v>
          </cell>
          <cell r="G95">
            <v>0</v>
          </cell>
        </row>
        <row r="96">
          <cell r="B96">
            <v>3535902</v>
          </cell>
          <cell r="C96" t="str">
            <v>DECISION SERVIÇOS DE TECNOLOGIA DA INFOR</v>
          </cell>
          <cell r="D96">
            <v>0</v>
          </cell>
          <cell r="E96">
            <v>3333.33</v>
          </cell>
          <cell r="F96">
            <v>-3333.33</v>
          </cell>
          <cell r="G96">
            <v>0</v>
          </cell>
        </row>
        <row r="97">
          <cell r="B97">
            <v>5555380000000</v>
          </cell>
          <cell r="C97" t="str">
            <v>AOVS SISTEMA DE INFORMATICA</v>
          </cell>
          <cell r="D97">
            <v>0</v>
          </cell>
          <cell r="E97">
            <v>6000</v>
          </cell>
          <cell r="F97">
            <v>-6000</v>
          </cell>
          <cell r="G97">
            <v>0</v>
          </cell>
        </row>
        <row r="98">
          <cell r="B98">
            <v>26464900000000</v>
          </cell>
          <cell r="C98" t="str">
            <v>LANTYX TECNOLOGIA E PUBLICIDADE EIRILE</v>
          </cell>
          <cell r="D98">
            <v>0</v>
          </cell>
          <cell r="E98">
            <v>517</v>
          </cell>
          <cell r="F98">
            <v>-517</v>
          </cell>
          <cell r="G98">
            <v>0</v>
          </cell>
        </row>
        <row r="99">
          <cell r="B99">
            <v>18522900000000</v>
          </cell>
          <cell r="C99" t="str">
            <v>MUNDIVOX COMUNICAÇÕES LTDA</v>
          </cell>
          <cell r="D99">
            <v>0</v>
          </cell>
          <cell r="E99">
            <v>14361.47</v>
          </cell>
          <cell r="F99">
            <v>-14361.47</v>
          </cell>
          <cell r="G99">
            <v>0</v>
          </cell>
        </row>
        <row r="100">
          <cell r="B100">
            <v>3200400001</v>
          </cell>
          <cell r="C100" t="str">
            <v>COORDENAÇÃO GERAL DE RECURSOS LOGISTICOS</v>
          </cell>
          <cell r="D100">
            <v>0</v>
          </cell>
          <cell r="E100">
            <v>2294.1799999999998</v>
          </cell>
          <cell r="F100">
            <v>-3383.44</v>
          </cell>
          <cell r="G100">
            <v>1089.26</v>
          </cell>
        </row>
        <row r="101">
          <cell r="B101">
            <v>67632200000000</v>
          </cell>
          <cell r="C101" t="str">
            <v>WALM ENG. E TEC. AMBIENTAL LTDA</v>
          </cell>
          <cell r="D101">
            <v>0</v>
          </cell>
          <cell r="E101">
            <v>289922.75</v>
          </cell>
          <cell r="F101">
            <v>-289922.75</v>
          </cell>
          <cell r="G101">
            <v>0</v>
          </cell>
        </row>
        <row r="102">
          <cell r="B102">
            <v>5761750000000</v>
          </cell>
          <cell r="C102" t="str">
            <v>BIOTA PROJETOS E CONSULTORIA AMBIENTAL</v>
          </cell>
          <cell r="D102">
            <v>0</v>
          </cell>
          <cell r="E102">
            <v>332229.07</v>
          </cell>
          <cell r="F102">
            <v>-332229.07</v>
          </cell>
          <cell r="G102">
            <v>0</v>
          </cell>
        </row>
        <row r="103">
          <cell r="B103">
            <v>8896750000000</v>
          </cell>
          <cell r="C103" t="str">
            <v>IHS INFORMAÇÕES E INSIGHTS LTDA</v>
          </cell>
          <cell r="D103">
            <v>-159640.21</v>
          </cell>
          <cell r="E103">
            <v>159640.21</v>
          </cell>
          <cell r="F103">
            <v>0</v>
          </cell>
          <cell r="G103">
            <v>0</v>
          </cell>
        </row>
        <row r="104">
          <cell r="B104">
            <v>43942400000000</v>
          </cell>
          <cell r="C104" t="str">
            <v>FIPE FUNDAÇÃO INST.PESQUISAS ECONOMICAS</v>
          </cell>
          <cell r="D104">
            <v>-74000</v>
          </cell>
          <cell r="E104">
            <v>296000</v>
          </cell>
          <cell r="F104">
            <v>-222000</v>
          </cell>
          <cell r="G104">
            <v>0</v>
          </cell>
        </row>
        <row r="105">
          <cell r="B105">
            <v>23458500000000</v>
          </cell>
          <cell r="C105" t="str">
            <v>4E FOR ECONOMICS CONSULTORIA LTDA</v>
          </cell>
          <cell r="D105">
            <v>-25333.34</v>
          </cell>
          <cell r="E105">
            <v>50666.68</v>
          </cell>
          <cell r="F105">
            <v>-25333.34</v>
          </cell>
          <cell r="G105">
            <v>0</v>
          </cell>
        </row>
        <row r="106">
          <cell r="B106">
            <v>52618100000000</v>
          </cell>
          <cell r="C106" t="str">
            <v>GL ELETRO-ELETRONICOS LTDA</v>
          </cell>
          <cell r="D106">
            <v>-359</v>
          </cell>
          <cell r="E106">
            <v>1077</v>
          </cell>
          <cell r="F106">
            <v>-1077</v>
          </cell>
          <cell r="G106">
            <v>359</v>
          </cell>
        </row>
        <row r="107">
          <cell r="B107">
            <v>2593170000000</v>
          </cell>
          <cell r="C107" t="str">
            <v>GARTNER DO BRASIL SERVIÇOS DE PESQUISA L</v>
          </cell>
          <cell r="D107">
            <v>0</v>
          </cell>
          <cell r="E107">
            <v>139575</v>
          </cell>
          <cell r="F107">
            <v>-139575</v>
          </cell>
          <cell r="G107">
            <v>0</v>
          </cell>
        </row>
        <row r="108">
          <cell r="B108">
            <v>2676310000000</v>
          </cell>
          <cell r="C108" t="str">
            <v>IDEIAS TURISMO EIRELI</v>
          </cell>
          <cell r="D108">
            <v>-55894.32</v>
          </cell>
          <cell r="E108">
            <v>389887.04</v>
          </cell>
          <cell r="F108">
            <v>-333992.71999999997</v>
          </cell>
          <cell r="G108">
            <v>0</v>
          </cell>
        </row>
        <row r="109">
          <cell r="B109">
            <v>7341420000000</v>
          </cell>
          <cell r="C109" t="str">
            <v>IHS MARKIT AGRIBUSINESS BRAZIL</v>
          </cell>
          <cell r="D109">
            <v>0</v>
          </cell>
          <cell r="E109">
            <v>765.97</v>
          </cell>
          <cell r="F109">
            <v>-765.97</v>
          </cell>
          <cell r="G109">
            <v>0</v>
          </cell>
        </row>
        <row r="110">
          <cell r="B110">
            <v>14031100000000</v>
          </cell>
          <cell r="C110" t="str">
            <v>COND. ED. MARQUES DOS REIS</v>
          </cell>
          <cell r="D110">
            <v>0</v>
          </cell>
          <cell r="E110">
            <v>411394.91</v>
          </cell>
          <cell r="F110">
            <v>-411394.91</v>
          </cell>
          <cell r="G110">
            <v>0</v>
          </cell>
        </row>
        <row r="111">
          <cell r="B111">
            <v>21449300000000</v>
          </cell>
          <cell r="C111" t="str">
            <v>BERKAN AUDITORES INDEPENDENTES S.S</v>
          </cell>
          <cell r="D111">
            <v>0</v>
          </cell>
          <cell r="E111">
            <v>10322.35</v>
          </cell>
          <cell r="F111">
            <v>-19166.349999999999</v>
          </cell>
          <cell r="G111">
            <v>8844</v>
          </cell>
        </row>
        <row r="112">
          <cell r="B112">
            <v>8817860000000</v>
          </cell>
          <cell r="C112" t="str">
            <v>ASSOCIAÇÃO BRASILEIRA DE ENERGIA SOLAR</v>
          </cell>
          <cell r="D112">
            <v>0</v>
          </cell>
          <cell r="E112">
            <v>1700</v>
          </cell>
          <cell r="F112">
            <v>-1700</v>
          </cell>
          <cell r="G112">
            <v>0</v>
          </cell>
        </row>
        <row r="113">
          <cell r="B113">
            <v>64909700000000</v>
          </cell>
          <cell r="C113" t="str">
            <v>FIGENER ENGENHEIROS ASSOCIADOS LTDA</v>
          </cell>
          <cell r="D113">
            <v>0</v>
          </cell>
          <cell r="E113">
            <v>44970</v>
          </cell>
          <cell r="F113">
            <v>-44970</v>
          </cell>
          <cell r="G113">
            <v>0</v>
          </cell>
        </row>
        <row r="114">
          <cell r="B114">
            <v>15011200000000</v>
          </cell>
          <cell r="C114" t="str">
            <v>ESTATER TECNOLOGIA E SERVICOS LTDA</v>
          </cell>
          <cell r="D114">
            <v>0</v>
          </cell>
          <cell r="E114">
            <v>2376</v>
          </cell>
          <cell r="F114">
            <v>-2376</v>
          </cell>
          <cell r="G114">
            <v>0</v>
          </cell>
        </row>
        <row r="115">
          <cell r="B115">
            <v>3364280000000</v>
          </cell>
          <cell r="C115" t="str">
            <v>AUTODATA SEMINARIOS E EDITORA LTDA</v>
          </cell>
          <cell r="D115">
            <v>-2343.75</v>
          </cell>
          <cell r="E115">
            <v>2343.75</v>
          </cell>
          <cell r="F115">
            <v>0</v>
          </cell>
          <cell r="G115">
            <v>0</v>
          </cell>
        </row>
        <row r="116">
          <cell r="B116">
            <v>7718940000000</v>
          </cell>
          <cell r="C116" t="str">
            <v>ZILMA WAVGENCZAK ME.</v>
          </cell>
          <cell r="D116">
            <v>0</v>
          </cell>
          <cell r="E116">
            <v>420</v>
          </cell>
          <cell r="F116">
            <v>-420</v>
          </cell>
          <cell r="G116">
            <v>0</v>
          </cell>
        </row>
        <row r="117">
          <cell r="B117">
            <v>9079570000000</v>
          </cell>
          <cell r="C117" t="str">
            <v>TOTAL LIFE ASSISTENCIA A VIDA LTDA</v>
          </cell>
          <cell r="D117">
            <v>-2000</v>
          </cell>
          <cell r="E117">
            <v>6093.46</v>
          </cell>
          <cell r="F117">
            <v>-6146.4</v>
          </cell>
          <cell r="G117">
            <v>2052.94</v>
          </cell>
        </row>
        <row r="118">
          <cell r="B118">
            <v>19088600000000</v>
          </cell>
          <cell r="C118" t="str">
            <v>MGS CLEAN SOLUÇÕES E SERVIÇOS</v>
          </cell>
          <cell r="D118">
            <v>-60000</v>
          </cell>
          <cell r="E118">
            <v>283192.74</v>
          </cell>
          <cell r="F118">
            <v>-283192.74</v>
          </cell>
          <cell r="G118">
            <v>60000</v>
          </cell>
        </row>
        <row r="119">
          <cell r="B119">
            <v>34036200000000</v>
          </cell>
          <cell r="C119" t="str">
            <v>TIME MULTISSERVIÇOS LTDA</v>
          </cell>
          <cell r="D119">
            <v>-60000</v>
          </cell>
          <cell r="E119">
            <v>392680.33</v>
          </cell>
          <cell r="F119">
            <v>-392680.33</v>
          </cell>
          <cell r="G119">
            <v>60000</v>
          </cell>
        </row>
        <row r="120">
          <cell r="B120">
            <v>36813600000000</v>
          </cell>
          <cell r="C120" t="str">
            <v>GESTÃO QUANTUM CENTRO DE PROC CONTÁBIL</v>
          </cell>
          <cell r="D120">
            <v>-12833.33</v>
          </cell>
          <cell r="E120">
            <v>38499.99</v>
          </cell>
          <cell r="F120">
            <v>-38499.99</v>
          </cell>
          <cell r="G120">
            <v>12833.33</v>
          </cell>
        </row>
        <row r="121">
          <cell r="B121">
            <v>8294690000000</v>
          </cell>
          <cell r="C121" t="str">
            <v>WAYCARBON SOLUCOES AMBIENTAIS E PROJETOS DE CARBONO LT</v>
          </cell>
          <cell r="D121">
            <v>0</v>
          </cell>
          <cell r="E121">
            <v>60000</v>
          </cell>
          <cell r="F121">
            <v>-180000</v>
          </cell>
          <cell r="G121">
            <v>120000</v>
          </cell>
        </row>
        <row r="122">
          <cell r="B122">
            <v>34977900000000</v>
          </cell>
          <cell r="C122" t="str">
            <v>RMA ENGENHARIA LTDA</v>
          </cell>
          <cell r="D122">
            <v>-1400</v>
          </cell>
          <cell r="E122">
            <v>4200</v>
          </cell>
          <cell r="F122">
            <v>-4200</v>
          </cell>
          <cell r="G122">
            <v>1400</v>
          </cell>
        </row>
        <row r="123">
          <cell r="B123">
            <v>33198300000000</v>
          </cell>
          <cell r="C123" t="str">
            <v>REFRIGERACAO IV CENTENARIO EIRELI</v>
          </cell>
          <cell r="D123">
            <v>0</v>
          </cell>
          <cell r="E123">
            <v>1498.8</v>
          </cell>
          <cell r="F123">
            <v>-1498.8</v>
          </cell>
          <cell r="G123">
            <v>0</v>
          </cell>
        </row>
        <row r="124">
          <cell r="B124">
            <v>10740900000000</v>
          </cell>
          <cell r="C124" t="str">
            <v>A &amp; A TRADUCOES E INTERPRETACOES LTDA</v>
          </cell>
          <cell r="D124">
            <v>-360</v>
          </cell>
          <cell r="E124">
            <v>1752</v>
          </cell>
          <cell r="F124">
            <v>-4352</v>
          </cell>
          <cell r="G124">
            <v>2960</v>
          </cell>
        </row>
        <row r="125">
          <cell r="B125">
            <v>28712100000000</v>
          </cell>
          <cell r="C125" t="str">
            <v>MODULO SECURITY SOLUTIONS EM RECUPERACAO JUDICIAL</v>
          </cell>
          <cell r="D125">
            <v>0</v>
          </cell>
          <cell r="E125">
            <v>84500</v>
          </cell>
          <cell r="F125">
            <v>-89000</v>
          </cell>
          <cell r="G125">
            <v>4500</v>
          </cell>
        </row>
        <row r="126">
          <cell r="B126">
            <v>1406620000000</v>
          </cell>
          <cell r="C126" t="str">
            <v>AGENCIA DE INTEGRAÇÃO ESCOLA LTDA</v>
          </cell>
          <cell r="D126">
            <v>-35656.769999999997</v>
          </cell>
          <cell r="E126">
            <v>170385.34</v>
          </cell>
          <cell r="F126">
            <v>-134728.57</v>
          </cell>
          <cell r="G126">
            <v>0</v>
          </cell>
        </row>
        <row r="127">
          <cell r="B127">
            <v>12499500000000</v>
          </cell>
          <cell r="C127" t="str">
            <v>CLICKSIGN GESTAO DE DOCUMENTOS S/A</v>
          </cell>
          <cell r="D127">
            <v>0</v>
          </cell>
          <cell r="E127">
            <v>612</v>
          </cell>
          <cell r="F127">
            <v>-612</v>
          </cell>
          <cell r="G127">
            <v>0</v>
          </cell>
        </row>
        <row r="128">
          <cell r="B128">
            <v>789920000000</v>
          </cell>
          <cell r="C128" t="str">
            <v>DRIKA INDUSTRIA E COMERCIO DE PRODUTOS PROMOCIONAIS EIRELI</v>
          </cell>
          <cell r="D128">
            <v>0</v>
          </cell>
          <cell r="E128">
            <v>8529</v>
          </cell>
          <cell r="F128">
            <v>-8529</v>
          </cell>
          <cell r="G128">
            <v>0</v>
          </cell>
        </row>
        <row r="129">
          <cell r="B129">
            <v>7843950000000</v>
          </cell>
          <cell r="C129" t="str">
            <v>CHESTNUT GLOBAL PARTNERS DO BRASIL LTDA</v>
          </cell>
          <cell r="D129">
            <v>0</v>
          </cell>
          <cell r="E129">
            <v>8250</v>
          </cell>
          <cell r="F129">
            <v>-8250</v>
          </cell>
          <cell r="G129">
            <v>0</v>
          </cell>
        </row>
        <row r="130">
          <cell r="B130">
            <v>72061000000000</v>
          </cell>
          <cell r="C130" t="str">
            <v>FUNDACAO COORDENACAO DE PROJETOS PESQUISAS E ESTUDOS</v>
          </cell>
          <cell r="D130">
            <v>-82934.789999999994</v>
          </cell>
          <cell r="E130">
            <v>165869.57999999999</v>
          </cell>
          <cell r="F130">
            <v>-82934.789999999994</v>
          </cell>
          <cell r="G130">
            <v>0</v>
          </cell>
        </row>
        <row r="131">
          <cell r="B131">
            <v>35419400000000</v>
          </cell>
          <cell r="C131" t="str">
            <v>HIGH SERVICOS DE COMPLIANCE LTDA</v>
          </cell>
          <cell r="D131">
            <v>-1291.67</v>
          </cell>
          <cell r="E131">
            <v>5166.68</v>
          </cell>
          <cell r="F131">
            <v>-3875.01</v>
          </cell>
          <cell r="G131">
            <v>0</v>
          </cell>
        </row>
        <row r="132">
          <cell r="B132">
            <v>12979000000000</v>
          </cell>
          <cell r="C132" t="str">
            <v>T &amp; S LOCACAO DE MAO DE OBRA EM GERAL EIRELI</v>
          </cell>
          <cell r="D132">
            <v>0</v>
          </cell>
          <cell r="E132">
            <v>98398.56</v>
          </cell>
          <cell r="F132">
            <v>-98398.56</v>
          </cell>
          <cell r="G132">
            <v>0</v>
          </cell>
        </row>
        <row r="133">
          <cell r="B133">
            <v>38056400000000</v>
          </cell>
          <cell r="C133" t="str">
            <v>IOS INFORMATICA, ORGANIZACAO E SISTEMAS LTDA</v>
          </cell>
          <cell r="D133">
            <v>-63287.9</v>
          </cell>
          <cell r="E133">
            <v>160756.15</v>
          </cell>
          <cell r="F133">
            <v>-97468.25</v>
          </cell>
          <cell r="G133">
            <v>0</v>
          </cell>
        </row>
        <row r="134">
          <cell r="B134">
            <v>15809100000000</v>
          </cell>
          <cell r="C134" t="str">
            <v>SHIELD SEGURANÇA DA INFORMAÇÃO E CONSULTORIA LTDA</v>
          </cell>
          <cell r="D134">
            <v>-6650</v>
          </cell>
          <cell r="E134">
            <v>13300</v>
          </cell>
          <cell r="F134">
            <v>-6650</v>
          </cell>
          <cell r="G134">
            <v>0</v>
          </cell>
        </row>
        <row r="135">
          <cell r="B135">
            <v>30135800000000</v>
          </cell>
          <cell r="C135" t="str">
            <v>GLEICE DE SOUZA SILVA</v>
          </cell>
          <cell r="D135">
            <v>0</v>
          </cell>
          <cell r="E135">
            <v>9100</v>
          </cell>
          <cell r="F135">
            <v>-9100</v>
          </cell>
          <cell r="G135">
            <v>0</v>
          </cell>
        </row>
        <row r="136">
          <cell r="B136">
            <v>14113000000000</v>
          </cell>
          <cell r="C136" t="str">
            <v>DIVERSA CONSULTORIA E PLANEJAMENTO EM SUSTENTABILIDADE</v>
          </cell>
          <cell r="D136">
            <v>0</v>
          </cell>
          <cell r="E136">
            <v>59698.12</v>
          </cell>
          <cell r="F136">
            <v>-59698.12</v>
          </cell>
          <cell r="G136">
            <v>0</v>
          </cell>
        </row>
        <row r="137">
          <cell r="B137">
            <v>43213800000000</v>
          </cell>
          <cell r="C137" t="str">
            <v>EMERSON PROCESS MANAGEMENT LTDA</v>
          </cell>
          <cell r="D137">
            <v>0</v>
          </cell>
          <cell r="E137">
            <v>189754.88</v>
          </cell>
          <cell r="F137">
            <v>-189754.88</v>
          </cell>
          <cell r="G137">
            <v>0</v>
          </cell>
        </row>
        <row r="138">
          <cell r="B138">
            <v>45078200000000</v>
          </cell>
          <cell r="C138" t="str">
            <v>CARLOS EDUARDO ALVES DE ABREU</v>
          </cell>
          <cell r="D138">
            <v>0</v>
          </cell>
          <cell r="E138">
            <v>89880</v>
          </cell>
          <cell r="F138">
            <v>-89880</v>
          </cell>
          <cell r="G138">
            <v>0</v>
          </cell>
        </row>
        <row r="139">
          <cell r="B139">
            <v>7857620000000</v>
          </cell>
          <cell r="C139" t="str">
            <v>MENEZES NIEBUHR SOCIEDADE DE ADVOGADOS</v>
          </cell>
          <cell r="D139">
            <v>0</v>
          </cell>
          <cell r="E139">
            <v>60000</v>
          </cell>
          <cell r="F139">
            <v>-60000</v>
          </cell>
          <cell r="G139">
            <v>0</v>
          </cell>
        </row>
        <row r="140">
          <cell r="B140">
            <v>1708170000000</v>
          </cell>
          <cell r="C140" t="str">
            <v>KPMG CONSULTORIA LTDA</v>
          </cell>
          <cell r="D140">
            <v>0</v>
          </cell>
          <cell r="E140">
            <v>37728.9</v>
          </cell>
          <cell r="F140">
            <v>-37728.9</v>
          </cell>
          <cell r="G140">
            <v>0</v>
          </cell>
        </row>
        <row r="141">
          <cell r="B141">
            <v>6220430000000</v>
          </cell>
          <cell r="C141" t="str">
            <v>FUNDAÇÃO DE APOIO AO DESENVOLVIMENTO DA COMPUTAÇÃO</v>
          </cell>
          <cell r="D141">
            <v>0</v>
          </cell>
          <cell r="E141">
            <v>15000</v>
          </cell>
          <cell r="F141">
            <v>-15000</v>
          </cell>
          <cell r="G141">
            <v>0</v>
          </cell>
        </row>
        <row r="142">
          <cell r="B142">
            <v>18310800000000</v>
          </cell>
          <cell r="C142" t="str">
            <v>OBRA RIO REFORMAS REPAROS E COMERCIO LTDA</v>
          </cell>
          <cell r="D142">
            <v>0</v>
          </cell>
          <cell r="E142">
            <v>11753.5</v>
          </cell>
          <cell r="F142">
            <v>-11753.5</v>
          </cell>
          <cell r="G142">
            <v>0</v>
          </cell>
        </row>
        <row r="143">
          <cell r="B143" t="str">
            <v>06.977.747/0002-61</v>
          </cell>
          <cell r="C143" t="str">
            <v>AGEM TECNOLOGIA DISTRIBUIDORA LTDA</v>
          </cell>
          <cell r="D143">
            <v>0</v>
          </cell>
          <cell r="E143">
            <v>0</v>
          </cell>
          <cell r="F143">
            <v>-45035.4</v>
          </cell>
          <cell r="G143">
            <v>45035.4</v>
          </cell>
        </row>
        <row r="144">
          <cell r="B144">
            <v>9090867708</v>
          </cell>
          <cell r="C144" t="str">
            <v>Bruno Soares Moreira Cesar Borba</v>
          </cell>
          <cell r="D144">
            <v>0</v>
          </cell>
          <cell r="E144">
            <v>49500</v>
          </cell>
          <cell r="F144">
            <v>-49500</v>
          </cell>
          <cell r="G144">
            <v>0</v>
          </cell>
        </row>
        <row r="145">
          <cell r="B145">
            <v>2116</v>
          </cell>
          <cell r="C145" t="str">
            <v>Obrigações Fiscais</v>
          </cell>
          <cell r="D145">
            <v>-1562.73</v>
          </cell>
          <cell r="E145">
            <v>696157.13</v>
          </cell>
          <cell r="F145">
            <v>-697454.02</v>
          </cell>
          <cell r="G145">
            <v>2859.62</v>
          </cell>
        </row>
        <row r="146">
          <cell r="B146">
            <v>21161</v>
          </cell>
          <cell r="C146" t="str">
            <v>IRPJ a Recolher</v>
          </cell>
          <cell r="D146">
            <v>0</v>
          </cell>
          <cell r="E146">
            <v>253821.66</v>
          </cell>
          <cell r="F146">
            <v>-253821.66</v>
          </cell>
          <cell r="G146">
            <v>0</v>
          </cell>
        </row>
        <row r="147">
          <cell r="B147">
            <v>21162</v>
          </cell>
          <cell r="C147" t="str">
            <v>PASEP a Recolher</v>
          </cell>
          <cell r="D147">
            <v>-218.45</v>
          </cell>
          <cell r="E147">
            <v>59652.97</v>
          </cell>
          <cell r="F147">
            <v>-59834.25</v>
          </cell>
          <cell r="G147">
            <v>399.73</v>
          </cell>
        </row>
        <row r="148">
          <cell r="B148">
            <v>21163</v>
          </cell>
          <cell r="C148" t="str">
            <v>COFINS a Recolher</v>
          </cell>
          <cell r="D148">
            <v>-1344.28</v>
          </cell>
          <cell r="E148">
            <v>280529.7</v>
          </cell>
          <cell r="F148">
            <v>-281645.31</v>
          </cell>
          <cell r="G148">
            <v>2459.89</v>
          </cell>
        </row>
        <row r="149">
          <cell r="B149">
            <v>21167</v>
          </cell>
          <cell r="C149" t="str">
            <v>CSLL a Recolher</v>
          </cell>
          <cell r="D149">
            <v>0</v>
          </cell>
          <cell r="E149">
            <v>102152.8</v>
          </cell>
          <cell r="F149">
            <v>-102152.8</v>
          </cell>
          <cell r="G149">
            <v>0</v>
          </cell>
        </row>
        <row r="150">
          <cell r="B150">
            <v>2117</v>
          </cell>
          <cell r="C150" t="str">
            <v>Retenções Tributárias</v>
          </cell>
          <cell r="D150">
            <v>-754180.58</v>
          </cell>
          <cell r="E150">
            <v>2759955.47</v>
          </cell>
          <cell r="F150">
            <v>-3042422.74</v>
          </cell>
          <cell r="G150">
            <v>1036647.85</v>
          </cell>
        </row>
        <row r="151">
          <cell r="B151">
            <v>561</v>
          </cell>
          <cell r="C151" t="str">
            <v>IRRF a Recolher de Empregados</v>
          </cell>
          <cell r="D151">
            <v>-740064.46</v>
          </cell>
          <cell r="E151">
            <v>2355281.25</v>
          </cell>
          <cell r="F151">
            <v>-2638335.31</v>
          </cell>
          <cell r="G151">
            <v>1023118.52</v>
          </cell>
        </row>
        <row r="152">
          <cell r="B152">
            <v>21172</v>
          </cell>
          <cell r="C152" t="str">
            <v>IRRF a Recolher de Terceiros</v>
          </cell>
          <cell r="D152">
            <v>0</v>
          </cell>
          <cell r="E152">
            <v>12476.61</v>
          </cell>
          <cell r="F152">
            <v>-12476.61</v>
          </cell>
          <cell r="G152">
            <v>0</v>
          </cell>
        </row>
        <row r="153">
          <cell r="B153" t="str">
            <v>INSS</v>
          </cell>
          <cell r="C153" t="str">
            <v>INSS DE TERCEIROS</v>
          </cell>
          <cell r="D153">
            <v>-14116.12</v>
          </cell>
          <cell r="E153">
            <v>42123.23</v>
          </cell>
          <cell r="F153">
            <v>-41536.44</v>
          </cell>
          <cell r="G153">
            <v>13529.33</v>
          </cell>
        </row>
        <row r="154">
          <cell r="B154">
            <v>6147</v>
          </cell>
          <cell r="C154" t="str">
            <v>Ret IN 539/05 - IR/CS/PIS/COFINS - 5,85%</v>
          </cell>
          <cell r="D154">
            <v>0</v>
          </cell>
          <cell r="E154">
            <v>8174.55</v>
          </cell>
          <cell r="F154">
            <v>-8174.55</v>
          </cell>
          <cell r="G154">
            <v>0</v>
          </cell>
        </row>
        <row r="155">
          <cell r="B155">
            <v>6190</v>
          </cell>
          <cell r="C155" t="str">
            <v>Ret IN 539/05 - IR/CS/PIS/COFINS - 9,45%</v>
          </cell>
          <cell r="D155">
            <v>0</v>
          </cell>
          <cell r="E155">
            <v>310867.64</v>
          </cell>
          <cell r="F155">
            <v>-310867.64</v>
          </cell>
          <cell r="G155">
            <v>0</v>
          </cell>
        </row>
        <row r="156">
          <cell r="B156">
            <v>6175</v>
          </cell>
          <cell r="C156" t="str">
            <v>Ret IN 539/05 - IR/CS/PIS/COFINS - 7,05%</v>
          </cell>
          <cell r="D156">
            <v>0</v>
          </cell>
          <cell r="E156">
            <v>14017.53</v>
          </cell>
          <cell r="F156">
            <v>-14017.53</v>
          </cell>
          <cell r="G156">
            <v>0</v>
          </cell>
        </row>
        <row r="157">
          <cell r="B157">
            <v>211711</v>
          </cell>
          <cell r="C157" t="str">
            <v>Ret IN 539/05 - IR/CS/PIS/COFINS - 2,20%</v>
          </cell>
          <cell r="D157">
            <v>0</v>
          </cell>
          <cell r="E157">
            <v>16.850000000000001</v>
          </cell>
          <cell r="F157">
            <v>-16.850000000000001</v>
          </cell>
          <cell r="G157">
            <v>0</v>
          </cell>
        </row>
        <row r="158">
          <cell r="B158">
            <v>211713</v>
          </cell>
          <cell r="C158" t="str">
            <v>Ret IN 539/05 - IR/CS/PIS/COFINS - 3,40%</v>
          </cell>
          <cell r="D158">
            <v>0</v>
          </cell>
          <cell r="E158">
            <v>363.22</v>
          </cell>
          <cell r="F158">
            <v>-363.22</v>
          </cell>
          <cell r="G158">
            <v>0</v>
          </cell>
        </row>
        <row r="159">
          <cell r="B159" t="str">
            <v>ISS</v>
          </cell>
          <cell r="C159" t="str">
            <v>ISS de Terceiros</v>
          </cell>
          <cell r="D159">
            <v>0</v>
          </cell>
          <cell r="E159">
            <v>16634.59</v>
          </cell>
          <cell r="F159">
            <v>-16634.59</v>
          </cell>
          <cell r="G159">
            <v>0</v>
          </cell>
        </row>
        <row r="160">
          <cell r="B160">
            <v>2118</v>
          </cell>
          <cell r="C160" t="str">
            <v>Obrigações Trabalhistas e Sociais</v>
          </cell>
          <cell r="D160">
            <v>-13925012.289999999</v>
          </cell>
          <cell r="E160">
            <v>21787638.09</v>
          </cell>
          <cell r="F160">
            <v>-27218629.690000001</v>
          </cell>
          <cell r="G160">
            <v>19356003.890000001</v>
          </cell>
        </row>
        <row r="161">
          <cell r="B161">
            <v>21181</v>
          </cell>
          <cell r="C161" t="str">
            <v>Salários a Pagar</v>
          </cell>
          <cell r="D161">
            <v>-2944991.75</v>
          </cell>
          <cell r="E161">
            <v>14590033.02</v>
          </cell>
          <cell r="F161">
            <v>-16923911.699999999</v>
          </cell>
          <cell r="G161">
            <v>5278870.43</v>
          </cell>
        </row>
        <row r="162">
          <cell r="B162">
            <v>21182</v>
          </cell>
          <cell r="C162" t="str">
            <v>13º Salário a Pagar</v>
          </cell>
          <cell r="D162">
            <v>-1018899.91</v>
          </cell>
          <cell r="E162">
            <v>11002.89</v>
          </cell>
          <cell r="F162">
            <v>-1228839.73</v>
          </cell>
          <cell r="G162">
            <v>2236736.75</v>
          </cell>
        </row>
        <row r="163">
          <cell r="B163">
            <v>21183</v>
          </cell>
          <cell r="C163" t="str">
            <v>Férias a Pagar</v>
          </cell>
          <cell r="D163">
            <v>-6232676.3300000001</v>
          </cell>
          <cell r="E163">
            <v>1458517.64</v>
          </cell>
          <cell r="F163">
            <v>-2141634.42</v>
          </cell>
          <cell r="G163">
            <v>6915793.1100000003</v>
          </cell>
        </row>
        <row r="164">
          <cell r="B164">
            <v>21184</v>
          </cell>
          <cell r="C164" t="str">
            <v>INSS a Recolher</v>
          </cell>
          <cell r="D164">
            <v>-1038462.02</v>
          </cell>
          <cell r="E164">
            <v>3197656.47</v>
          </cell>
          <cell r="F164">
            <v>-3578877.39</v>
          </cell>
          <cell r="G164">
            <v>1419682.94</v>
          </cell>
        </row>
        <row r="165">
          <cell r="B165">
            <v>21185</v>
          </cell>
          <cell r="C165" t="str">
            <v>FGTS a Recolher</v>
          </cell>
          <cell r="D165">
            <v>-341951.53</v>
          </cell>
          <cell r="E165">
            <v>1029113.21</v>
          </cell>
          <cell r="F165">
            <v>-1261570.3700000001</v>
          </cell>
          <cell r="G165">
            <v>574408.68999999994</v>
          </cell>
        </row>
        <row r="166">
          <cell r="B166">
            <v>21186</v>
          </cell>
          <cell r="C166" t="str">
            <v>Contribuição Sindical a Pagar</v>
          </cell>
          <cell r="D166">
            <v>0</v>
          </cell>
          <cell r="E166">
            <v>435</v>
          </cell>
          <cell r="F166">
            <v>-435</v>
          </cell>
          <cell r="G166">
            <v>0</v>
          </cell>
        </row>
        <row r="167">
          <cell r="B167">
            <v>21187</v>
          </cell>
          <cell r="C167" t="str">
            <v>Pensão Alimentícia</v>
          </cell>
          <cell r="D167">
            <v>0</v>
          </cell>
          <cell r="E167">
            <v>38074.199999999997</v>
          </cell>
          <cell r="F167">
            <v>-38074.199999999997</v>
          </cell>
          <cell r="G167">
            <v>0</v>
          </cell>
        </row>
        <row r="168">
          <cell r="B168">
            <v>21188</v>
          </cell>
          <cell r="C168" t="str">
            <v>Rescisões a Pagar</v>
          </cell>
          <cell r="D168">
            <v>0</v>
          </cell>
          <cell r="E168">
            <v>69281.61</v>
          </cell>
          <cell r="F168">
            <v>-69281.61</v>
          </cell>
          <cell r="G168">
            <v>0</v>
          </cell>
        </row>
        <row r="169">
          <cell r="B169">
            <v>21189</v>
          </cell>
          <cell r="C169" t="str">
            <v>Previdência Privada Complementar</v>
          </cell>
          <cell r="D169">
            <v>-289103.49</v>
          </cell>
          <cell r="E169">
            <v>860916.35</v>
          </cell>
          <cell r="F169">
            <v>-1002414.48</v>
          </cell>
          <cell r="G169">
            <v>430601.62</v>
          </cell>
        </row>
        <row r="170">
          <cell r="B170">
            <v>211810</v>
          </cell>
          <cell r="C170" t="str">
            <v>INSS s/ 13º Salario a Pagar</v>
          </cell>
          <cell r="D170">
            <v>-211633.96</v>
          </cell>
          <cell r="E170">
            <v>827.14</v>
          </cell>
          <cell r="F170">
            <v>-256210.44</v>
          </cell>
          <cell r="G170">
            <v>467017.26</v>
          </cell>
        </row>
        <row r="171">
          <cell r="B171">
            <v>211811</v>
          </cell>
          <cell r="C171" t="str">
            <v>FGTS s/ 13º Salario a Pagar</v>
          </cell>
          <cell r="D171">
            <v>-43408.94</v>
          </cell>
          <cell r="E171">
            <v>134143.6</v>
          </cell>
          <cell r="F171">
            <v>-97621.59</v>
          </cell>
          <cell r="G171">
            <v>6886.93</v>
          </cell>
        </row>
        <row r="172">
          <cell r="B172">
            <v>211812</v>
          </cell>
          <cell r="C172" t="str">
            <v>INSS s/ Férias a Pagar</v>
          </cell>
          <cell r="D172">
            <v>-1306261.44</v>
          </cell>
          <cell r="E172">
            <v>288036.09999999998</v>
          </cell>
          <cell r="F172">
            <v>-448882.77</v>
          </cell>
          <cell r="G172">
            <v>1467108.11</v>
          </cell>
        </row>
        <row r="173">
          <cell r="B173">
            <v>211813</v>
          </cell>
          <cell r="C173" t="str">
            <v>FGTS s/ Férias a Pagar</v>
          </cell>
          <cell r="D173">
            <v>-497622.92</v>
          </cell>
          <cell r="E173">
            <v>109600.86</v>
          </cell>
          <cell r="F173">
            <v>-170875.99</v>
          </cell>
          <cell r="G173">
            <v>558898.05000000005</v>
          </cell>
        </row>
        <row r="174">
          <cell r="B174">
            <v>211110</v>
          </cell>
          <cell r="C174" t="str">
            <v>Provisões p/ Contingências</v>
          </cell>
          <cell r="D174">
            <v>-2713578.37</v>
          </cell>
          <cell r="E174">
            <v>0</v>
          </cell>
          <cell r="F174">
            <v>-36321.82</v>
          </cell>
          <cell r="G174">
            <v>2749900.19</v>
          </cell>
        </row>
        <row r="175">
          <cell r="B175">
            <v>211111</v>
          </cell>
          <cell r="C175" t="str">
            <v>Provisão p/ Contingências Trabalhistas</v>
          </cell>
          <cell r="D175">
            <v>-2713578.37</v>
          </cell>
          <cell r="E175">
            <v>0</v>
          </cell>
          <cell r="F175">
            <v>-36321.82</v>
          </cell>
          <cell r="G175">
            <v>2749900.19</v>
          </cell>
        </row>
        <row r="176">
          <cell r="B176">
            <v>21114</v>
          </cell>
          <cell r="C176" t="str">
            <v>Obrigações com a Cessão de Pessoal</v>
          </cell>
          <cell r="D176">
            <v>-54855.43</v>
          </cell>
          <cell r="E176">
            <v>107360.53</v>
          </cell>
          <cell r="F176">
            <v>-110889.19</v>
          </cell>
          <cell r="G176">
            <v>58384.09</v>
          </cell>
        </row>
        <row r="177">
          <cell r="B177">
            <v>211145</v>
          </cell>
          <cell r="C177" t="str">
            <v>Obrigações com o STJ</v>
          </cell>
          <cell r="D177">
            <v>-24403.53</v>
          </cell>
          <cell r="E177">
            <v>73210.59</v>
          </cell>
          <cell r="F177">
            <v>-73210.59</v>
          </cell>
          <cell r="G177">
            <v>24403.53</v>
          </cell>
        </row>
        <row r="178">
          <cell r="B178">
            <v>211146</v>
          </cell>
          <cell r="C178" t="str">
            <v>Obrigações com a SEDES</v>
          </cell>
          <cell r="D178">
            <v>-9415.9599999999991</v>
          </cell>
          <cell r="E178">
            <v>20125.98</v>
          </cell>
          <cell r="F178">
            <v>-10710.02</v>
          </cell>
          <cell r="G178">
            <v>0</v>
          </cell>
        </row>
        <row r="179">
          <cell r="B179">
            <v>211147</v>
          </cell>
          <cell r="C179" t="str">
            <v>Obrigações com a USP</v>
          </cell>
          <cell r="D179">
            <v>-21035.94</v>
          </cell>
          <cell r="E179">
            <v>14023.96</v>
          </cell>
          <cell r="F179">
            <v>-26968.58</v>
          </cell>
          <cell r="G179">
            <v>33980.559999999998</v>
          </cell>
        </row>
        <row r="180">
          <cell r="B180">
            <v>21115</v>
          </cell>
          <cell r="C180" t="str">
            <v>Previdência Privada Complementar</v>
          </cell>
          <cell r="D180">
            <v>-285652.99</v>
          </cell>
          <cell r="E180">
            <v>850564.85</v>
          </cell>
          <cell r="F180">
            <v>-999508.18</v>
          </cell>
          <cell r="G180">
            <v>434596.32</v>
          </cell>
        </row>
        <row r="181">
          <cell r="B181">
            <v>211151</v>
          </cell>
          <cell r="C181" t="str">
            <v>Fundação ELETROS</v>
          </cell>
          <cell r="D181">
            <v>-285652.99</v>
          </cell>
          <cell r="E181">
            <v>850564.85</v>
          </cell>
          <cell r="F181">
            <v>-999508.18</v>
          </cell>
          <cell r="G181">
            <v>434596.32</v>
          </cell>
        </row>
        <row r="182">
          <cell r="B182">
            <v>22</v>
          </cell>
          <cell r="C182" t="str">
            <v>Passivo Não Circulante</v>
          </cell>
          <cell r="D182">
            <v>-6482408.7300000004</v>
          </cell>
          <cell r="E182">
            <v>70.45</v>
          </cell>
          <cell r="F182">
            <v>-281593.17</v>
          </cell>
          <cell r="G182">
            <v>6763931.4500000002</v>
          </cell>
        </row>
        <row r="183">
          <cell r="B183">
            <v>221</v>
          </cell>
          <cell r="C183" t="str">
            <v>Obrigações de Longo Prazo</v>
          </cell>
          <cell r="D183">
            <v>-6482408.7300000004</v>
          </cell>
          <cell r="E183">
            <v>70.45</v>
          </cell>
          <cell r="F183">
            <v>-281593.17</v>
          </cell>
          <cell r="G183">
            <v>6763931.4500000002</v>
          </cell>
        </row>
        <row r="184">
          <cell r="B184">
            <v>2215</v>
          </cell>
          <cell r="C184" t="str">
            <v>Provisões p/ Contingências</v>
          </cell>
          <cell r="D184">
            <v>-6482408.7300000004</v>
          </cell>
          <cell r="E184">
            <v>70.45</v>
          </cell>
          <cell r="F184">
            <v>-281593.17</v>
          </cell>
          <cell r="G184">
            <v>6763931.4500000002</v>
          </cell>
        </row>
        <row r="185">
          <cell r="B185">
            <v>22151</v>
          </cell>
          <cell r="C185" t="str">
            <v>Provisão p/ Contingências Trabalhistas</v>
          </cell>
          <cell r="D185">
            <v>-339413.16</v>
          </cell>
          <cell r="E185">
            <v>0</v>
          </cell>
          <cell r="F185">
            <v>-4163.2700000000004</v>
          </cell>
          <cell r="G185">
            <v>343576.43</v>
          </cell>
        </row>
        <row r="186">
          <cell r="B186">
            <v>22152</v>
          </cell>
          <cell r="C186" t="str">
            <v>Provisão p/ Contingências Civeis</v>
          </cell>
          <cell r="D186">
            <v>-1151.6099999999999</v>
          </cell>
          <cell r="E186">
            <v>70.45</v>
          </cell>
          <cell r="F186">
            <v>-84.58</v>
          </cell>
          <cell r="G186">
            <v>1165.74</v>
          </cell>
        </row>
        <row r="187">
          <cell r="B187">
            <v>22153</v>
          </cell>
          <cell r="C187" t="str">
            <v>Provisão p/ Contingências Fiscais</v>
          </cell>
          <cell r="D187">
            <v>-6141843.96</v>
          </cell>
          <cell r="E187">
            <v>0</v>
          </cell>
          <cell r="F187">
            <v>-277345.32</v>
          </cell>
          <cell r="G187">
            <v>6419189.2800000003</v>
          </cell>
        </row>
        <row r="188">
          <cell r="B188" t="str">
            <v>PL</v>
          </cell>
          <cell r="C188" t="str">
            <v>Patrimônio Líquido</v>
          </cell>
          <cell r="D188">
            <v>-25416799.989999998</v>
          </cell>
          <cell r="E188">
            <v>4935536.29</v>
          </cell>
          <cell r="F188">
            <v>-6123665.5999999996</v>
          </cell>
          <cell r="G188">
            <v>26604929.300000001</v>
          </cell>
        </row>
        <row r="189">
          <cell r="B189">
            <v>241</v>
          </cell>
          <cell r="C189" t="str">
            <v>Capital Social</v>
          </cell>
          <cell r="D189">
            <v>-26211140.98</v>
          </cell>
          <cell r="E189">
            <v>0</v>
          </cell>
          <cell r="F189">
            <v>-2257768.89</v>
          </cell>
          <cell r="G189">
            <v>28468909.870000001</v>
          </cell>
        </row>
        <row r="190">
          <cell r="B190">
            <v>2411</v>
          </cell>
          <cell r="C190" t="str">
            <v>Capital Subscrito</v>
          </cell>
          <cell r="D190">
            <v>-26211140.98</v>
          </cell>
          <cell r="E190">
            <v>0</v>
          </cell>
          <cell r="F190">
            <v>-2257768.89</v>
          </cell>
          <cell r="G190">
            <v>28468909.870000001</v>
          </cell>
        </row>
        <row r="191">
          <cell r="B191">
            <v>24111</v>
          </cell>
          <cell r="C191" t="str">
            <v>Capital Subscrito</v>
          </cell>
          <cell r="D191">
            <v>-26211140.98</v>
          </cell>
          <cell r="E191">
            <v>0</v>
          </cell>
          <cell r="F191">
            <v>-2257768.89</v>
          </cell>
          <cell r="G191">
            <v>28468909.870000001</v>
          </cell>
        </row>
        <row r="192">
          <cell r="B192">
            <v>243</v>
          </cell>
          <cell r="C192" t="str">
            <v>Aj de av.patrimonial</v>
          </cell>
          <cell r="D192">
            <v>-21.12</v>
          </cell>
          <cell r="E192">
            <v>26.96</v>
          </cell>
          <cell r="F192">
            <v>0</v>
          </cell>
          <cell r="G192">
            <v>5.84</v>
          </cell>
        </row>
        <row r="193">
          <cell r="B193">
            <v>2431</v>
          </cell>
          <cell r="C193" t="str">
            <v>Aj. de av. patrimonial</v>
          </cell>
          <cell r="D193">
            <v>-21.12</v>
          </cell>
          <cell r="E193">
            <v>26.96</v>
          </cell>
          <cell r="F193">
            <v>0</v>
          </cell>
          <cell r="G193">
            <v>5.84</v>
          </cell>
        </row>
        <row r="194">
          <cell r="B194">
            <v>24311</v>
          </cell>
          <cell r="C194" t="str">
            <v>Aj.de av. patrimonial</v>
          </cell>
          <cell r="D194">
            <v>-21.12</v>
          </cell>
          <cell r="E194">
            <v>26.96</v>
          </cell>
          <cell r="F194">
            <v>0</v>
          </cell>
          <cell r="G194">
            <v>5.84</v>
          </cell>
        </row>
        <row r="195">
          <cell r="B195">
            <v>246</v>
          </cell>
          <cell r="C195" t="str">
            <v>Lucros ou Prejuízos Acumulados</v>
          </cell>
          <cell r="D195">
            <v>4789293.97</v>
          </cell>
          <cell r="E195">
            <v>2677740.44</v>
          </cell>
          <cell r="F195">
            <v>-3733895.49</v>
          </cell>
          <cell r="G195">
            <v>3733138.92</v>
          </cell>
        </row>
        <row r="196">
          <cell r="B196">
            <v>2462</v>
          </cell>
          <cell r="C196" t="str">
            <v>(-) Prejuízos Acumulados</v>
          </cell>
          <cell r="D196">
            <v>3734189</v>
          </cell>
          <cell r="E196">
            <v>0</v>
          </cell>
          <cell r="F196">
            <v>0</v>
          </cell>
          <cell r="G196">
            <v>3734189</v>
          </cell>
        </row>
        <row r="197">
          <cell r="B197">
            <v>24622</v>
          </cell>
          <cell r="C197" t="str">
            <v>(-) Prejuízo Acumulado</v>
          </cell>
          <cell r="D197">
            <v>3734189</v>
          </cell>
          <cell r="E197">
            <v>0</v>
          </cell>
          <cell r="F197">
            <v>0</v>
          </cell>
          <cell r="G197">
            <v>3734189</v>
          </cell>
        </row>
        <row r="198">
          <cell r="B198">
            <v>24699</v>
          </cell>
          <cell r="C198" t="str">
            <v>Resultado do Exercício</v>
          </cell>
          <cell r="D198">
            <v>1055104.97</v>
          </cell>
          <cell r="E198">
            <v>2677740.44</v>
          </cell>
          <cell r="F198">
            <v>-3733895.49</v>
          </cell>
          <cell r="G198">
            <v>1050.08</v>
          </cell>
        </row>
        <row r="199">
          <cell r="B199">
            <v>246991</v>
          </cell>
          <cell r="C199" t="str">
            <v>Resultado do Exercício</v>
          </cell>
          <cell r="D199">
            <v>1055104.97</v>
          </cell>
          <cell r="E199">
            <v>2677740.44</v>
          </cell>
          <cell r="F199">
            <v>-3733895.49</v>
          </cell>
          <cell r="G199">
            <v>1050.08</v>
          </cell>
        </row>
        <row r="200">
          <cell r="B200">
            <v>247</v>
          </cell>
          <cell r="C200" t="str">
            <v>Adiantamento p/Futuro Aumento de Capital</v>
          </cell>
          <cell r="D200">
            <v>-3994931.86</v>
          </cell>
          <cell r="E200">
            <v>2257768.89</v>
          </cell>
          <cell r="F200">
            <v>-132001.22</v>
          </cell>
          <cell r="G200">
            <v>1869164.19</v>
          </cell>
        </row>
        <row r="201">
          <cell r="B201">
            <v>2471</v>
          </cell>
          <cell r="C201" t="str">
            <v>Adiantamento p/Futuro Aumento de Capital</v>
          </cell>
          <cell r="D201">
            <v>-3994931.86</v>
          </cell>
          <cell r="E201">
            <v>2257768.89</v>
          </cell>
          <cell r="F201">
            <v>-132001.22</v>
          </cell>
          <cell r="G201">
            <v>1869164.19</v>
          </cell>
        </row>
        <row r="202">
          <cell r="B202">
            <v>24711</v>
          </cell>
          <cell r="C202" t="str">
            <v>Adiantamento p/Futuro Aumento de Capital</v>
          </cell>
          <cell r="D202">
            <v>-3994931.86</v>
          </cell>
          <cell r="E202">
            <v>2257768.89</v>
          </cell>
          <cell r="F202">
            <v>-132001.22</v>
          </cell>
          <cell r="G202">
            <v>1869164.19</v>
          </cell>
        </row>
        <row r="203">
          <cell r="B203">
            <v>3</v>
          </cell>
          <cell r="C203" t="str">
            <v>Receitas</v>
          </cell>
          <cell r="D203">
            <v>-26107789.34</v>
          </cell>
          <cell r="E203">
            <v>1093.78</v>
          </cell>
          <cell r="F203">
            <v>-32163338.16</v>
          </cell>
          <cell r="G203">
            <v>58270033.719999999</v>
          </cell>
        </row>
        <row r="204">
          <cell r="B204">
            <v>31</v>
          </cell>
          <cell r="C204" t="str">
            <v>Subsídios Públicos</v>
          </cell>
          <cell r="D204">
            <v>-25540746.530000001</v>
          </cell>
          <cell r="E204">
            <v>0</v>
          </cell>
          <cell r="F204">
            <v>-28171761.68</v>
          </cell>
          <cell r="G204">
            <v>53712508.210000001</v>
          </cell>
        </row>
        <row r="205">
          <cell r="B205">
            <v>311</v>
          </cell>
          <cell r="C205" t="str">
            <v>Subsídios do Tesouro Nacional</v>
          </cell>
          <cell r="D205">
            <v>-25540746.530000001</v>
          </cell>
          <cell r="E205">
            <v>0</v>
          </cell>
          <cell r="F205">
            <v>-28171761.68</v>
          </cell>
          <cell r="G205">
            <v>53712508.210000001</v>
          </cell>
        </row>
        <row r="206">
          <cell r="B206">
            <v>3111</v>
          </cell>
          <cell r="C206" t="str">
            <v>Subsídios do Tesouro Nacional</v>
          </cell>
          <cell r="D206">
            <v>-25540746.530000001</v>
          </cell>
          <cell r="E206">
            <v>0</v>
          </cell>
          <cell r="F206">
            <v>-28171761.68</v>
          </cell>
          <cell r="G206">
            <v>53712508.210000001</v>
          </cell>
        </row>
        <row r="207">
          <cell r="B207">
            <v>31111</v>
          </cell>
          <cell r="C207" t="str">
            <v>Recursos Recebidos do Tesouro Nacional</v>
          </cell>
          <cell r="D207">
            <v>-25540746.530000001</v>
          </cell>
          <cell r="E207">
            <v>0</v>
          </cell>
          <cell r="F207">
            <v>-28171761.68</v>
          </cell>
          <cell r="G207">
            <v>53712508.210000001</v>
          </cell>
        </row>
        <row r="208">
          <cell r="B208">
            <v>33</v>
          </cell>
          <cell r="C208" t="str">
            <v>Outras Receitas Operacionais</v>
          </cell>
          <cell r="D208">
            <v>-567042.81000000006</v>
          </cell>
          <cell r="E208">
            <v>1093.78</v>
          </cell>
          <cell r="F208">
            <v>-3991576.48</v>
          </cell>
          <cell r="G208">
            <v>4557525.51</v>
          </cell>
        </row>
        <row r="209">
          <cell r="B209">
            <v>331</v>
          </cell>
          <cell r="C209" t="str">
            <v>Receitas Financeiras</v>
          </cell>
          <cell r="D209">
            <v>-116447</v>
          </cell>
          <cell r="E209">
            <v>1093.78</v>
          </cell>
          <cell r="F209">
            <v>-601965.48</v>
          </cell>
          <cell r="G209">
            <v>717318.7</v>
          </cell>
        </row>
        <row r="210">
          <cell r="B210">
            <v>3311</v>
          </cell>
          <cell r="C210" t="str">
            <v>Receitas Financ./ Prest. de Serviços</v>
          </cell>
          <cell r="D210">
            <v>-116447</v>
          </cell>
          <cell r="E210">
            <v>1093.78</v>
          </cell>
          <cell r="F210">
            <v>-601965.48</v>
          </cell>
          <cell r="G210">
            <v>717318.7</v>
          </cell>
        </row>
        <row r="211">
          <cell r="B211">
            <v>33113</v>
          </cell>
          <cell r="C211" t="str">
            <v>Rendas de Variações Monetárias</v>
          </cell>
          <cell r="D211">
            <v>-116082.48</v>
          </cell>
          <cell r="E211">
            <v>1093.78</v>
          </cell>
          <cell r="F211">
            <v>-601965.48</v>
          </cell>
          <cell r="G211">
            <v>716954.18</v>
          </cell>
        </row>
        <row r="212">
          <cell r="B212">
            <v>33114</v>
          </cell>
          <cell r="C212" t="str">
            <v>Descontos Obtidos</v>
          </cell>
          <cell r="D212">
            <v>-364.52</v>
          </cell>
          <cell r="E212">
            <v>0</v>
          </cell>
          <cell r="F212">
            <v>0</v>
          </cell>
          <cell r="G212">
            <v>364.52</v>
          </cell>
        </row>
        <row r="213">
          <cell r="B213">
            <v>332</v>
          </cell>
          <cell r="C213" t="str">
            <v>Reembolso de Custos e Despesas</v>
          </cell>
          <cell r="D213">
            <v>-1155</v>
          </cell>
          <cell r="E213">
            <v>0</v>
          </cell>
          <cell r="F213">
            <v>-3389611</v>
          </cell>
          <cell r="G213">
            <v>3390766</v>
          </cell>
        </row>
        <row r="214">
          <cell r="B214">
            <v>3321</v>
          </cell>
          <cell r="C214" t="str">
            <v>Reversão de Custos e Despesas</v>
          </cell>
          <cell r="D214">
            <v>-1155</v>
          </cell>
          <cell r="E214">
            <v>0</v>
          </cell>
          <cell r="F214">
            <v>-3389611</v>
          </cell>
          <cell r="G214">
            <v>3390766</v>
          </cell>
        </row>
        <row r="215">
          <cell r="B215">
            <v>33212</v>
          </cell>
          <cell r="C215" t="str">
            <v>Leilões ANEEL – Transmissão de Energia</v>
          </cell>
          <cell r="D215">
            <v>0</v>
          </cell>
          <cell r="E215">
            <v>0</v>
          </cell>
          <cell r="F215">
            <v>-3389611</v>
          </cell>
          <cell r="G215">
            <v>3389611</v>
          </cell>
        </row>
        <row r="216">
          <cell r="B216">
            <v>33213</v>
          </cell>
          <cell r="C216" t="str">
            <v>Recuperação de Despesa e Custo</v>
          </cell>
          <cell r="D216">
            <v>-1155</v>
          </cell>
          <cell r="E216">
            <v>0</v>
          </cell>
          <cell r="F216">
            <v>0</v>
          </cell>
          <cell r="G216">
            <v>1155</v>
          </cell>
        </row>
        <row r="217">
          <cell r="B217">
            <v>336</v>
          </cell>
          <cell r="C217" t="str">
            <v>Reversão de Provisões</v>
          </cell>
          <cell r="D217">
            <v>-22945.54</v>
          </cell>
          <cell r="E217">
            <v>0</v>
          </cell>
          <cell r="F217">
            <v>0</v>
          </cell>
          <cell r="G217">
            <v>22945.54</v>
          </cell>
        </row>
        <row r="218">
          <cell r="B218">
            <v>3361</v>
          </cell>
          <cell r="C218" t="str">
            <v>Reversão de Provisões - Contingência</v>
          </cell>
          <cell r="D218">
            <v>-22945.54</v>
          </cell>
          <cell r="E218">
            <v>0</v>
          </cell>
          <cell r="F218">
            <v>0</v>
          </cell>
          <cell r="G218">
            <v>22945.54</v>
          </cell>
        </row>
        <row r="219">
          <cell r="B219">
            <v>33612</v>
          </cell>
          <cell r="C219" t="str">
            <v>Contingência Civis</v>
          </cell>
          <cell r="D219">
            <v>-22945.54</v>
          </cell>
          <cell r="E219">
            <v>0</v>
          </cell>
          <cell r="F219">
            <v>0</v>
          </cell>
          <cell r="G219">
            <v>22945.54</v>
          </cell>
        </row>
        <row r="220">
          <cell r="B220">
            <v>339</v>
          </cell>
          <cell r="C220" t="str">
            <v>Outras Receitas</v>
          </cell>
          <cell r="D220">
            <v>-426495.27</v>
          </cell>
          <cell r="E220">
            <v>0</v>
          </cell>
          <cell r="F220">
            <v>0</v>
          </cell>
          <cell r="G220">
            <v>426495.27</v>
          </cell>
        </row>
        <row r="221">
          <cell r="B221">
            <v>3393</v>
          </cell>
          <cell r="C221" t="str">
            <v>Reversão de Custos/Despesas</v>
          </cell>
          <cell r="D221">
            <v>-54245.26</v>
          </cell>
          <cell r="E221">
            <v>0</v>
          </cell>
          <cell r="F221">
            <v>0</v>
          </cell>
          <cell r="G221">
            <v>54245.26</v>
          </cell>
        </row>
        <row r="222">
          <cell r="B222">
            <v>33931</v>
          </cell>
          <cell r="C222" t="str">
            <v>Recuperação de Despesa e Custo</v>
          </cell>
          <cell r="D222">
            <v>-54245.26</v>
          </cell>
          <cell r="E222">
            <v>0</v>
          </cell>
          <cell r="F222">
            <v>0</v>
          </cell>
          <cell r="G222">
            <v>54245.26</v>
          </cell>
        </row>
        <row r="223">
          <cell r="B223">
            <v>3399</v>
          </cell>
          <cell r="C223" t="str">
            <v>Receita Concurso Público</v>
          </cell>
          <cell r="D223">
            <v>-372250.01</v>
          </cell>
          <cell r="E223">
            <v>0</v>
          </cell>
          <cell r="F223">
            <v>0</v>
          </cell>
          <cell r="G223">
            <v>372250.01</v>
          </cell>
        </row>
        <row r="224">
          <cell r="B224">
            <v>33991</v>
          </cell>
          <cell r="C224" t="str">
            <v>Receita de Concurso Público</v>
          </cell>
          <cell r="D224">
            <v>-372250.01</v>
          </cell>
          <cell r="E224">
            <v>0</v>
          </cell>
          <cell r="F224">
            <v>0</v>
          </cell>
          <cell r="G224">
            <v>372250.01</v>
          </cell>
        </row>
        <row r="225">
          <cell r="B225">
            <v>4</v>
          </cell>
          <cell r="C225" t="str">
            <v>Custos e Despesas</v>
          </cell>
          <cell r="D225">
            <v>27162894.309999999</v>
          </cell>
          <cell r="E225">
            <v>32445746.609999999</v>
          </cell>
          <cell r="F225">
            <v>-1339657.28</v>
          </cell>
          <cell r="G225">
            <v>58268983.640000001</v>
          </cell>
        </row>
        <row r="226">
          <cell r="B226">
            <v>41</v>
          </cell>
          <cell r="C226" t="str">
            <v>Custos</v>
          </cell>
          <cell r="D226">
            <v>16928245.100000001</v>
          </cell>
          <cell r="E226">
            <v>20022678.920000002</v>
          </cell>
          <cell r="F226">
            <v>-173418.07</v>
          </cell>
          <cell r="G226">
            <v>36777505.950000003</v>
          </cell>
        </row>
        <row r="227">
          <cell r="B227">
            <v>411</v>
          </cell>
          <cell r="C227" t="str">
            <v>Gastos com Pessoal - Serviços</v>
          </cell>
          <cell r="D227">
            <v>13701415.9</v>
          </cell>
          <cell r="E227">
            <v>16037050.470000001</v>
          </cell>
          <cell r="F227">
            <v>-137529.75</v>
          </cell>
          <cell r="G227">
            <v>29600936.620000001</v>
          </cell>
        </row>
        <row r="228">
          <cell r="B228">
            <v>4111</v>
          </cell>
          <cell r="C228" t="str">
            <v>Remunerações</v>
          </cell>
          <cell r="D228">
            <v>9527438</v>
          </cell>
          <cell r="E228">
            <v>11221527.91</v>
          </cell>
          <cell r="F228">
            <v>-96679.97</v>
          </cell>
          <cell r="G228">
            <v>20652285.940000001</v>
          </cell>
        </row>
        <row r="229">
          <cell r="B229">
            <v>41111</v>
          </cell>
          <cell r="C229" t="str">
            <v>Salários</v>
          </cell>
          <cell r="D229">
            <v>7836467.9100000001</v>
          </cell>
          <cell r="E229">
            <v>8712592.5899999999</v>
          </cell>
          <cell r="F229">
            <v>-10715.46</v>
          </cell>
          <cell r="G229">
            <v>16538345.039999999</v>
          </cell>
        </row>
        <row r="230">
          <cell r="B230">
            <v>41117</v>
          </cell>
          <cell r="C230" t="str">
            <v>Provisão de Férias e Encargos Sociais</v>
          </cell>
          <cell r="D230">
            <v>844928.29</v>
          </cell>
          <cell r="E230">
            <v>1491958.39</v>
          </cell>
          <cell r="F230">
            <v>-85964.51</v>
          </cell>
          <cell r="G230">
            <v>2250922.17</v>
          </cell>
        </row>
        <row r="231">
          <cell r="B231">
            <v>41118</v>
          </cell>
          <cell r="C231" t="str">
            <v>Abono Pecuniário de Férias</v>
          </cell>
          <cell r="D231">
            <v>112750.61</v>
          </cell>
          <cell r="E231">
            <v>94816.05</v>
          </cell>
          <cell r="F231">
            <v>0</v>
          </cell>
          <cell r="G231">
            <v>207566.66</v>
          </cell>
        </row>
        <row r="232">
          <cell r="B232">
            <v>41119</v>
          </cell>
          <cell r="C232" t="str">
            <v>Provisão de 13º Salários e Enc. Sociais</v>
          </cell>
          <cell r="D232">
            <v>717008.16</v>
          </cell>
          <cell r="E232">
            <v>865514.6</v>
          </cell>
          <cell r="F232">
            <v>0</v>
          </cell>
          <cell r="G232">
            <v>1582522.76</v>
          </cell>
        </row>
        <row r="233">
          <cell r="B233">
            <v>411111</v>
          </cell>
          <cell r="C233" t="str">
            <v>Salario Maternidade - Prorrogação</v>
          </cell>
          <cell r="D233">
            <v>0</v>
          </cell>
          <cell r="E233">
            <v>47574.65</v>
          </cell>
          <cell r="F233">
            <v>0</v>
          </cell>
          <cell r="G233">
            <v>47574.65</v>
          </cell>
        </row>
        <row r="234">
          <cell r="B234">
            <v>411113</v>
          </cell>
          <cell r="C234" t="str">
            <v>Licença Paternidade Prorrogação</v>
          </cell>
          <cell r="D234">
            <v>16283.03</v>
          </cell>
          <cell r="E234">
            <v>9071.6299999999992</v>
          </cell>
          <cell r="F234">
            <v>0</v>
          </cell>
          <cell r="G234">
            <v>25354.66</v>
          </cell>
        </row>
        <row r="235">
          <cell r="B235">
            <v>4112</v>
          </cell>
          <cell r="C235" t="str">
            <v>Encargos Sociais</v>
          </cell>
          <cell r="D235">
            <v>2724652.27</v>
          </cell>
          <cell r="E235">
            <v>3248631.5</v>
          </cell>
          <cell r="F235">
            <v>-31749.67</v>
          </cell>
          <cell r="G235">
            <v>5941534.0999999996</v>
          </cell>
        </row>
        <row r="236">
          <cell r="B236">
            <v>41121</v>
          </cell>
          <cell r="C236" t="str">
            <v>INSS</v>
          </cell>
          <cell r="D236">
            <v>1657894.29</v>
          </cell>
          <cell r="E236">
            <v>1857736.91</v>
          </cell>
          <cell r="F236">
            <v>0</v>
          </cell>
          <cell r="G236">
            <v>3515631.2</v>
          </cell>
        </row>
        <row r="237">
          <cell r="B237">
            <v>41122</v>
          </cell>
          <cell r="C237" t="str">
            <v>FGTS</v>
          </cell>
          <cell r="D237">
            <v>637748.44999999995</v>
          </cell>
          <cell r="E237">
            <v>708472.85</v>
          </cell>
          <cell r="F237">
            <v>0</v>
          </cell>
          <cell r="G237">
            <v>1346221.3</v>
          </cell>
        </row>
        <row r="238">
          <cell r="B238">
            <v>41124</v>
          </cell>
          <cell r="C238" t="str">
            <v>INSS s/ 13º Salário</v>
          </cell>
          <cell r="D238">
            <v>149446.82999999999</v>
          </cell>
          <cell r="E238">
            <v>181286.72</v>
          </cell>
          <cell r="F238">
            <v>0</v>
          </cell>
          <cell r="G238">
            <v>330733.55</v>
          </cell>
        </row>
        <row r="239">
          <cell r="B239">
            <v>41125</v>
          </cell>
          <cell r="C239" t="str">
            <v>INSS s/ Férias</v>
          </cell>
          <cell r="D239">
            <v>161375.65</v>
          </cell>
          <cell r="E239">
            <v>312880.68</v>
          </cell>
          <cell r="F239">
            <v>-22991.15</v>
          </cell>
          <cell r="G239">
            <v>451265.18</v>
          </cell>
        </row>
        <row r="240">
          <cell r="B240">
            <v>41126</v>
          </cell>
          <cell r="C240" t="str">
            <v>FGTS s/ Férias</v>
          </cell>
          <cell r="D240">
            <v>61254.82</v>
          </cell>
          <cell r="E240">
            <v>119192.92</v>
          </cell>
          <cell r="F240">
            <v>-8758.52</v>
          </cell>
          <cell r="G240">
            <v>171689.22</v>
          </cell>
        </row>
        <row r="241">
          <cell r="B241">
            <v>41127</v>
          </cell>
          <cell r="C241" t="str">
            <v>FGTS s/ 13º Salário</v>
          </cell>
          <cell r="D241">
            <v>56932.23</v>
          </cell>
          <cell r="E241">
            <v>69061.42</v>
          </cell>
          <cell r="F241">
            <v>0</v>
          </cell>
          <cell r="G241">
            <v>125993.65</v>
          </cell>
        </row>
        <row r="242">
          <cell r="B242">
            <v>4113</v>
          </cell>
          <cell r="C242" t="str">
            <v>Benefícios</v>
          </cell>
          <cell r="D242">
            <v>1449325.63</v>
          </cell>
          <cell r="E242">
            <v>1566891.06</v>
          </cell>
          <cell r="F242">
            <v>-9100.11</v>
          </cell>
          <cell r="G242">
            <v>3007116.58</v>
          </cell>
        </row>
        <row r="243">
          <cell r="B243">
            <v>41131</v>
          </cell>
          <cell r="C243" t="str">
            <v>Previdência Privada Complementar</v>
          </cell>
          <cell r="D243">
            <v>597812.68000000005</v>
          </cell>
          <cell r="E243">
            <v>687264.99</v>
          </cell>
          <cell r="F243">
            <v>-567.75</v>
          </cell>
          <cell r="G243">
            <v>1284509.92</v>
          </cell>
        </row>
        <row r="244">
          <cell r="B244">
            <v>41132</v>
          </cell>
          <cell r="C244" t="str">
            <v>Auxílio Alimentação</v>
          </cell>
          <cell r="D244">
            <v>445239.48</v>
          </cell>
          <cell r="E244">
            <v>438232.27</v>
          </cell>
          <cell r="F244">
            <v>-1293.77</v>
          </cell>
          <cell r="G244">
            <v>882177.98</v>
          </cell>
        </row>
        <row r="245">
          <cell r="B245">
            <v>41133</v>
          </cell>
          <cell r="C245" t="str">
            <v>Auxílio Transporte</v>
          </cell>
          <cell r="D245">
            <v>0</v>
          </cell>
          <cell r="E245">
            <v>4370.6400000000003</v>
          </cell>
          <cell r="F245">
            <v>-4370.6400000000003</v>
          </cell>
          <cell r="G245">
            <v>0</v>
          </cell>
        </row>
        <row r="246">
          <cell r="B246">
            <v>41135</v>
          </cell>
          <cell r="C246" t="str">
            <v>Auxílio Creche</v>
          </cell>
          <cell r="D246">
            <v>118394.83</v>
          </cell>
          <cell r="E246">
            <v>132345.35999999999</v>
          </cell>
          <cell r="F246">
            <v>-975.41</v>
          </cell>
          <cell r="G246">
            <v>249764.78</v>
          </cell>
        </row>
        <row r="247">
          <cell r="B247">
            <v>41136</v>
          </cell>
          <cell r="C247" t="str">
            <v>Assistência Médica e  Odontológica</v>
          </cell>
          <cell r="D247">
            <v>281327.40000000002</v>
          </cell>
          <cell r="E247">
            <v>298380.42</v>
          </cell>
          <cell r="F247">
            <v>-1142.4000000000001</v>
          </cell>
          <cell r="G247">
            <v>578565.42000000004</v>
          </cell>
        </row>
        <row r="248">
          <cell r="B248">
            <v>411310</v>
          </cell>
          <cell r="C248" t="str">
            <v>Vale Cultura</v>
          </cell>
          <cell r="D248">
            <v>1314</v>
          </cell>
          <cell r="E248">
            <v>1950</v>
          </cell>
          <cell r="F248">
            <v>-684</v>
          </cell>
          <cell r="G248">
            <v>2580</v>
          </cell>
        </row>
        <row r="249">
          <cell r="B249">
            <v>411311</v>
          </cell>
          <cell r="C249" t="str">
            <v>Saúde Ocupacional</v>
          </cell>
          <cell r="D249">
            <v>5237.24</v>
          </cell>
          <cell r="E249">
            <v>4347.38</v>
          </cell>
          <cell r="F249">
            <v>-66.14</v>
          </cell>
          <cell r="G249">
            <v>9518.48</v>
          </cell>
        </row>
        <row r="250">
          <cell r="B250">
            <v>413</v>
          </cell>
          <cell r="C250" t="str">
            <v>Custos c/ Serviços de Terceiros - Serv.</v>
          </cell>
          <cell r="D250">
            <v>1577392.48</v>
          </cell>
          <cell r="E250">
            <v>1800125.39</v>
          </cell>
          <cell r="F250">
            <v>-30447.52</v>
          </cell>
          <cell r="G250">
            <v>3347070.35</v>
          </cell>
        </row>
        <row r="251">
          <cell r="B251">
            <v>4131</v>
          </cell>
          <cell r="C251" t="str">
            <v>Serviços de Terceiros Nacionais</v>
          </cell>
          <cell r="D251">
            <v>1577392.48</v>
          </cell>
          <cell r="E251">
            <v>1800125.39</v>
          </cell>
          <cell r="F251">
            <v>-30447.52</v>
          </cell>
          <cell r="G251">
            <v>3347070.35</v>
          </cell>
        </row>
        <row r="252">
          <cell r="B252">
            <v>41311</v>
          </cell>
          <cell r="C252" t="str">
            <v>Serviços de Consultoria</v>
          </cell>
          <cell r="D252">
            <v>1095508.6599999999</v>
          </cell>
          <cell r="E252">
            <v>1241618.07</v>
          </cell>
          <cell r="F252">
            <v>0</v>
          </cell>
          <cell r="G252">
            <v>2337126.73</v>
          </cell>
        </row>
        <row r="253">
          <cell r="B253">
            <v>41312</v>
          </cell>
          <cell r="C253" t="str">
            <v>Serviços de Apoio Técnico e/ou Administrativo</v>
          </cell>
          <cell r="D253">
            <v>174972.58</v>
          </cell>
          <cell r="E253">
            <v>206500.42</v>
          </cell>
          <cell r="F253">
            <v>-25400.65</v>
          </cell>
          <cell r="G253">
            <v>356072.35</v>
          </cell>
        </row>
        <row r="254">
          <cell r="B254">
            <v>41313</v>
          </cell>
          <cell r="C254" t="str">
            <v>Cessão ou Requisição de Pessoal</v>
          </cell>
          <cell r="D254">
            <v>51735.89</v>
          </cell>
          <cell r="E254">
            <v>37678.6</v>
          </cell>
          <cell r="F254">
            <v>-1070.99</v>
          </cell>
          <cell r="G254">
            <v>88343.5</v>
          </cell>
        </row>
        <row r="255">
          <cell r="B255">
            <v>41315</v>
          </cell>
          <cell r="C255" t="str">
            <v>Cursos, Seminários e Convenções</v>
          </cell>
          <cell r="D255">
            <v>159720.84</v>
          </cell>
          <cell r="E255">
            <v>150072.20000000001</v>
          </cell>
          <cell r="F255">
            <v>-3975.88</v>
          </cell>
          <cell r="G255">
            <v>305817.15999999997</v>
          </cell>
        </row>
        <row r="256">
          <cell r="B256">
            <v>413114</v>
          </cell>
          <cell r="C256" t="str">
            <v>Cessão Temporária e Manutenção de Softwa</v>
          </cell>
          <cell r="D256">
            <v>29854.18</v>
          </cell>
          <cell r="E256">
            <v>86091.42</v>
          </cell>
          <cell r="F256">
            <v>0</v>
          </cell>
          <cell r="G256">
            <v>115945.60000000001</v>
          </cell>
        </row>
        <row r="257">
          <cell r="B257">
            <v>413117</v>
          </cell>
          <cell r="C257" t="str">
            <v>Custos com Estagiarios</v>
          </cell>
          <cell r="D257">
            <v>61895.24</v>
          </cell>
          <cell r="E257">
            <v>73759.460000000006</v>
          </cell>
          <cell r="F257">
            <v>0</v>
          </cell>
          <cell r="G257">
            <v>135654.70000000001</v>
          </cell>
        </row>
        <row r="258">
          <cell r="B258">
            <v>4131997</v>
          </cell>
          <cell r="C258" t="str">
            <v>Serviço Prestado PF</v>
          </cell>
          <cell r="D258">
            <v>3705.09</v>
          </cell>
          <cell r="E258">
            <v>4405.22</v>
          </cell>
          <cell r="F258">
            <v>0</v>
          </cell>
          <cell r="G258">
            <v>8110.31</v>
          </cell>
        </row>
        <row r="259">
          <cell r="B259">
            <v>414</v>
          </cell>
          <cell r="C259" t="str">
            <v>Custos c/ Tributos - Serviços</v>
          </cell>
          <cell r="D259">
            <v>79632.39</v>
          </cell>
          <cell r="E259">
            <v>70442.429999999993</v>
          </cell>
          <cell r="F259">
            <v>0</v>
          </cell>
          <cell r="G259">
            <v>150074.82</v>
          </cell>
        </row>
        <row r="260">
          <cell r="B260">
            <v>4141</v>
          </cell>
          <cell r="C260" t="str">
            <v>Impostos, Taxas e Contribuições</v>
          </cell>
          <cell r="D260">
            <v>79632.39</v>
          </cell>
          <cell r="E260">
            <v>70442.429999999993</v>
          </cell>
          <cell r="F260">
            <v>0</v>
          </cell>
          <cell r="G260">
            <v>150074.82</v>
          </cell>
        </row>
        <row r="261">
          <cell r="B261">
            <v>41412</v>
          </cell>
          <cell r="C261" t="str">
            <v>IPTU</v>
          </cell>
          <cell r="D261">
            <v>68894.23</v>
          </cell>
          <cell r="E261">
            <v>70442.429999999993</v>
          </cell>
          <cell r="F261">
            <v>0</v>
          </cell>
          <cell r="G261">
            <v>139336.66</v>
          </cell>
        </row>
        <row r="262">
          <cell r="B262">
            <v>41418</v>
          </cell>
          <cell r="C262" t="str">
            <v>Taxas Estaduais</v>
          </cell>
          <cell r="D262">
            <v>10738.16</v>
          </cell>
          <cell r="E262">
            <v>0</v>
          </cell>
          <cell r="F262">
            <v>0</v>
          </cell>
          <cell r="G262">
            <v>10738.16</v>
          </cell>
        </row>
        <row r="263">
          <cell r="B263">
            <v>416</v>
          </cell>
          <cell r="C263" t="str">
            <v>Custos Gerais - Serviços</v>
          </cell>
          <cell r="D263">
            <v>1569804.33</v>
          </cell>
          <cell r="E263">
            <v>2115060.63</v>
          </cell>
          <cell r="F263">
            <v>-5440.8</v>
          </cell>
          <cell r="G263">
            <v>3679424.16</v>
          </cell>
        </row>
        <row r="264">
          <cell r="B264">
            <v>4161</v>
          </cell>
          <cell r="C264" t="str">
            <v>Custos de Funcionamento das Instalações</v>
          </cell>
          <cell r="D264">
            <v>940764.58</v>
          </cell>
          <cell r="E264">
            <v>1053073.1399999999</v>
          </cell>
          <cell r="F264">
            <v>-1625.58</v>
          </cell>
          <cell r="G264">
            <v>1992212.14</v>
          </cell>
        </row>
        <row r="265">
          <cell r="B265">
            <v>41611</v>
          </cell>
          <cell r="C265" t="str">
            <v>Aluguéis</v>
          </cell>
          <cell r="D265">
            <v>437493.66</v>
          </cell>
          <cell r="E265">
            <v>437493.66</v>
          </cell>
          <cell r="F265">
            <v>0</v>
          </cell>
          <cell r="G265">
            <v>874987.32</v>
          </cell>
        </row>
        <row r="266">
          <cell r="B266">
            <v>41614</v>
          </cell>
          <cell r="C266" t="str">
            <v>Energia Elétrica</v>
          </cell>
          <cell r="D266">
            <v>137416.79999999999</v>
          </cell>
          <cell r="E266">
            <v>183541.64</v>
          </cell>
          <cell r="F266">
            <v>0</v>
          </cell>
          <cell r="G266">
            <v>320958.44</v>
          </cell>
        </row>
        <row r="267">
          <cell r="B267">
            <v>41616</v>
          </cell>
          <cell r="C267" t="str">
            <v>Telecomunicações</v>
          </cell>
          <cell r="D267">
            <v>5967.83</v>
          </cell>
          <cell r="E267">
            <v>11764.2</v>
          </cell>
          <cell r="F267">
            <v>-1625.58</v>
          </cell>
          <cell r="G267">
            <v>16106.45</v>
          </cell>
        </row>
        <row r="268">
          <cell r="B268">
            <v>416110</v>
          </cell>
          <cell r="C268" t="str">
            <v>Conduções e Lanches</v>
          </cell>
          <cell r="D268">
            <v>0</v>
          </cell>
          <cell r="E268">
            <v>52.87</v>
          </cell>
          <cell r="F268">
            <v>0</v>
          </cell>
          <cell r="G268">
            <v>52.87</v>
          </cell>
        </row>
        <row r="269">
          <cell r="B269">
            <v>416112</v>
          </cell>
          <cell r="C269" t="str">
            <v>Alugueis de Móveis, Máquinas e Equip.</v>
          </cell>
          <cell r="D269">
            <v>1060.0999999999999</v>
          </cell>
          <cell r="E269">
            <v>1060.1099999999999</v>
          </cell>
          <cell r="F269">
            <v>0</v>
          </cell>
          <cell r="G269">
            <v>2120.21</v>
          </cell>
        </row>
        <row r="270">
          <cell r="B270">
            <v>416114</v>
          </cell>
          <cell r="C270" t="str">
            <v>Serviço de Limpeza e Higiene</v>
          </cell>
          <cell r="D270">
            <v>87676.76</v>
          </cell>
          <cell r="E270">
            <v>117538.44</v>
          </cell>
          <cell r="F270">
            <v>0</v>
          </cell>
          <cell r="G270">
            <v>205215.2</v>
          </cell>
        </row>
        <row r="271">
          <cell r="B271">
            <v>416115</v>
          </cell>
          <cell r="C271" t="str">
            <v>Serviços Gerais</v>
          </cell>
          <cell r="D271">
            <v>57613.440000000002</v>
          </cell>
          <cell r="E271">
            <v>82763.77</v>
          </cell>
          <cell r="F271">
            <v>0</v>
          </cell>
          <cell r="G271">
            <v>140377.21</v>
          </cell>
        </row>
        <row r="272">
          <cell r="B272">
            <v>416116</v>
          </cell>
          <cell r="C272" t="str">
            <v>Condomínios</v>
          </cell>
          <cell r="D272">
            <v>213535.99</v>
          </cell>
          <cell r="E272">
            <v>218858.45</v>
          </cell>
          <cell r="F272">
            <v>0</v>
          </cell>
          <cell r="G272">
            <v>432394.44</v>
          </cell>
        </row>
        <row r="273">
          <cell r="B273">
            <v>4162</v>
          </cell>
          <cell r="C273" t="str">
            <v>Custos Gerais da Administração</v>
          </cell>
          <cell r="D273">
            <v>629039.75</v>
          </cell>
          <cell r="E273">
            <v>1061987.49</v>
          </cell>
          <cell r="F273">
            <v>-3815.22</v>
          </cell>
          <cell r="G273">
            <v>1687212.02</v>
          </cell>
        </row>
        <row r="274">
          <cell r="B274">
            <v>41621</v>
          </cell>
          <cell r="C274" t="str">
            <v>Honorários da Diretoria</v>
          </cell>
          <cell r="D274">
            <v>212412.99</v>
          </cell>
          <cell r="E274">
            <v>243759.65</v>
          </cell>
          <cell r="F274">
            <v>0</v>
          </cell>
          <cell r="G274">
            <v>456172.64</v>
          </cell>
        </row>
        <row r="275">
          <cell r="B275">
            <v>41622</v>
          </cell>
          <cell r="C275" t="str">
            <v>Honorários Conselhos de Adm. e Fiscal</v>
          </cell>
          <cell r="D275">
            <v>0</v>
          </cell>
          <cell r="E275">
            <v>3815.22</v>
          </cell>
          <cell r="F275">
            <v>-3815.22</v>
          </cell>
          <cell r="G275">
            <v>0</v>
          </cell>
        </row>
        <row r="276">
          <cell r="B276">
            <v>41624</v>
          </cell>
          <cell r="C276" t="str">
            <v>Custos de Viagens - Passagens Aéreas</v>
          </cell>
          <cell r="D276">
            <v>28513.279999999999</v>
          </cell>
          <cell r="E276">
            <v>230585.16</v>
          </cell>
          <cell r="F276">
            <v>0</v>
          </cell>
          <cell r="G276">
            <v>259098.44</v>
          </cell>
        </row>
        <row r="277">
          <cell r="B277">
            <v>41625</v>
          </cell>
          <cell r="C277" t="str">
            <v>Custos de Viagens - Hospedagens</v>
          </cell>
          <cell r="D277">
            <v>1253.04</v>
          </cell>
          <cell r="E277">
            <v>0</v>
          </cell>
          <cell r="F277">
            <v>0</v>
          </cell>
          <cell r="G277">
            <v>1253.04</v>
          </cell>
        </row>
        <row r="278">
          <cell r="B278">
            <v>41626</v>
          </cell>
          <cell r="C278" t="str">
            <v>Custos de Viagens - Outros</v>
          </cell>
          <cell r="D278">
            <v>3187.89</v>
          </cell>
          <cell r="E278">
            <v>92414.26</v>
          </cell>
          <cell r="F278">
            <v>0</v>
          </cell>
          <cell r="G278">
            <v>95602.15</v>
          </cell>
        </row>
        <row r="279">
          <cell r="B279">
            <v>41627</v>
          </cell>
          <cell r="C279" t="str">
            <v>Assinatura Banco de Dados e Portais</v>
          </cell>
          <cell r="D279">
            <v>330971.86</v>
          </cell>
          <cell r="E279">
            <v>386542.92</v>
          </cell>
          <cell r="F279">
            <v>0</v>
          </cell>
          <cell r="G279">
            <v>717514.78</v>
          </cell>
        </row>
        <row r="280">
          <cell r="B280">
            <v>416210</v>
          </cell>
          <cell r="C280" t="str">
            <v>Custo de Viagem ao Exterior</v>
          </cell>
          <cell r="D280">
            <v>52700.69</v>
          </cell>
          <cell r="E280">
            <v>104870.28</v>
          </cell>
          <cell r="F280">
            <v>0</v>
          </cell>
          <cell r="G280">
            <v>157570.97</v>
          </cell>
        </row>
        <row r="281">
          <cell r="B281">
            <v>42</v>
          </cell>
          <cell r="C281" t="str">
            <v>Despesas</v>
          </cell>
          <cell r="D281">
            <v>10234649.210000001</v>
          </cell>
          <cell r="E281">
            <v>12423067.689999999</v>
          </cell>
          <cell r="F281">
            <v>-1166239.21</v>
          </cell>
          <cell r="G281">
            <v>21491477.690000001</v>
          </cell>
        </row>
        <row r="282">
          <cell r="B282">
            <v>421</v>
          </cell>
          <cell r="C282" t="str">
            <v>Despesas com Pessoal</v>
          </cell>
          <cell r="D282">
            <v>5818575.9800000004</v>
          </cell>
          <cell r="E282">
            <v>6991231.2000000002</v>
          </cell>
          <cell r="F282">
            <v>-60314.73</v>
          </cell>
          <cell r="G282">
            <v>12749492.449999999</v>
          </cell>
        </row>
        <row r="283">
          <cell r="B283">
            <v>4211</v>
          </cell>
          <cell r="C283" t="str">
            <v>Remunerações</v>
          </cell>
          <cell r="D283">
            <v>3987790.15</v>
          </cell>
          <cell r="E283">
            <v>4815144.7</v>
          </cell>
          <cell r="F283">
            <v>-39229.07</v>
          </cell>
          <cell r="G283">
            <v>8763705.7799999993</v>
          </cell>
        </row>
        <row r="284">
          <cell r="B284">
            <v>42111</v>
          </cell>
          <cell r="C284" t="str">
            <v>Salários</v>
          </cell>
          <cell r="D284">
            <v>3276477.31</v>
          </cell>
          <cell r="E284">
            <v>3736418.22</v>
          </cell>
          <cell r="F284">
            <v>-13.19</v>
          </cell>
          <cell r="G284">
            <v>7012882.3399999999</v>
          </cell>
        </row>
        <row r="285">
          <cell r="B285">
            <v>42117</v>
          </cell>
          <cell r="C285" t="str">
            <v>Provisão de Férias e Encargos Sociais</v>
          </cell>
          <cell r="D285">
            <v>322118.14</v>
          </cell>
          <cell r="E285">
            <v>649676.03</v>
          </cell>
          <cell r="F285">
            <v>-39215.879999999997</v>
          </cell>
          <cell r="G285">
            <v>932578.29</v>
          </cell>
        </row>
        <row r="286">
          <cell r="B286">
            <v>42118</v>
          </cell>
          <cell r="C286" t="str">
            <v>Abono Pecuniário de Férias</v>
          </cell>
          <cell r="D286">
            <v>84904.12</v>
          </cell>
          <cell r="E286">
            <v>44272.81</v>
          </cell>
          <cell r="F286">
            <v>0</v>
          </cell>
          <cell r="G286">
            <v>129176.93</v>
          </cell>
        </row>
        <row r="287">
          <cell r="B287">
            <v>42119</v>
          </cell>
          <cell r="C287" t="str">
            <v>Provisão de 13º Salários e Encargos</v>
          </cell>
          <cell r="D287">
            <v>304290.58</v>
          </cell>
          <cell r="E287">
            <v>363863.66</v>
          </cell>
          <cell r="F287">
            <v>0</v>
          </cell>
          <cell r="G287">
            <v>668154.24</v>
          </cell>
        </row>
        <row r="288">
          <cell r="B288">
            <v>421110</v>
          </cell>
          <cell r="C288" t="str">
            <v>Salario Maternidade - Prorrogação</v>
          </cell>
          <cell r="D288">
            <v>0</v>
          </cell>
          <cell r="E288">
            <v>20913.98</v>
          </cell>
          <cell r="F288">
            <v>0</v>
          </cell>
          <cell r="G288">
            <v>20913.98</v>
          </cell>
        </row>
        <row r="289">
          <cell r="B289">
            <v>4212</v>
          </cell>
          <cell r="C289" t="str">
            <v>Encargos Sociais</v>
          </cell>
          <cell r="D289">
            <v>1186323.58</v>
          </cell>
          <cell r="E289">
            <v>1461431.95</v>
          </cell>
          <cell r="F289">
            <v>-12685.78</v>
          </cell>
          <cell r="G289">
            <v>2635069.75</v>
          </cell>
        </row>
        <row r="290">
          <cell r="B290">
            <v>42121</v>
          </cell>
          <cell r="C290" t="str">
            <v>INSS</v>
          </cell>
          <cell r="D290">
            <v>732468.62</v>
          </cell>
          <cell r="E290">
            <v>848710.63</v>
          </cell>
          <cell r="F290">
            <v>0</v>
          </cell>
          <cell r="G290">
            <v>1581179.25</v>
          </cell>
        </row>
        <row r="291">
          <cell r="B291">
            <v>42122</v>
          </cell>
          <cell r="C291" t="str">
            <v>FGTS</v>
          </cell>
          <cell r="D291">
            <v>275871.73</v>
          </cell>
          <cell r="E291">
            <v>321552.27</v>
          </cell>
          <cell r="F291">
            <v>-213.29</v>
          </cell>
          <cell r="G291">
            <v>597210.71</v>
          </cell>
        </row>
        <row r="292">
          <cell r="B292">
            <v>42124</v>
          </cell>
          <cell r="C292" t="str">
            <v>INSS s/ 13º Salário</v>
          </cell>
          <cell r="D292">
            <v>62690.879999999997</v>
          </cell>
          <cell r="E292">
            <v>74923.72</v>
          </cell>
          <cell r="F292">
            <v>0</v>
          </cell>
          <cell r="G292">
            <v>137614.6</v>
          </cell>
        </row>
        <row r="293">
          <cell r="B293">
            <v>42125</v>
          </cell>
          <cell r="C293" t="str">
            <v>INSS s/ Férias</v>
          </cell>
          <cell r="D293">
            <v>66032.789999999994</v>
          </cell>
          <cell r="E293">
            <v>136002.09</v>
          </cell>
          <cell r="F293">
            <v>-9031.7999999999993</v>
          </cell>
          <cell r="G293">
            <v>193003.08</v>
          </cell>
        </row>
        <row r="294">
          <cell r="B294">
            <v>42126</v>
          </cell>
          <cell r="C294" t="str">
            <v>FGTS s/ Férias</v>
          </cell>
          <cell r="D294">
            <v>25376.87</v>
          </cell>
          <cell r="E294">
            <v>51683.07</v>
          </cell>
          <cell r="F294">
            <v>-3440.69</v>
          </cell>
          <cell r="G294">
            <v>73619.25</v>
          </cell>
        </row>
        <row r="295">
          <cell r="B295">
            <v>42127</v>
          </cell>
          <cell r="C295" t="str">
            <v>FGTS s/ 13º Salário</v>
          </cell>
          <cell r="D295">
            <v>23882.69</v>
          </cell>
          <cell r="E295">
            <v>28560.17</v>
          </cell>
          <cell r="F295">
            <v>0</v>
          </cell>
          <cell r="G295">
            <v>52442.86</v>
          </cell>
        </row>
        <row r="296">
          <cell r="B296">
            <v>4213</v>
          </cell>
          <cell r="C296" t="str">
            <v>Benefícios</v>
          </cell>
          <cell r="D296">
            <v>644462.25</v>
          </cell>
          <cell r="E296">
            <v>714654.55</v>
          </cell>
          <cell r="F296">
            <v>-8399.8799999999992</v>
          </cell>
          <cell r="G296">
            <v>1350716.92</v>
          </cell>
        </row>
        <row r="297">
          <cell r="B297">
            <v>42131</v>
          </cell>
          <cell r="C297" t="str">
            <v>Previdência Privada Complementar</v>
          </cell>
          <cell r="D297">
            <v>267152.98</v>
          </cell>
          <cell r="E297">
            <v>312243.19</v>
          </cell>
          <cell r="F297">
            <v>0</v>
          </cell>
          <cell r="G297">
            <v>579396.17000000004</v>
          </cell>
        </row>
        <row r="298">
          <cell r="B298">
            <v>42132</v>
          </cell>
          <cell r="C298" t="str">
            <v>Auxílio Alimentação</v>
          </cell>
          <cell r="D298">
            <v>202659.04</v>
          </cell>
          <cell r="E298">
            <v>201831.88</v>
          </cell>
          <cell r="F298">
            <v>0</v>
          </cell>
          <cell r="G298">
            <v>404490.92</v>
          </cell>
        </row>
        <row r="299">
          <cell r="B299">
            <v>42133</v>
          </cell>
          <cell r="C299" t="str">
            <v>Auxílio Transporte</v>
          </cell>
          <cell r="D299">
            <v>0</v>
          </cell>
          <cell r="E299">
            <v>17455.16</v>
          </cell>
          <cell r="F299">
            <v>-7297.29</v>
          </cell>
          <cell r="G299">
            <v>10157.870000000001</v>
          </cell>
        </row>
        <row r="300">
          <cell r="B300">
            <v>42134</v>
          </cell>
          <cell r="C300" t="str">
            <v>Auxílio Moradia</v>
          </cell>
          <cell r="D300">
            <v>11700</v>
          </cell>
          <cell r="E300">
            <v>11700</v>
          </cell>
          <cell r="F300">
            <v>0</v>
          </cell>
          <cell r="G300">
            <v>23400</v>
          </cell>
        </row>
        <row r="301">
          <cell r="B301">
            <v>42135</v>
          </cell>
          <cell r="C301" t="str">
            <v>Auxílio Creche</v>
          </cell>
          <cell r="D301">
            <v>37068.93</v>
          </cell>
          <cell r="E301">
            <v>37906.910000000003</v>
          </cell>
          <cell r="F301">
            <v>-650.27</v>
          </cell>
          <cell r="G301">
            <v>74325.570000000007</v>
          </cell>
        </row>
        <row r="302">
          <cell r="B302">
            <v>42136</v>
          </cell>
          <cell r="C302" t="str">
            <v>Assistência Médica e  Odontológica</v>
          </cell>
          <cell r="D302">
            <v>113474.99</v>
          </cell>
          <cell r="E302">
            <v>121068.39</v>
          </cell>
          <cell r="F302">
            <v>0</v>
          </cell>
          <cell r="G302">
            <v>234543.38</v>
          </cell>
        </row>
        <row r="303">
          <cell r="B303">
            <v>421310</v>
          </cell>
          <cell r="C303" t="str">
            <v>Vale Cultura</v>
          </cell>
          <cell r="D303">
            <v>1989</v>
          </cell>
          <cell r="E303">
            <v>2400</v>
          </cell>
          <cell r="F303">
            <v>-425</v>
          </cell>
          <cell r="G303">
            <v>3964</v>
          </cell>
        </row>
        <row r="304">
          <cell r="B304">
            <v>421311</v>
          </cell>
          <cell r="C304" t="str">
            <v>Saúde Ocupacional</v>
          </cell>
          <cell r="D304">
            <v>10417.31</v>
          </cell>
          <cell r="E304">
            <v>10049.02</v>
          </cell>
          <cell r="F304">
            <v>-27.32</v>
          </cell>
          <cell r="G304">
            <v>20439.009999999998</v>
          </cell>
        </row>
        <row r="305">
          <cell r="B305">
            <v>422</v>
          </cell>
          <cell r="C305" t="str">
            <v>Despesas Com Materiais</v>
          </cell>
          <cell r="D305">
            <v>7666.05</v>
          </cell>
          <cell r="E305">
            <v>150636.64000000001</v>
          </cell>
          <cell r="F305">
            <v>-44940</v>
          </cell>
          <cell r="G305">
            <v>113362.69</v>
          </cell>
        </row>
        <row r="306">
          <cell r="B306">
            <v>4221</v>
          </cell>
          <cell r="C306" t="str">
            <v>Despesas com Materiais Nacionais</v>
          </cell>
          <cell r="D306">
            <v>7666.05</v>
          </cell>
          <cell r="E306">
            <v>150636.64000000001</v>
          </cell>
          <cell r="F306">
            <v>-44940</v>
          </cell>
          <cell r="G306">
            <v>113362.69</v>
          </cell>
        </row>
        <row r="307">
          <cell r="B307">
            <v>42211</v>
          </cell>
          <cell r="C307" t="str">
            <v>Materiais Adm. e de Expediente</v>
          </cell>
          <cell r="D307">
            <v>5598.05</v>
          </cell>
          <cell r="E307">
            <v>150636.64000000001</v>
          </cell>
          <cell r="F307">
            <v>-44940</v>
          </cell>
          <cell r="G307">
            <v>111294.69</v>
          </cell>
        </row>
        <row r="308">
          <cell r="B308">
            <v>42213</v>
          </cell>
          <cell r="C308" t="str">
            <v>Materiais e Equipamentos</v>
          </cell>
          <cell r="D308">
            <v>2068</v>
          </cell>
          <cell r="E308">
            <v>0</v>
          </cell>
          <cell r="F308">
            <v>0</v>
          </cell>
          <cell r="G308">
            <v>2068</v>
          </cell>
        </row>
        <row r="309">
          <cell r="B309">
            <v>423</v>
          </cell>
          <cell r="C309" t="str">
            <v>Desp.c/Serv. de Terceiros</v>
          </cell>
          <cell r="D309">
            <v>895735.95</v>
          </cell>
          <cell r="E309">
            <v>1583609.88</v>
          </cell>
          <cell r="F309">
            <v>-260276.26</v>
          </cell>
          <cell r="G309">
            <v>2219069.5699999998</v>
          </cell>
        </row>
        <row r="310">
          <cell r="B310">
            <v>4231</v>
          </cell>
          <cell r="C310" t="str">
            <v>Desp.c/Serv. de Terceiros - Nacionais</v>
          </cell>
          <cell r="D310">
            <v>895735.95</v>
          </cell>
          <cell r="E310">
            <v>1583609.88</v>
          </cell>
          <cell r="F310">
            <v>-260276.26</v>
          </cell>
          <cell r="G310">
            <v>2219069.5699999998</v>
          </cell>
        </row>
        <row r="311">
          <cell r="B311">
            <v>42311</v>
          </cell>
          <cell r="C311" t="str">
            <v>Serviços de Consultoria</v>
          </cell>
          <cell r="D311">
            <v>9921</v>
          </cell>
          <cell r="E311">
            <v>239275</v>
          </cell>
          <cell r="F311">
            <v>0</v>
          </cell>
          <cell r="G311">
            <v>249196</v>
          </cell>
        </row>
        <row r="312">
          <cell r="B312">
            <v>42312</v>
          </cell>
          <cell r="C312" t="str">
            <v>Serviços de Apoio Técnico e/ou Administrativo</v>
          </cell>
          <cell r="D312">
            <v>333343.24</v>
          </cell>
          <cell r="E312">
            <v>490431.88</v>
          </cell>
          <cell r="F312">
            <v>-50787.26</v>
          </cell>
          <cell r="G312">
            <v>772987.86</v>
          </cell>
        </row>
        <row r="313">
          <cell r="B313">
            <v>42313</v>
          </cell>
          <cell r="C313" t="str">
            <v>Cessão ou Requisição de Pessoal</v>
          </cell>
          <cell r="D313">
            <v>79548.39</v>
          </cell>
          <cell r="E313">
            <v>73210.59</v>
          </cell>
          <cell r="F313">
            <v>0</v>
          </cell>
          <cell r="G313">
            <v>152758.98000000001</v>
          </cell>
        </row>
        <row r="314">
          <cell r="B314">
            <v>42315</v>
          </cell>
          <cell r="C314" t="str">
            <v>Cursos, Seminários e Convenções</v>
          </cell>
          <cell r="D314">
            <v>37540.82</v>
          </cell>
          <cell r="E314">
            <v>136051.01</v>
          </cell>
          <cell r="F314">
            <v>0</v>
          </cell>
          <cell r="G314">
            <v>173591.83</v>
          </cell>
        </row>
        <row r="315">
          <cell r="B315">
            <v>42316</v>
          </cell>
          <cell r="C315" t="str">
            <v>Serviços de Processamentos de Dados</v>
          </cell>
          <cell r="D315">
            <v>97533.89</v>
          </cell>
          <cell r="E315">
            <v>99315.63</v>
          </cell>
          <cell r="F315">
            <v>0</v>
          </cell>
          <cell r="G315">
            <v>196849.52</v>
          </cell>
        </row>
        <row r="316">
          <cell r="B316">
            <v>42317</v>
          </cell>
          <cell r="C316" t="str">
            <v>Serviços Manut. Equipamentos Informática</v>
          </cell>
          <cell r="D316">
            <v>187603.05</v>
          </cell>
          <cell r="E316">
            <v>192673.35</v>
          </cell>
          <cell r="F316">
            <v>-208600</v>
          </cell>
          <cell r="G316">
            <v>171676.4</v>
          </cell>
        </row>
        <row r="317">
          <cell r="B317">
            <v>42318</v>
          </cell>
          <cell r="C317" t="str">
            <v>Serv. Tributários e Auditoria</v>
          </cell>
          <cell r="D317">
            <v>46604.99</v>
          </cell>
          <cell r="E317">
            <v>57666.34</v>
          </cell>
          <cell r="F317">
            <v>0</v>
          </cell>
          <cell r="G317">
            <v>104271.33</v>
          </cell>
        </row>
        <row r="318">
          <cell r="B318">
            <v>423111</v>
          </cell>
          <cell r="C318" t="str">
            <v>Serviços de Reforma das Instalações</v>
          </cell>
          <cell r="D318">
            <v>0</v>
          </cell>
          <cell r="E318">
            <v>11753.5</v>
          </cell>
          <cell r="F318">
            <v>0</v>
          </cell>
          <cell r="G318">
            <v>11753.5</v>
          </cell>
        </row>
        <row r="319">
          <cell r="B319">
            <v>423114</v>
          </cell>
          <cell r="C319" t="str">
            <v>Cessão Temporária e Manut. de Software</v>
          </cell>
          <cell r="D319">
            <v>51807.46</v>
          </cell>
          <cell r="E319">
            <v>213466.66</v>
          </cell>
          <cell r="F319">
            <v>-889</v>
          </cell>
          <cell r="G319">
            <v>264385.12</v>
          </cell>
        </row>
        <row r="320">
          <cell r="B320">
            <v>423117</v>
          </cell>
          <cell r="C320" t="str">
            <v>Despesas com Estagiarios</v>
          </cell>
          <cell r="D320">
            <v>42472.26</v>
          </cell>
          <cell r="E320">
            <v>60969.11</v>
          </cell>
          <cell r="F320">
            <v>0</v>
          </cell>
          <cell r="G320">
            <v>103441.37</v>
          </cell>
        </row>
        <row r="321">
          <cell r="B321">
            <v>423119</v>
          </cell>
          <cell r="C321" t="str">
            <v>Despesas com Jovem Aprendiz</v>
          </cell>
          <cell r="D321">
            <v>9360.85</v>
          </cell>
          <cell r="E321">
            <v>8796.81</v>
          </cell>
          <cell r="F321">
            <v>0</v>
          </cell>
          <cell r="G321">
            <v>18157.66</v>
          </cell>
        </row>
        <row r="322">
          <cell r="B322">
            <v>424</v>
          </cell>
          <cell r="C322" t="str">
            <v>Desp.c/Tributos</v>
          </cell>
          <cell r="D322">
            <v>73644.539999999994</v>
          </cell>
          <cell r="E322">
            <v>374519.21</v>
          </cell>
          <cell r="F322">
            <v>0</v>
          </cell>
          <cell r="G322">
            <v>448163.75</v>
          </cell>
        </row>
        <row r="323">
          <cell r="B323">
            <v>4241</v>
          </cell>
          <cell r="C323" t="str">
            <v>Desp.c/Tributos-Imp.,Txs e Contribuições</v>
          </cell>
          <cell r="D323">
            <v>73644.539999999994</v>
          </cell>
          <cell r="E323">
            <v>374519.21</v>
          </cell>
          <cell r="F323">
            <v>0</v>
          </cell>
          <cell r="G323">
            <v>448163.75</v>
          </cell>
        </row>
        <row r="324">
          <cell r="B324">
            <v>42412</v>
          </cell>
          <cell r="C324" t="str">
            <v>IPTU</v>
          </cell>
          <cell r="D324">
            <v>28510.32</v>
          </cell>
          <cell r="E324">
            <v>29151</v>
          </cell>
          <cell r="F324">
            <v>0</v>
          </cell>
          <cell r="G324">
            <v>57661.32</v>
          </cell>
        </row>
        <row r="325">
          <cell r="B325">
            <v>42415</v>
          </cell>
          <cell r="C325" t="str">
            <v>PIS s/ Outras Receitas</v>
          </cell>
          <cell r="D325">
            <v>6899.04</v>
          </cell>
          <cell r="E325">
            <v>59834.25</v>
          </cell>
          <cell r="F325">
            <v>0</v>
          </cell>
          <cell r="G325">
            <v>66733.289999999994</v>
          </cell>
        </row>
        <row r="326">
          <cell r="B326">
            <v>42416</v>
          </cell>
          <cell r="C326" t="str">
            <v>COFINS s/ outras Receitas</v>
          </cell>
          <cell r="D326">
            <v>32948.879999999997</v>
          </cell>
          <cell r="E326">
            <v>281645.31</v>
          </cell>
          <cell r="F326">
            <v>0</v>
          </cell>
          <cell r="G326">
            <v>314594.19</v>
          </cell>
        </row>
        <row r="327">
          <cell r="B327">
            <v>42418</v>
          </cell>
          <cell r="C327" t="str">
            <v>Outros Impostos e Taxas</v>
          </cell>
          <cell r="D327">
            <v>317.56</v>
          </cell>
          <cell r="E327">
            <v>0</v>
          </cell>
          <cell r="F327">
            <v>0</v>
          </cell>
          <cell r="G327">
            <v>317.56</v>
          </cell>
        </row>
        <row r="328">
          <cell r="B328">
            <v>424112</v>
          </cell>
          <cell r="C328" t="str">
            <v>Taxas Estaduais</v>
          </cell>
          <cell r="D328">
            <v>4968.74</v>
          </cell>
          <cell r="E328">
            <v>3888.65</v>
          </cell>
          <cell r="F328">
            <v>0</v>
          </cell>
          <cell r="G328">
            <v>8857.39</v>
          </cell>
        </row>
        <row r="329">
          <cell r="B329">
            <v>425</v>
          </cell>
          <cell r="C329" t="str">
            <v>Despesas com Provisôes</v>
          </cell>
          <cell r="D329">
            <v>758501.97</v>
          </cell>
          <cell r="E329">
            <v>355974.46</v>
          </cell>
          <cell r="F329">
            <v>-799965.06</v>
          </cell>
          <cell r="G329">
            <v>314511.37</v>
          </cell>
        </row>
        <row r="330">
          <cell r="B330">
            <v>4251</v>
          </cell>
          <cell r="C330" t="str">
            <v>Imposto de Renda</v>
          </cell>
          <cell r="D330">
            <v>414622.83</v>
          </cell>
          <cell r="E330">
            <v>253821.66</v>
          </cell>
          <cell r="F330">
            <v>-597612.79</v>
          </cell>
          <cell r="G330">
            <v>70831.7</v>
          </cell>
        </row>
        <row r="331">
          <cell r="B331">
            <v>42511</v>
          </cell>
          <cell r="C331" t="str">
            <v>Provisão p/ IRPJ</v>
          </cell>
          <cell r="D331">
            <v>414622.83</v>
          </cell>
          <cell r="E331">
            <v>253821.66</v>
          </cell>
          <cell r="F331">
            <v>-597612.79</v>
          </cell>
          <cell r="G331">
            <v>70831.7</v>
          </cell>
        </row>
        <row r="332">
          <cell r="B332">
            <v>4252</v>
          </cell>
          <cell r="C332" t="str">
            <v>Contribuição Social s/ Lucro Líquido</v>
          </cell>
          <cell r="D332">
            <v>165366.48000000001</v>
          </cell>
          <cell r="E332">
            <v>102152.8</v>
          </cell>
          <cell r="F332">
            <v>-202352.27</v>
          </cell>
          <cell r="G332">
            <v>65167.01</v>
          </cell>
        </row>
        <row r="333">
          <cell r="B333">
            <v>42521</v>
          </cell>
          <cell r="C333" t="str">
            <v>Provisão p/ CSLL</v>
          </cell>
          <cell r="D333">
            <v>165366.48000000001</v>
          </cell>
          <cell r="E333">
            <v>102152.8</v>
          </cell>
          <cell r="F333">
            <v>-202352.27</v>
          </cell>
          <cell r="G333">
            <v>65167.01</v>
          </cell>
        </row>
        <row r="334">
          <cell r="B334">
            <v>4254</v>
          </cell>
          <cell r="C334" t="str">
            <v>Despesas c/ Provisões - p/ Contingências</v>
          </cell>
          <cell r="D334">
            <v>178512.66</v>
          </cell>
          <cell r="E334">
            <v>0</v>
          </cell>
          <cell r="F334">
            <v>0</v>
          </cell>
          <cell r="G334">
            <v>178512.66</v>
          </cell>
        </row>
        <row r="335">
          <cell r="B335">
            <v>42541</v>
          </cell>
          <cell r="C335" t="str">
            <v>Provisões p/ Contingências Trabalhistas</v>
          </cell>
          <cell r="D335">
            <v>178512.66</v>
          </cell>
          <cell r="E335">
            <v>0</v>
          </cell>
          <cell r="F335">
            <v>0</v>
          </cell>
          <cell r="G335">
            <v>178512.66</v>
          </cell>
        </row>
        <row r="336">
          <cell r="B336">
            <v>426</v>
          </cell>
          <cell r="C336" t="str">
            <v>Despesas Gerais</v>
          </cell>
          <cell r="D336">
            <v>2096532.73</v>
          </cell>
          <cell r="E336">
            <v>2199181.31</v>
          </cell>
          <cell r="F336">
            <v>-672.71</v>
          </cell>
          <cell r="G336">
            <v>4295041.33</v>
          </cell>
        </row>
        <row r="337">
          <cell r="B337">
            <v>4261</v>
          </cell>
          <cell r="C337" t="str">
            <v>Desp. Gerais Funcionamento Instalações</v>
          </cell>
          <cell r="D337">
            <v>1199845.7</v>
          </cell>
          <cell r="E337">
            <v>1185244.43</v>
          </cell>
          <cell r="F337">
            <v>-672.71</v>
          </cell>
          <cell r="G337">
            <v>2384417.42</v>
          </cell>
        </row>
        <row r="338">
          <cell r="B338">
            <v>42611</v>
          </cell>
          <cell r="C338" t="str">
            <v>Aluguéis</v>
          </cell>
          <cell r="D338">
            <v>184305.51</v>
          </cell>
          <cell r="E338">
            <v>184416.25</v>
          </cell>
          <cell r="F338">
            <v>0</v>
          </cell>
          <cell r="G338">
            <v>368721.76</v>
          </cell>
        </row>
        <row r="339">
          <cell r="B339">
            <v>42613</v>
          </cell>
          <cell r="C339" t="str">
            <v>Manutenção e Reparos</v>
          </cell>
          <cell r="D339">
            <v>64315</v>
          </cell>
          <cell r="E339">
            <v>8400</v>
          </cell>
          <cell r="F339">
            <v>0</v>
          </cell>
          <cell r="G339">
            <v>72715</v>
          </cell>
        </row>
        <row r="340">
          <cell r="B340">
            <v>42614</v>
          </cell>
          <cell r="C340" t="str">
            <v>Energia Elétrica</v>
          </cell>
          <cell r="D340">
            <v>55866.17</v>
          </cell>
          <cell r="E340">
            <v>75954.8</v>
          </cell>
          <cell r="F340">
            <v>0</v>
          </cell>
          <cell r="G340">
            <v>131820.97</v>
          </cell>
        </row>
        <row r="341">
          <cell r="B341">
            <v>42616</v>
          </cell>
          <cell r="C341" t="str">
            <v>Telecomunicações</v>
          </cell>
          <cell r="D341">
            <v>2469.66</v>
          </cell>
          <cell r="E341">
            <v>5260.3</v>
          </cell>
          <cell r="F341">
            <v>-672.71</v>
          </cell>
          <cell r="G341">
            <v>7057.25</v>
          </cell>
        </row>
        <row r="342">
          <cell r="B342">
            <v>42617</v>
          </cell>
          <cell r="C342" t="str">
            <v>Correios e Malotes</v>
          </cell>
          <cell r="D342">
            <v>656.7</v>
          </cell>
          <cell r="E342">
            <v>0</v>
          </cell>
          <cell r="F342">
            <v>0</v>
          </cell>
          <cell r="G342">
            <v>656.7</v>
          </cell>
        </row>
        <row r="343">
          <cell r="B343">
            <v>42618</v>
          </cell>
          <cell r="C343" t="str">
            <v>Reproduções</v>
          </cell>
          <cell r="D343">
            <v>9204.7000000000007</v>
          </cell>
          <cell r="E343">
            <v>0</v>
          </cell>
          <cell r="F343">
            <v>0</v>
          </cell>
          <cell r="G343">
            <v>9204.7000000000007</v>
          </cell>
        </row>
        <row r="344">
          <cell r="B344">
            <v>426111</v>
          </cell>
          <cell r="C344" t="str">
            <v>Depreciação e Amortização</v>
          </cell>
          <cell r="D344">
            <v>734098.65</v>
          </cell>
          <cell r="E344">
            <v>737314.28</v>
          </cell>
          <cell r="F344">
            <v>0</v>
          </cell>
          <cell r="G344">
            <v>1471412.93</v>
          </cell>
        </row>
        <row r="345">
          <cell r="B345">
            <v>426112</v>
          </cell>
          <cell r="C345" t="str">
            <v>Alugueis de Móveis, Máquinas e Equip.</v>
          </cell>
          <cell r="D345">
            <v>438.7</v>
          </cell>
          <cell r="E345">
            <v>438.69</v>
          </cell>
          <cell r="F345">
            <v>0</v>
          </cell>
          <cell r="G345">
            <v>877.39</v>
          </cell>
        </row>
        <row r="346">
          <cell r="B346">
            <v>426114</v>
          </cell>
          <cell r="C346" t="str">
            <v>Serviço de Limpeza e Higiene</v>
          </cell>
          <cell r="D346">
            <v>36282.07</v>
          </cell>
          <cell r="E346">
            <v>48640.6</v>
          </cell>
          <cell r="F346">
            <v>0</v>
          </cell>
          <cell r="G346">
            <v>84922.67</v>
          </cell>
        </row>
        <row r="347">
          <cell r="B347">
            <v>426116</v>
          </cell>
          <cell r="C347" t="str">
            <v>Condomínios</v>
          </cell>
          <cell r="D347">
            <v>88367.01</v>
          </cell>
          <cell r="E347">
            <v>90569.58</v>
          </cell>
          <cell r="F347">
            <v>0</v>
          </cell>
          <cell r="G347">
            <v>178936.59</v>
          </cell>
        </row>
        <row r="348">
          <cell r="B348">
            <v>426117</v>
          </cell>
          <cell r="C348" t="str">
            <v>Serviços Gerais</v>
          </cell>
          <cell r="D348">
            <v>23841.53</v>
          </cell>
          <cell r="E348">
            <v>34249.93</v>
          </cell>
          <cell r="F348">
            <v>0</v>
          </cell>
          <cell r="G348">
            <v>58091.46</v>
          </cell>
        </row>
        <row r="349">
          <cell r="B349">
            <v>4262</v>
          </cell>
          <cell r="C349" t="str">
            <v>Despesas Gerais da Administração</v>
          </cell>
          <cell r="D349">
            <v>896687.03</v>
          </cell>
          <cell r="E349">
            <v>1013936.88</v>
          </cell>
          <cell r="F349">
            <v>0</v>
          </cell>
          <cell r="G349">
            <v>1910623.91</v>
          </cell>
        </row>
        <row r="350">
          <cell r="B350">
            <v>42621</v>
          </cell>
          <cell r="C350" t="str">
            <v>Honorários da Diretoria</v>
          </cell>
          <cell r="D350">
            <v>194892.78</v>
          </cell>
          <cell r="E350">
            <v>227374.92</v>
          </cell>
          <cell r="F350">
            <v>0</v>
          </cell>
          <cell r="G350">
            <v>422267.7</v>
          </cell>
        </row>
        <row r="351">
          <cell r="B351">
            <v>42622</v>
          </cell>
          <cell r="C351" t="str">
            <v>Honorários Conselhos de Adm. e Fiscal</v>
          </cell>
          <cell r="D351">
            <v>88243.03</v>
          </cell>
          <cell r="E351">
            <v>107703.83</v>
          </cell>
          <cell r="F351">
            <v>0</v>
          </cell>
          <cell r="G351">
            <v>195946.86</v>
          </cell>
        </row>
        <row r="352">
          <cell r="B352">
            <v>42624</v>
          </cell>
          <cell r="C352" t="str">
            <v>Despesas de Viagens - Passagens Aéreas</v>
          </cell>
          <cell r="D352">
            <v>63843.27</v>
          </cell>
          <cell r="E352">
            <v>101242.64</v>
          </cell>
          <cell r="F352">
            <v>0</v>
          </cell>
          <cell r="G352">
            <v>165085.91</v>
          </cell>
        </row>
        <row r="353">
          <cell r="B353">
            <v>42625</v>
          </cell>
          <cell r="C353" t="str">
            <v>Despesas de Viagens - Hospedagens</v>
          </cell>
          <cell r="D353">
            <v>2243.2199999999998</v>
          </cell>
          <cell r="E353">
            <v>0</v>
          </cell>
          <cell r="F353">
            <v>0</v>
          </cell>
          <cell r="G353">
            <v>2243.2199999999998</v>
          </cell>
        </row>
        <row r="354">
          <cell r="B354">
            <v>42626</v>
          </cell>
          <cell r="C354" t="str">
            <v>Despesas de Viagens - Outros</v>
          </cell>
          <cell r="D354">
            <v>897.22</v>
          </cell>
          <cell r="E354">
            <v>23107.62</v>
          </cell>
          <cell r="F354">
            <v>0</v>
          </cell>
          <cell r="G354">
            <v>24004.84</v>
          </cell>
        </row>
        <row r="355">
          <cell r="B355">
            <v>42627</v>
          </cell>
          <cell r="C355" t="str">
            <v>Assinaturas Banco de Dados e Portais</v>
          </cell>
          <cell r="D355">
            <v>365235.21</v>
          </cell>
          <cell r="E355">
            <v>460614.87</v>
          </cell>
          <cell r="F355">
            <v>0</v>
          </cell>
          <cell r="G355">
            <v>825850.08</v>
          </cell>
        </row>
        <row r="356">
          <cell r="B356">
            <v>42629</v>
          </cell>
          <cell r="C356" t="str">
            <v>Despesas Legais e Judiciais</v>
          </cell>
          <cell r="D356">
            <v>1658.32</v>
          </cell>
          <cell r="E356">
            <v>112.88</v>
          </cell>
          <cell r="F356">
            <v>0</v>
          </cell>
          <cell r="G356">
            <v>1771.2</v>
          </cell>
        </row>
        <row r="357">
          <cell r="B357">
            <v>426210</v>
          </cell>
          <cell r="C357" t="str">
            <v>Despesa de Viagem ao Exterior</v>
          </cell>
          <cell r="D357">
            <v>57777.03</v>
          </cell>
          <cell r="E357">
            <v>6224.31</v>
          </cell>
          <cell r="F357">
            <v>0</v>
          </cell>
          <cell r="G357">
            <v>64001.34</v>
          </cell>
        </row>
        <row r="358">
          <cell r="B358">
            <v>426213</v>
          </cell>
          <cell r="C358" t="str">
            <v>DESPESAS NÃO DEDUTIVEIS</v>
          </cell>
          <cell r="D358">
            <v>31031.3</v>
          </cell>
          <cell r="E358">
            <v>8529</v>
          </cell>
          <cell r="F358">
            <v>0</v>
          </cell>
          <cell r="G358">
            <v>39560.300000000003</v>
          </cell>
        </row>
        <row r="359">
          <cell r="B359">
            <v>426214</v>
          </cell>
          <cell r="C359" t="str">
            <v>Honorários Comite de Auditoria</v>
          </cell>
          <cell r="D359">
            <v>31670.1</v>
          </cell>
          <cell r="E359">
            <v>30497.14</v>
          </cell>
          <cell r="F359">
            <v>0</v>
          </cell>
          <cell r="G359">
            <v>62167.24</v>
          </cell>
        </row>
        <row r="360">
          <cell r="B360">
            <v>426215</v>
          </cell>
          <cell r="C360" t="str">
            <v>Seguro de Responsabilidade Cívil</v>
          </cell>
          <cell r="D360">
            <v>59195.55</v>
          </cell>
          <cell r="E360">
            <v>48529.67</v>
          </cell>
          <cell r="F360">
            <v>0</v>
          </cell>
          <cell r="G360">
            <v>107725.22</v>
          </cell>
        </row>
        <row r="361">
          <cell r="B361">
            <v>427</v>
          </cell>
          <cell r="C361" t="str">
            <v>Despesas Financeiras</v>
          </cell>
          <cell r="D361">
            <v>283991.99</v>
          </cell>
          <cell r="E361">
            <v>317914.99</v>
          </cell>
          <cell r="F361">
            <v>-70.45</v>
          </cell>
          <cell r="G361">
            <v>601836.53</v>
          </cell>
        </row>
        <row r="362">
          <cell r="B362">
            <v>42701</v>
          </cell>
          <cell r="C362" t="str">
            <v>Despesas Financeiras</v>
          </cell>
          <cell r="D362">
            <v>283991.99</v>
          </cell>
          <cell r="E362">
            <v>317914.99</v>
          </cell>
          <cell r="F362">
            <v>-70.45</v>
          </cell>
          <cell r="G362">
            <v>601836.53</v>
          </cell>
        </row>
        <row r="363">
          <cell r="B363">
            <v>42711</v>
          </cell>
          <cell r="C363" t="str">
            <v>Juros Pagos ou Incorridos</v>
          </cell>
          <cell r="D363">
            <v>3.15</v>
          </cell>
          <cell r="E363">
            <v>0</v>
          </cell>
          <cell r="F363">
            <v>0</v>
          </cell>
          <cell r="G363">
            <v>3.15</v>
          </cell>
        </row>
        <row r="364">
          <cell r="B364">
            <v>42720</v>
          </cell>
          <cell r="C364" t="str">
            <v>Prov. Contingências Variações Monetárias</v>
          </cell>
          <cell r="D364">
            <v>283988.84000000003</v>
          </cell>
          <cell r="E364">
            <v>317914.99</v>
          </cell>
          <cell r="F364">
            <v>-70.45</v>
          </cell>
          <cell r="G364">
            <v>601833.38</v>
          </cell>
        </row>
        <row r="365">
          <cell r="B365">
            <v>429</v>
          </cell>
          <cell r="C365" t="str">
            <v>Outras Despesas</v>
          </cell>
          <cell r="D365">
            <v>300000</v>
          </cell>
          <cell r="E365">
            <v>450000</v>
          </cell>
          <cell r="F365">
            <v>0</v>
          </cell>
          <cell r="G365">
            <v>750000</v>
          </cell>
        </row>
        <row r="366">
          <cell r="B366">
            <v>42910</v>
          </cell>
          <cell r="C366" t="str">
            <v>Despesas Concurso Público</v>
          </cell>
          <cell r="D366">
            <v>300000</v>
          </cell>
          <cell r="E366">
            <v>450000</v>
          </cell>
          <cell r="F366">
            <v>0</v>
          </cell>
          <cell r="G366">
            <v>750000</v>
          </cell>
        </row>
        <row r="367">
          <cell r="B367">
            <v>429101</v>
          </cell>
          <cell r="C367" t="str">
            <v>Despesa de Concurso Público</v>
          </cell>
          <cell r="D367">
            <v>300000</v>
          </cell>
          <cell r="E367">
            <v>450000</v>
          </cell>
          <cell r="F367">
            <v>0</v>
          </cell>
          <cell r="G367">
            <v>750000</v>
          </cell>
        </row>
        <row r="368">
          <cell r="B368">
            <v>5</v>
          </cell>
          <cell r="C368" t="str">
            <v>Resultado do Período</v>
          </cell>
          <cell r="D368">
            <v>-1055104.97</v>
          </cell>
          <cell r="E368">
            <v>3733895.49</v>
          </cell>
          <cell r="F368">
            <v>-2677740.44</v>
          </cell>
          <cell r="G368">
            <v>1050.08</v>
          </cell>
        </row>
        <row r="369">
          <cell r="B369">
            <v>51</v>
          </cell>
          <cell r="C369" t="str">
            <v>Resultado do Período</v>
          </cell>
          <cell r="D369">
            <v>-1055104.97</v>
          </cell>
          <cell r="E369">
            <v>3733895.49</v>
          </cell>
          <cell r="F369">
            <v>-2677740.44</v>
          </cell>
          <cell r="G369">
            <v>1050.08</v>
          </cell>
        </row>
        <row r="370">
          <cell r="B370">
            <v>511</v>
          </cell>
          <cell r="C370" t="str">
            <v>Lucro do Período</v>
          </cell>
          <cell r="D370">
            <v>1736883.03</v>
          </cell>
          <cell r="E370">
            <v>3733895.49</v>
          </cell>
          <cell r="F370">
            <v>0</v>
          </cell>
          <cell r="G370">
            <v>5470778.5199999996</v>
          </cell>
        </row>
        <row r="371">
          <cell r="B371">
            <v>5111</v>
          </cell>
          <cell r="C371" t="str">
            <v>Janeiro</v>
          </cell>
          <cell r="D371">
            <v>801472.64</v>
          </cell>
          <cell r="E371">
            <v>0</v>
          </cell>
          <cell r="F371">
            <v>0</v>
          </cell>
          <cell r="G371">
            <v>801472.64</v>
          </cell>
        </row>
        <row r="372">
          <cell r="B372">
            <v>5112</v>
          </cell>
          <cell r="C372" t="str">
            <v>Fevereiro</v>
          </cell>
          <cell r="D372">
            <v>935410.39</v>
          </cell>
          <cell r="E372">
            <v>0</v>
          </cell>
          <cell r="F372">
            <v>0</v>
          </cell>
          <cell r="G372">
            <v>935410.39</v>
          </cell>
        </row>
        <row r="373">
          <cell r="B373">
            <v>5114</v>
          </cell>
          <cell r="C373" t="str">
            <v>Abril</v>
          </cell>
          <cell r="D373">
            <v>0</v>
          </cell>
          <cell r="E373">
            <v>3733895.49</v>
          </cell>
          <cell r="F373">
            <v>0</v>
          </cell>
          <cell r="G373">
            <v>3733895.49</v>
          </cell>
        </row>
        <row r="374">
          <cell r="B374">
            <v>512</v>
          </cell>
          <cell r="C374" t="str">
            <v>Prejuízo do Período</v>
          </cell>
          <cell r="D374">
            <v>-2791988</v>
          </cell>
          <cell r="E374">
            <v>0</v>
          </cell>
          <cell r="F374">
            <v>-2677740.44</v>
          </cell>
          <cell r="G374">
            <v>5469728.4400000004</v>
          </cell>
        </row>
        <row r="375">
          <cell r="B375">
            <v>5123</v>
          </cell>
          <cell r="C375" t="str">
            <v>Março</v>
          </cell>
          <cell r="D375">
            <v>-2791988</v>
          </cell>
          <cell r="E375">
            <v>0</v>
          </cell>
          <cell r="F375">
            <v>0</v>
          </cell>
          <cell r="G375">
            <v>2791988</v>
          </cell>
        </row>
        <row r="376">
          <cell r="B376">
            <v>5125</v>
          </cell>
          <cell r="C376" t="str">
            <v>Maio</v>
          </cell>
          <cell r="D376">
            <v>0</v>
          </cell>
          <cell r="E376">
            <v>0</v>
          </cell>
          <cell r="F376">
            <v>-1383594.51</v>
          </cell>
          <cell r="G376">
            <v>1383594.51</v>
          </cell>
        </row>
        <row r="377">
          <cell r="B377">
            <v>5126</v>
          </cell>
          <cell r="C377" t="str">
            <v>Junho</v>
          </cell>
          <cell r="D377">
            <v>0</v>
          </cell>
          <cell r="E377">
            <v>0</v>
          </cell>
          <cell r="F377">
            <v>-1294145.93</v>
          </cell>
          <cell r="G377">
            <v>1294145.93</v>
          </cell>
        </row>
      </sheetData>
      <sheetData sheetId="22">
        <row r="4">
          <cell r="B4" t="str">
            <v>Reduzido</v>
          </cell>
          <cell r="C4" t="str">
            <v>Descrição</v>
          </cell>
          <cell r="D4" t="str">
            <v>Anterior</v>
          </cell>
          <cell r="E4" t="str">
            <v>Débitos</v>
          </cell>
          <cell r="F4" t="str">
            <v>Créditos</v>
          </cell>
          <cell r="G4" t="str">
            <v>Saldo Atual</v>
          </cell>
        </row>
        <row r="5">
          <cell r="B5">
            <v>1</v>
          </cell>
          <cell r="C5" t="str">
            <v>Ativo</v>
          </cell>
          <cell r="D5">
            <v>54858202.390000001</v>
          </cell>
          <cell r="E5">
            <v>10432029.23</v>
          </cell>
          <cell r="F5">
            <v>-11822759.359999999</v>
          </cell>
          <cell r="G5">
            <v>53467472.259999998</v>
          </cell>
        </row>
        <row r="6">
          <cell r="B6">
            <v>11</v>
          </cell>
          <cell r="C6" t="str">
            <v>Circulante</v>
          </cell>
          <cell r="D6">
            <v>40180691.350000001</v>
          </cell>
          <cell r="E6">
            <v>10342535.32</v>
          </cell>
          <cell r="F6">
            <v>-11471383.779999999</v>
          </cell>
          <cell r="G6">
            <v>39051842.890000001</v>
          </cell>
        </row>
        <row r="7">
          <cell r="B7">
            <v>111</v>
          </cell>
          <cell r="C7" t="str">
            <v>Disponibilidades</v>
          </cell>
          <cell r="D7">
            <v>32908377.140000001</v>
          </cell>
          <cell r="E7">
            <v>9692537.8200000003</v>
          </cell>
          <cell r="F7">
            <v>-8497287.1400000006</v>
          </cell>
          <cell r="G7">
            <v>34103627.82</v>
          </cell>
        </row>
        <row r="8">
          <cell r="B8">
            <v>1111</v>
          </cell>
          <cell r="C8" t="str">
            <v>Caixa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</row>
        <row r="9">
          <cell r="B9">
            <v>11111</v>
          </cell>
          <cell r="C9" t="str">
            <v>Fundo Fixo Matriz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</row>
        <row r="10">
          <cell r="B10">
            <v>11112</v>
          </cell>
          <cell r="C10" t="str">
            <v>Fundo Fixo Filial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</row>
        <row r="11">
          <cell r="B11">
            <v>1112</v>
          </cell>
          <cell r="C11" t="str">
            <v>Bancos</v>
          </cell>
          <cell r="D11">
            <v>32908377.140000001</v>
          </cell>
          <cell r="E11">
            <v>9692537.8200000003</v>
          </cell>
          <cell r="F11">
            <v>-8497287.1400000006</v>
          </cell>
          <cell r="G11">
            <v>34103627.82</v>
          </cell>
        </row>
        <row r="12">
          <cell r="B12" t="str">
            <v>BB</v>
          </cell>
          <cell r="C12" t="str">
            <v>Banco do Brasil conta única União</v>
          </cell>
          <cell r="D12">
            <v>32908377.140000001</v>
          </cell>
          <cell r="E12">
            <v>6760258.5999999996</v>
          </cell>
          <cell r="F12">
            <v>-5565007.9199999999</v>
          </cell>
          <cell r="G12">
            <v>34103627.82</v>
          </cell>
        </row>
        <row r="13">
          <cell r="B13" t="str">
            <v>CO</v>
          </cell>
          <cell r="C13" t="str">
            <v>Receita Cota Orçamentária</v>
          </cell>
          <cell r="D13">
            <v>0</v>
          </cell>
          <cell r="E13">
            <v>2932279.22</v>
          </cell>
          <cell r="F13">
            <v>-2932279.22</v>
          </cell>
          <cell r="G13">
            <v>0</v>
          </cell>
        </row>
        <row r="14">
          <cell r="B14">
            <v>112</v>
          </cell>
          <cell r="C14" t="str">
            <v>Créditos, Direitos e Bens</v>
          </cell>
          <cell r="D14">
            <v>4583640.0199999996</v>
          </cell>
          <cell r="E14">
            <v>639380.9</v>
          </cell>
          <cell r="F14">
            <v>-2615985.42</v>
          </cell>
          <cell r="G14">
            <v>2607035.5</v>
          </cell>
        </row>
        <row r="15">
          <cell r="B15">
            <v>1121</v>
          </cell>
          <cell r="C15" t="str">
            <v>Clientes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</row>
        <row r="16">
          <cell r="B16">
            <v>11211</v>
          </cell>
          <cell r="C16" t="str">
            <v>Faturamento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</row>
        <row r="17">
          <cell r="B17">
            <v>11212</v>
          </cell>
          <cell r="C17" t="str">
            <v>Venda de Livros Técnicos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B18">
            <v>1121998</v>
          </cell>
          <cell r="C18" t="str">
            <v>(-) Duplicatas Descontadas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B19">
            <v>1121999</v>
          </cell>
          <cell r="C19" t="str">
            <v>(-) Provisão p/ Devedores Duvidosos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1122</v>
          </cell>
          <cell r="C20" t="str">
            <v>Rendas a Receber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</row>
        <row r="21">
          <cell r="B21">
            <v>11221</v>
          </cell>
          <cell r="C21" t="str">
            <v>Encargos Financeiros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B22">
            <v>11222</v>
          </cell>
          <cell r="C22" t="str">
            <v>Aplicações Financeiras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</row>
        <row r="23">
          <cell r="B23">
            <v>1123</v>
          </cell>
          <cell r="C23" t="str">
            <v>Tributos a Recuperar ou Compensáveis</v>
          </cell>
          <cell r="D23">
            <v>7424.31</v>
          </cell>
          <cell r="E23">
            <v>34754.15</v>
          </cell>
          <cell r="F23">
            <v>0</v>
          </cell>
          <cell r="G23">
            <v>42178.46</v>
          </cell>
        </row>
        <row r="24">
          <cell r="B24">
            <v>11231</v>
          </cell>
          <cell r="C24" t="str">
            <v>IRPJ a Recuperar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B25">
            <v>11232</v>
          </cell>
          <cell r="C25" t="str">
            <v>IRPJ s/ Adições Temporárias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</row>
        <row r="26">
          <cell r="B26">
            <v>11233</v>
          </cell>
          <cell r="C26" t="str">
            <v>IRPJ s/ Prejuízo Fiscal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</row>
        <row r="27">
          <cell r="B27">
            <v>11234</v>
          </cell>
          <cell r="C27" t="str">
            <v>ISS a Recuperar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</row>
        <row r="28">
          <cell r="B28">
            <v>11235</v>
          </cell>
          <cell r="C28" t="str">
            <v>CSLL a Recuperar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B29">
            <v>11236</v>
          </cell>
          <cell r="C29" t="str">
            <v>CSLL s/ Adições Temporárias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  <row r="30">
          <cell r="B30">
            <v>11237</v>
          </cell>
          <cell r="C30" t="str">
            <v>CSLL s/ Base de Cálculo Negativa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</row>
        <row r="31">
          <cell r="B31">
            <v>11238</v>
          </cell>
          <cell r="C31" t="str">
            <v>PASEP a Recuperar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</row>
        <row r="32">
          <cell r="B32">
            <v>11239</v>
          </cell>
          <cell r="C32" t="str">
            <v>COFINS a Recuperar</v>
          </cell>
          <cell r="D32">
            <v>1367.05</v>
          </cell>
          <cell r="E32">
            <v>14.08</v>
          </cell>
          <cell r="F32">
            <v>0</v>
          </cell>
          <cell r="G32">
            <v>1381.13</v>
          </cell>
        </row>
        <row r="33">
          <cell r="B33">
            <v>112310</v>
          </cell>
          <cell r="C33" t="str">
            <v>INSS a Recuperar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</row>
        <row r="34">
          <cell r="B34">
            <v>112311</v>
          </cell>
          <cell r="C34" t="str">
            <v>IRPJ a Compensar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</row>
        <row r="35">
          <cell r="B35">
            <v>112312</v>
          </cell>
          <cell r="C35" t="str">
            <v>CSLL a Compensar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</row>
        <row r="36">
          <cell r="B36">
            <v>112313</v>
          </cell>
          <cell r="C36" t="str">
            <v>PASEP a Compensar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</row>
        <row r="37">
          <cell r="B37">
            <v>112314</v>
          </cell>
          <cell r="C37" t="str">
            <v>COFINS a Compensar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</row>
        <row r="38">
          <cell r="B38">
            <v>112315</v>
          </cell>
          <cell r="C38" t="str">
            <v>FGTS a Recuperar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</row>
        <row r="39">
          <cell r="B39">
            <v>112316</v>
          </cell>
          <cell r="C39" t="str">
            <v>IRPJ Estimativa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</row>
        <row r="40">
          <cell r="B40">
            <v>112317</v>
          </cell>
          <cell r="C40" t="str">
            <v>CSLL Estimativa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</row>
        <row r="41">
          <cell r="B41">
            <v>112318</v>
          </cell>
          <cell r="C41" t="str">
            <v>IRPJ Diferido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  <row r="42">
          <cell r="B42">
            <v>112319</v>
          </cell>
          <cell r="C42" t="str">
            <v>CSLL Diferida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</row>
        <row r="43">
          <cell r="B43">
            <v>112320</v>
          </cell>
          <cell r="C43" t="str">
            <v>IRPJ s/ Aplicação Financeira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</row>
        <row r="44">
          <cell r="B44">
            <v>112321</v>
          </cell>
          <cell r="C44" t="str">
            <v>Antecipação de IRRF - 0561</v>
          </cell>
          <cell r="D44">
            <v>0</v>
          </cell>
          <cell r="E44">
            <v>34692.54</v>
          </cell>
          <cell r="F44">
            <v>0</v>
          </cell>
          <cell r="G44">
            <v>34692.54</v>
          </cell>
        </row>
        <row r="45">
          <cell r="B45">
            <v>112322</v>
          </cell>
          <cell r="C45" t="str">
            <v>Antecipação - COSIRF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</row>
        <row r="46">
          <cell r="B46">
            <v>112323</v>
          </cell>
          <cell r="C46" t="str">
            <v>IRRF a Compensar</v>
          </cell>
          <cell r="D46">
            <v>5835.69</v>
          </cell>
          <cell r="E46">
            <v>45.41</v>
          </cell>
          <cell r="F46">
            <v>0</v>
          </cell>
          <cell r="G46">
            <v>5881.1</v>
          </cell>
        </row>
        <row r="47">
          <cell r="B47">
            <v>112324</v>
          </cell>
          <cell r="C47" t="str">
            <v>IOF a Restituir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</row>
        <row r="48">
          <cell r="B48">
            <v>112325</v>
          </cell>
          <cell r="C48" t="str">
            <v>IRRF a Restituir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</row>
        <row r="49">
          <cell r="B49">
            <v>112326</v>
          </cell>
          <cell r="C49" t="str">
            <v>CIDE  a Restituir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</row>
        <row r="50">
          <cell r="B50">
            <v>112327</v>
          </cell>
          <cell r="C50" t="str">
            <v>PIS a Restituir</v>
          </cell>
          <cell r="D50">
            <v>221.57</v>
          </cell>
          <cell r="E50">
            <v>2.12</v>
          </cell>
          <cell r="F50">
            <v>0</v>
          </cell>
          <cell r="G50">
            <v>223.69</v>
          </cell>
        </row>
        <row r="51">
          <cell r="B51">
            <v>112328</v>
          </cell>
          <cell r="C51" t="str">
            <v>COFINS  a Restituir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</row>
        <row r="52">
          <cell r="B52">
            <v>112329</v>
          </cell>
          <cell r="C52" t="str">
            <v>ISS a Restituir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</row>
        <row r="53">
          <cell r="B53">
            <v>112330</v>
          </cell>
          <cell r="C53" t="str">
            <v>CSLL a Restituir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</row>
        <row r="54">
          <cell r="B54">
            <v>112331</v>
          </cell>
          <cell r="C54" t="str">
            <v>CIDE a compensar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</row>
        <row r="55">
          <cell r="B55">
            <v>1123999</v>
          </cell>
          <cell r="C55" t="str">
            <v>Outras Retenções de Tributos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</row>
        <row r="56">
          <cell r="B56">
            <v>1124</v>
          </cell>
          <cell r="C56" t="str">
            <v>Adiantamentos a Empregados</v>
          </cell>
          <cell r="D56">
            <v>772900.23</v>
          </cell>
          <cell r="E56">
            <v>604626.75</v>
          </cell>
          <cell r="F56">
            <v>-453236.35</v>
          </cell>
          <cell r="G56">
            <v>924290.63</v>
          </cell>
        </row>
        <row r="57">
          <cell r="B57">
            <v>11241</v>
          </cell>
          <cell r="C57" t="str">
            <v>Adiantamento de Férias</v>
          </cell>
          <cell r="D57">
            <v>183759.26</v>
          </cell>
          <cell r="E57">
            <v>424621.7</v>
          </cell>
          <cell r="F57">
            <v>-390271.44</v>
          </cell>
          <cell r="G57">
            <v>218109.52</v>
          </cell>
        </row>
        <row r="58">
          <cell r="B58">
            <v>11242</v>
          </cell>
          <cell r="C58" t="str">
            <v>Adiantamento de 13º Salário</v>
          </cell>
          <cell r="D58">
            <v>589140.97</v>
          </cell>
          <cell r="E58">
            <v>117040.14</v>
          </cell>
          <cell r="F58">
            <v>0</v>
          </cell>
          <cell r="G58">
            <v>706181.11</v>
          </cell>
        </row>
        <row r="59">
          <cell r="B59">
            <v>11243</v>
          </cell>
          <cell r="C59" t="str">
            <v>Adiantamento de Viagem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</row>
        <row r="60">
          <cell r="B60">
            <v>11244</v>
          </cell>
          <cell r="C60" t="str">
            <v>Adiantamento de Salário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</row>
        <row r="61">
          <cell r="B61">
            <v>11245</v>
          </cell>
          <cell r="C61" t="str">
            <v>Adiant. p/Atender Compromissos da EPE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</row>
        <row r="62">
          <cell r="B62">
            <v>11246</v>
          </cell>
          <cell r="C62" t="str">
            <v>Adiantamento de Viagem ao Exterior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</row>
        <row r="63">
          <cell r="B63">
            <v>112424</v>
          </cell>
          <cell r="C63" t="str">
            <v>Empréstimo a funcionários</v>
          </cell>
          <cell r="D63">
            <v>0</v>
          </cell>
          <cell r="E63">
            <v>58387.46</v>
          </cell>
          <cell r="F63">
            <v>-58387.46</v>
          </cell>
          <cell r="G63">
            <v>0</v>
          </cell>
        </row>
        <row r="64">
          <cell r="B64">
            <v>112425</v>
          </cell>
          <cell r="C64" t="str">
            <v>Mensalidade AEPE</v>
          </cell>
          <cell r="D64">
            <v>0</v>
          </cell>
          <cell r="E64">
            <v>4577.45</v>
          </cell>
          <cell r="F64">
            <v>-4577.45</v>
          </cell>
          <cell r="G64">
            <v>0</v>
          </cell>
        </row>
        <row r="65">
          <cell r="B65">
            <v>1124999</v>
          </cell>
          <cell r="C65" t="str">
            <v>Adiantamentos p/ Outros Gastos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</row>
        <row r="66">
          <cell r="B66">
            <v>1125</v>
          </cell>
          <cell r="C66" t="str">
            <v>Adiantamentos a Terceiros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</row>
        <row r="67">
          <cell r="B67">
            <v>11251</v>
          </cell>
          <cell r="C67" t="str">
            <v>Adiantamentos a Fornecedores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</row>
        <row r="68">
          <cell r="B68">
            <v>11252</v>
          </cell>
          <cell r="C68" t="str">
            <v>Adiantamento p/ Seminários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</row>
        <row r="69">
          <cell r="B69">
            <v>11253</v>
          </cell>
          <cell r="C69" t="str">
            <v>Outros Adiantamentos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</row>
        <row r="70">
          <cell r="B70">
            <v>11254</v>
          </cell>
          <cell r="C70" t="str">
            <v>Adiantamento p/ Órgãos Federais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</row>
        <row r="71">
          <cell r="B71">
            <v>1126</v>
          </cell>
          <cell r="C71" t="str">
            <v>Títulos e Valores Mobiliários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</row>
        <row r="72">
          <cell r="B72">
            <v>11261</v>
          </cell>
          <cell r="C72" t="str">
            <v>Ações - Preço de Aquisição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</row>
        <row r="73">
          <cell r="B73">
            <v>11262</v>
          </cell>
          <cell r="C73" t="str">
            <v>(-) Ações - Provisão p/ Redução ao Valor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</row>
        <row r="74">
          <cell r="B74">
            <v>1127</v>
          </cell>
          <cell r="C74" t="str">
            <v>Estoques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</row>
        <row r="75">
          <cell r="B75">
            <v>11271</v>
          </cell>
          <cell r="C75" t="str">
            <v>Material de Escritório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</row>
        <row r="76">
          <cell r="B76">
            <v>11272</v>
          </cell>
          <cell r="C76" t="str">
            <v>Estoque de Livros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</row>
        <row r="77">
          <cell r="B77">
            <v>11273</v>
          </cell>
          <cell r="C77" t="str">
            <v>Estoque de Livros - em consignação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</row>
        <row r="78">
          <cell r="B78">
            <v>1128</v>
          </cell>
          <cell r="C78" t="str">
            <v>Depositos judiciais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</row>
        <row r="79">
          <cell r="B79">
            <v>11281</v>
          </cell>
          <cell r="C79" t="str">
            <v>Depósitos Judiciais - Previdenciários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</row>
        <row r="80">
          <cell r="B80">
            <v>11282</v>
          </cell>
          <cell r="C80" t="str">
            <v>Depósitos Judiciais - Trabalhistas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</row>
        <row r="81">
          <cell r="B81">
            <v>11283</v>
          </cell>
          <cell r="C81" t="str">
            <v>Depósitos Judiciais - Cíveis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</row>
        <row r="82">
          <cell r="B82">
            <v>11284</v>
          </cell>
          <cell r="C82" t="str">
            <v>Depósitos Judiciais –Tributários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</row>
        <row r="83">
          <cell r="B83">
            <v>1129</v>
          </cell>
          <cell r="C83" t="str">
            <v>Conta a Receber - Leilões ANEEL</v>
          </cell>
          <cell r="D83">
            <v>3803183.5</v>
          </cell>
          <cell r="E83">
            <v>0</v>
          </cell>
          <cell r="F83">
            <v>-2162749.0699999998</v>
          </cell>
          <cell r="G83">
            <v>1640434.43</v>
          </cell>
        </row>
        <row r="84">
          <cell r="B84">
            <v>11291</v>
          </cell>
          <cell r="C84" t="str">
            <v>Reembolso de custos a Receber - ANEEL</v>
          </cell>
          <cell r="D84">
            <v>3803183.5</v>
          </cell>
          <cell r="E84">
            <v>0</v>
          </cell>
          <cell r="F84">
            <v>-2162749.0699999998</v>
          </cell>
          <cell r="G84">
            <v>1640434.43</v>
          </cell>
        </row>
        <row r="85">
          <cell r="B85">
            <v>11299</v>
          </cell>
          <cell r="C85" t="str">
            <v>Outros Créditos</v>
          </cell>
          <cell r="D85">
            <v>131.97999999999999</v>
          </cell>
          <cell r="E85">
            <v>0</v>
          </cell>
          <cell r="F85">
            <v>0</v>
          </cell>
          <cell r="G85">
            <v>131.97999999999999</v>
          </cell>
        </row>
        <row r="86">
          <cell r="B86">
            <v>112991</v>
          </cell>
          <cell r="C86" t="str">
            <v>Cauções e Depósitos Vinculados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</row>
        <row r="87">
          <cell r="B87">
            <v>112992</v>
          </cell>
          <cell r="C87" t="str">
            <v>Glosas Petrobras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</row>
        <row r="88">
          <cell r="B88">
            <v>112993</v>
          </cell>
          <cell r="C88" t="str">
            <v>Glosas Furnas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</row>
        <row r="89">
          <cell r="B89">
            <v>112994</v>
          </cell>
          <cell r="C89" t="str">
            <v>Glosas Cepel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</row>
        <row r="90">
          <cell r="B90">
            <v>112995</v>
          </cell>
          <cell r="C90" t="str">
            <v>Ressarcimento de Cedidos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</row>
        <row r="91">
          <cell r="B91">
            <v>11299999</v>
          </cell>
          <cell r="C91" t="str">
            <v>Créditos Diversos</v>
          </cell>
          <cell r="D91">
            <v>131.97999999999999</v>
          </cell>
          <cell r="E91">
            <v>0</v>
          </cell>
          <cell r="F91">
            <v>0</v>
          </cell>
          <cell r="G91">
            <v>131.97999999999999</v>
          </cell>
        </row>
        <row r="92">
          <cell r="B92">
            <v>113</v>
          </cell>
          <cell r="C92" t="str">
            <v>Despesas Antecipadas</v>
          </cell>
          <cell r="D92">
            <v>2688674.19</v>
          </cell>
          <cell r="E92">
            <v>10616.6</v>
          </cell>
          <cell r="F92">
            <v>-358111.22</v>
          </cell>
          <cell r="G92">
            <v>2341179.5699999998</v>
          </cell>
        </row>
        <row r="93">
          <cell r="B93">
            <v>1131</v>
          </cell>
          <cell r="C93" t="str">
            <v>Despesas Antecipadas</v>
          </cell>
          <cell r="D93">
            <v>2688674.19</v>
          </cell>
          <cell r="E93">
            <v>10616.6</v>
          </cell>
          <cell r="F93">
            <v>-358111.22</v>
          </cell>
          <cell r="G93">
            <v>2341179.5699999998</v>
          </cell>
        </row>
        <row r="94">
          <cell r="B94">
            <v>11311</v>
          </cell>
          <cell r="C94" t="str">
            <v>Prêmio de Seguros Pagos Antecipadamente</v>
          </cell>
          <cell r="D94">
            <v>119457.64</v>
          </cell>
          <cell r="E94">
            <v>0</v>
          </cell>
          <cell r="F94">
            <v>-16532.09</v>
          </cell>
          <cell r="G94">
            <v>102925.55</v>
          </cell>
        </row>
        <row r="95">
          <cell r="B95">
            <v>11312</v>
          </cell>
          <cell r="C95" t="str">
            <v>Assinaturas e Anuidades</v>
          </cell>
          <cell r="D95">
            <v>666801.36</v>
          </cell>
          <cell r="E95">
            <v>10616.6</v>
          </cell>
          <cell r="F95">
            <v>-93213.65</v>
          </cell>
          <cell r="G95">
            <v>584204.31000000006</v>
          </cell>
        </row>
        <row r="96">
          <cell r="B96">
            <v>11313</v>
          </cell>
          <cell r="C96" t="str">
            <v>Provedores de Informações</v>
          </cell>
          <cell r="D96">
            <v>135331.31</v>
          </cell>
          <cell r="E96">
            <v>0</v>
          </cell>
          <cell r="F96">
            <v>-16104.52</v>
          </cell>
          <cell r="G96">
            <v>119226.79</v>
          </cell>
        </row>
        <row r="97">
          <cell r="B97">
            <v>11314</v>
          </cell>
          <cell r="C97" t="str">
            <v>Aluguéis e Arrendamentos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</row>
        <row r="98">
          <cell r="B98">
            <v>11315</v>
          </cell>
          <cell r="C98" t="str">
            <v>Iptu a Apropriar</v>
          </cell>
          <cell r="D98">
            <v>269230.53000000003</v>
          </cell>
          <cell r="E98">
            <v>0</v>
          </cell>
          <cell r="F98">
            <v>-33927.43</v>
          </cell>
          <cell r="G98">
            <v>235303.1</v>
          </cell>
        </row>
        <row r="99">
          <cell r="B99">
            <v>11316</v>
          </cell>
          <cell r="C99" t="str">
            <v>Manutenção de Software</v>
          </cell>
          <cell r="D99">
            <v>1497853.35</v>
          </cell>
          <cell r="E99">
            <v>0</v>
          </cell>
          <cell r="F99">
            <v>-198333.53</v>
          </cell>
          <cell r="G99">
            <v>1299519.82</v>
          </cell>
        </row>
        <row r="100">
          <cell r="B100">
            <v>1131999</v>
          </cell>
          <cell r="C100" t="str">
            <v>Outras Despesas Antecipadas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</row>
        <row r="101">
          <cell r="B101">
            <v>12</v>
          </cell>
          <cell r="C101" t="str">
            <v>Ativo Não Circulante</v>
          </cell>
          <cell r="D101">
            <v>14677511.039999999</v>
          </cell>
          <cell r="E101">
            <v>89493.91</v>
          </cell>
          <cell r="F101">
            <v>-351375.58</v>
          </cell>
          <cell r="G101">
            <v>14415629.369999999</v>
          </cell>
        </row>
        <row r="102">
          <cell r="B102">
            <v>121</v>
          </cell>
          <cell r="C102" t="str">
            <v>Realizavel a Longo Prazo</v>
          </cell>
          <cell r="D102">
            <v>4469560.76</v>
          </cell>
          <cell r="E102">
            <v>89493.91</v>
          </cell>
          <cell r="F102">
            <v>-105589.16</v>
          </cell>
          <cell r="G102">
            <v>4453465.51</v>
          </cell>
        </row>
        <row r="103">
          <cell r="B103">
            <v>1211</v>
          </cell>
          <cell r="C103" t="str">
            <v>Clientes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</row>
        <row r="104">
          <cell r="B104">
            <v>12111</v>
          </cell>
          <cell r="C104" t="str">
            <v>Faturamento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</row>
        <row r="105">
          <cell r="B105">
            <v>1211998</v>
          </cell>
          <cell r="C105" t="str">
            <v>(-) Duplicatas Descontadas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</row>
        <row r="106">
          <cell r="B106">
            <v>1211999</v>
          </cell>
          <cell r="C106" t="str">
            <v>(-) Provisão p/ Devedores Duvidosos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</row>
        <row r="107">
          <cell r="B107">
            <v>1212</v>
          </cell>
          <cell r="C107" t="str">
            <v>Rendas a Receber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</row>
        <row r="108">
          <cell r="B108">
            <v>12121</v>
          </cell>
          <cell r="C108" t="str">
            <v>Encargos Financeiros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</row>
        <row r="109">
          <cell r="B109">
            <v>12122</v>
          </cell>
          <cell r="C109" t="str">
            <v>Aplicações Financeiras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</row>
        <row r="110">
          <cell r="B110">
            <v>12123</v>
          </cell>
          <cell r="C110" t="str">
            <v>Multas Aplicadas a Fornecedores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</row>
        <row r="111">
          <cell r="B111">
            <v>1213</v>
          </cell>
          <cell r="C111" t="str">
            <v>Tributos a Recuperar ou Compensáveis</v>
          </cell>
          <cell r="D111">
            <v>204342.29</v>
          </cell>
          <cell r="E111">
            <v>54743.61</v>
          </cell>
          <cell r="F111">
            <v>-105415.29</v>
          </cell>
          <cell r="G111">
            <v>153670.60999999999</v>
          </cell>
        </row>
        <row r="112">
          <cell r="B112">
            <v>12131</v>
          </cell>
          <cell r="C112" t="str">
            <v>IRPJ a Compensar</v>
          </cell>
          <cell r="D112">
            <v>71915.94</v>
          </cell>
          <cell r="E112">
            <v>53530.25</v>
          </cell>
          <cell r="F112">
            <v>-105415.29</v>
          </cell>
          <cell r="G112">
            <v>20030.900000000001</v>
          </cell>
        </row>
        <row r="113">
          <cell r="B113">
            <v>12132</v>
          </cell>
          <cell r="C113" t="str">
            <v>IRPJ s/ Adições Temporárias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</row>
        <row r="114">
          <cell r="B114">
            <v>12133</v>
          </cell>
          <cell r="C114" t="str">
            <v>IRPJ s/ Prejuízo Fiscal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</row>
        <row r="115">
          <cell r="B115">
            <v>12134</v>
          </cell>
          <cell r="C115" t="str">
            <v>ISS a Restituir</v>
          </cell>
          <cell r="D115">
            <v>4640.58</v>
          </cell>
          <cell r="E115">
            <v>0</v>
          </cell>
          <cell r="F115">
            <v>0</v>
          </cell>
          <cell r="G115">
            <v>4640.58</v>
          </cell>
        </row>
        <row r="116">
          <cell r="B116">
            <v>12135</v>
          </cell>
          <cell r="C116" t="str">
            <v>CSLL a Compensar</v>
          </cell>
          <cell r="D116">
            <v>127785.77</v>
          </cell>
          <cell r="E116">
            <v>1213.3599999999999</v>
          </cell>
          <cell r="F116">
            <v>0</v>
          </cell>
          <cell r="G116">
            <v>128999.13</v>
          </cell>
        </row>
        <row r="117">
          <cell r="B117">
            <v>12136</v>
          </cell>
          <cell r="C117" t="str">
            <v>CSLL s/ Adições Temporárias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</row>
        <row r="118">
          <cell r="B118">
            <v>12137</v>
          </cell>
          <cell r="C118" t="str">
            <v>CSLL s/ Base de Cálculo Negativa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</row>
        <row r="119">
          <cell r="B119">
            <v>12138</v>
          </cell>
          <cell r="C119" t="str">
            <v>PASEP a Recuperar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</row>
        <row r="120">
          <cell r="B120">
            <v>12139</v>
          </cell>
          <cell r="C120" t="str">
            <v>COFINS a Recuperar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</row>
        <row r="121">
          <cell r="B121">
            <v>121310</v>
          </cell>
          <cell r="C121" t="str">
            <v>IRPJ s/ Base de Cálculo Negativa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</row>
        <row r="122">
          <cell r="B122">
            <v>1213999</v>
          </cell>
          <cell r="C122" t="str">
            <v>Outras Retenções de Tributos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</row>
        <row r="123">
          <cell r="B123">
            <v>1214</v>
          </cell>
          <cell r="C123" t="str">
            <v>Adiantamentos a Terceiros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</row>
        <row r="124">
          <cell r="B124">
            <v>12141</v>
          </cell>
          <cell r="C124" t="str">
            <v>Adiantamentos a Fornecedores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</row>
        <row r="125">
          <cell r="B125">
            <v>1215</v>
          </cell>
          <cell r="C125" t="str">
            <v>Créditos a Diretores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</row>
        <row r="126">
          <cell r="B126">
            <v>12151</v>
          </cell>
          <cell r="C126" t="str">
            <v>Adiantamento a Diretores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</row>
        <row r="127">
          <cell r="B127">
            <v>1216</v>
          </cell>
          <cell r="C127" t="str">
            <v>Despesas Antecipadas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</row>
        <row r="128">
          <cell r="B128">
            <v>12161</v>
          </cell>
          <cell r="C128" t="str">
            <v>Prêmios de Seguros Pagos Antecipadamente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</row>
        <row r="129">
          <cell r="B129">
            <v>12162</v>
          </cell>
          <cell r="C129" t="str">
            <v>Assinatura de Jornais e Revistas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</row>
        <row r="130">
          <cell r="B130">
            <v>12163</v>
          </cell>
          <cell r="C130" t="str">
            <v>Provedores de Informações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</row>
        <row r="131">
          <cell r="B131">
            <v>12164</v>
          </cell>
          <cell r="C131" t="str">
            <v>Assinaturas e anuidades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</row>
        <row r="132">
          <cell r="B132">
            <v>121699</v>
          </cell>
          <cell r="C132" t="str">
            <v>Outras Despesas Antecipadas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</row>
        <row r="133">
          <cell r="B133">
            <v>1217</v>
          </cell>
          <cell r="C133" t="str">
            <v>Títulos e Valores Mobiliários</v>
          </cell>
          <cell r="D133">
            <v>215</v>
          </cell>
          <cell r="E133">
            <v>0</v>
          </cell>
          <cell r="F133">
            <v>0</v>
          </cell>
          <cell r="G133">
            <v>215</v>
          </cell>
        </row>
        <row r="134">
          <cell r="B134">
            <v>12171</v>
          </cell>
          <cell r="C134" t="str">
            <v>Ações - Preço de Aquisição</v>
          </cell>
          <cell r="D134">
            <v>215</v>
          </cell>
          <cell r="E134">
            <v>0</v>
          </cell>
          <cell r="F134">
            <v>0</v>
          </cell>
          <cell r="G134">
            <v>215</v>
          </cell>
        </row>
        <row r="135">
          <cell r="B135">
            <v>12172</v>
          </cell>
          <cell r="C135" t="str">
            <v>(-) Ações - Provisão p/ Redução ao Valor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</row>
        <row r="136">
          <cell r="B136">
            <v>1218</v>
          </cell>
          <cell r="C136" t="str">
            <v>Depósitos Judiciais</v>
          </cell>
          <cell r="D136">
            <v>4265003.47</v>
          </cell>
          <cell r="E136">
            <v>34750.300000000003</v>
          </cell>
          <cell r="F136">
            <v>-173.87</v>
          </cell>
          <cell r="G136">
            <v>4299579.9000000004</v>
          </cell>
        </row>
        <row r="137">
          <cell r="B137">
            <v>12181</v>
          </cell>
          <cell r="C137" t="str">
            <v>Depósitos Judiciais - Previdenciários</v>
          </cell>
          <cell r="D137">
            <v>3835113.68</v>
          </cell>
          <cell r="E137">
            <v>31415.51</v>
          </cell>
          <cell r="F137">
            <v>0</v>
          </cell>
          <cell r="G137">
            <v>3866529.19</v>
          </cell>
        </row>
        <row r="138">
          <cell r="B138">
            <v>12182</v>
          </cell>
          <cell r="C138" t="str">
            <v>Depósitos Judiciais - Trabalhistas</v>
          </cell>
          <cell r="D138">
            <v>270805.36</v>
          </cell>
          <cell r="E138">
            <v>1668</v>
          </cell>
          <cell r="F138">
            <v>0</v>
          </cell>
          <cell r="G138">
            <v>272473.36</v>
          </cell>
        </row>
        <row r="139">
          <cell r="B139">
            <v>12183</v>
          </cell>
          <cell r="C139" t="str">
            <v>Depósitos Judiciais - Cíveis</v>
          </cell>
          <cell r="D139">
            <v>159084.43</v>
          </cell>
          <cell r="E139">
            <v>1666.79</v>
          </cell>
          <cell r="F139">
            <v>-173.87</v>
          </cell>
          <cell r="G139">
            <v>160577.35</v>
          </cell>
        </row>
        <row r="140">
          <cell r="B140">
            <v>12199</v>
          </cell>
          <cell r="C140" t="str">
            <v>Outros Créditos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</row>
        <row r="141">
          <cell r="B141">
            <v>121991</v>
          </cell>
          <cell r="C141" t="str">
            <v>Cauções e Depósitos Vinculados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</row>
        <row r="142">
          <cell r="B142">
            <v>12199999</v>
          </cell>
          <cell r="C142" t="str">
            <v>Créditos Diversos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</row>
        <row r="143">
          <cell r="B143">
            <v>122</v>
          </cell>
          <cell r="C143" t="str">
            <v>Investimentos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</row>
        <row r="144">
          <cell r="B144">
            <v>1221</v>
          </cell>
          <cell r="C144" t="str">
            <v>Particip. Permanentes em Outras Empresas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</row>
        <row r="145">
          <cell r="B145">
            <v>12211</v>
          </cell>
          <cell r="C145" t="str">
            <v>Investimento em Empresas Coligadas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</row>
        <row r="146">
          <cell r="B146">
            <v>12212</v>
          </cell>
          <cell r="C146" t="str">
            <v>Investimento em Empresas Controladas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</row>
        <row r="147">
          <cell r="B147">
            <v>1222</v>
          </cell>
          <cell r="C147" t="str">
            <v>Outros Investimentos Permanentes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</row>
        <row r="148">
          <cell r="B148">
            <v>12221</v>
          </cell>
          <cell r="C148" t="str">
            <v>Obras de Arte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</row>
        <row r="149">
          <cell r="B149">
            <v>12222</v>
          </cell>
          <cell r="C149" t="str">
            <v>Terrenos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</row>
        <row r="150">
          <cell r="B150">
            <v>123</v>
          </cell>
          <cell r="C150" t="str">
            <v>Imobilizado</v>
          </cell>
          <cell r="D150">
            <v>6159668.9400000004</v>
          </cell>
          <cell r="E150">
            <v>0</v>
          </cell>
          <cell r="F150">
            <v>-131403.76</v>
          </cell>
          <cell r="G150">
            <v>6028265.1799999997</v>
          </cell>
        </row>
        <row r="151">
          <cell r="B151">
            <v>1231</v>
          </cell>
          <cell r="C151" t="str">
            <v>Bens em Operação</v>
          </cell>
          <cell r="D151">
            <v>15234523.779999999</v>
          </cell>
          <cell r="E151">
            <v>0</v>
          </cell>
          <cell r="F151">
            <v>0</v>
          </cell>
          <cell r="G151">
            <v>15234523.779999999</v>
          </cell>
        </row>
        <row r="152">
          <cell r="B152">
            <v>12311</v>
          </cell>
          <cell r="C152" t="str">
            <v>Terrenos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</row>
        <row r="153">
          <cell r="B153">
            <v>12312</v>
          </cell>
          <cell r="C153" t="str">
            <v>Imóveis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</row>
        <row r="154">
          <cell r="B154">
            <v>12313</v>
          </cell>
          <cell r="C154" t="str">
            <v>Instalações</v>
          </cell>
          <cell r="D154">
            <v>2490440.14</v>
          </cell>
          <cell r="E154">
            <v>0</v>
          </cell>
          <cell r="F154">
            <v>0</v>
          </cell>
          <cell r="G154">
            <v>2490440.14</v>
          </cell>
        </row>
        <row r="155">
          <cell r="B155">
            <v>12314</v>
          </cell>
          <cell r="C155" t="str">
            <v>Máquinas e Equipamentos</v>
          </cell>
          <cell r="D155">
            <v>791662.23</v>
          </cell>
          <cell r="E155">
            <v>0</v>
          </cell>
          <cell r="F155">
            <v>0</v>
          </cell>
          <cell r="G155">
            <v>791662.23</v>
          </cell>
        </row>
        <row r="156">
          <cell r="B156">
            <v>12315</v>
          </cell>
          <cell r="C156" t="str">
            <v>Equipamentos de Informática</v>
          </cell>
          <cell r="D156">
            <v>9793991.5</v>
          </cell>
          <cell r="E156">
            <v>0</v>
          </cell>
          <cell r="F156">
            <v>0</v>
          </cell>
          <cell r="G156">
            <v>9793991.5</v>
          </cell>
        </row>
        <row r="157">
          <cell r="B157">
            <v>12317</v>
          </cell>
          <cell r="C157" t="str">
            <v>Móveis e Utensílios</v>
          </cell>
          <cell r="D157">
            <v>2158429.91</v>
          </cell>
          <cell r="E157">
            <v>0</v>
          </cell>
          <cell r="F157">
            <v>0</v>
          </cell>
          <cell r="G157">
            <v>2158429.91</v>
          </cell>
        </row>
        <row r="158">
          <cell r="B158">
            <v>12318</v>
          </cell>
          <cell r="C158" t="str">
            <v>Veículos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</row>
        <row r="159">
          <cell r="B159">
            <v>12319</v>
          </cell>
          <cell r="C159" t="str">
            <v>Ferramentas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</row>
        <row r="160">
          <cell r="B160">
            <v>123111</v>
          </cell>
          <cell r="C160" t="str">
            <v>Benfeitorias em Imóveis de Terceiros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</row>
        <row r="161">
          <cell r="B161">
            <v>123112</v>
          </cell>
          <cell r="C161" t="str">
            <v>Benfeitorias em andamentos em Imóveis de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</row>
        <row r="162">
          <cell r="B162">
            <v>12397</v>
          </cell>
          <cell r="C162" t="str">
            <v>(-) Redução ao Valor Recuperável Imobil.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B163">
            <v>123971</v>
          </cell>
          <cell r="C163" t="str">
            <v>(-) Redução ao Valor Recuperável Imobil.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B164">
            <v>12398</v>
          </cell>
          <cell r="C164" t="str">
            <v>(-) Depreciação, Amortização e Exaustão</v>
          </cell>
          <cell r="D164">
            <v>-9074854.8399999999</v>
          </cell>
          <cell r="E164">
            <v>0</v>
          </cell>
          <cell r="F164">
            <v>-131403.76</v>
          </cell>
          <cell r="G164">
            <v>9206258.5999999996</v>
          </cell>
        </row>
        <row r="165">
          <cell r="B165">
            <v>123981</v>
          </cell>
          <cell r="C165" t="str">
            <v>(-) Imóveis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B166">
            <v>123982</v>
          </cell>
          <cell r="C166" t="str">
            <v>(-) Instalações</v>
          </cell>
          <cell r="D166">
            <v>-409590.68</v>
          </cell>
          <cell r="E166">
            <v>0</v>
          </cell>
          <cell r="F166">
            <v>-20000.46</v>
          </cell>
          <cell r="G166">
            <v>429591.14</v>
          </cell>
        </row>
        <row r="167">
          <cell r="B167">
            <v>123983</v>
          </cell>
          <cell r="C167" t="str">
            <v>(-) Máquinas e Equipamentos</v>
          </cell>
          <cell r="D167">
            <v>-700960.57</v>
          </cell>
          <cell r="E167">
            <v>0</v>
          </cell>
          <cell r="F167">
            <v>-1779</v>
          </cell>
          <cell r="G167">
            <v>702739.57</v>
          </cell>
        </row>
        <row r="168">
          <cell r="B168">
            <v>123984</v>
          </cell>
          <cell r="C168" t="str">
            <v>(-) Equipamentos de Informática</v>
          </cell>
          <cell r="D168">
            <v>-5993058.71</v>
          </cell>
          <cell r="E168">
            <v>0</v>
          </cell>
          <cell r="F168">
            <v>-106519.67</v>
          </cell>
          <cell r="G168">
            <v>6099578.3799999999</v>
          </cell>
        </row>
        <row r="169">
          <cell r="B169">
            <v>123985</v>
          </cell>
          <cell r="C169" t="str">
            <v>(-) Software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</row>
        <row r="170">
          <cell r="B170">
            <v>123986</v>
          </cell>
          <cell r="C170" t="str">
            <v>(-) Móveis e Utensílios</v>
          </cell>
          <cell r="D170">
            <v>-1971244.88</v>
          </cell>
          <cell r="E170">
            <v>0</v>
          </cell>
          <cell r="F170">
            <v>-3104.63</v>
          </cell>
          <cell r="G170">
            <v>1974349.51</v>
          </cell>
        </row>
        <row r="171">
          <cell r="B171">
            <v>123987</v>
          </cell>
          <cell r="C171" t="str">
            <v>(-) Veículos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</row>
        <row r="172">
          <cell r="B172">
            <v>123988</v>
          </cell>
          <cell r="C172" t="str">
            <v>(-) Ferramentas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</row>
        <row r="173">
          <cell r="B173">
            <v>1239810</v>
          </cell>
          <cell r="C173" t="str">
            <v>(-) Benfeitorias em Imóveis de Terceiros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</row>
        <row r="174">
          <cell r="B174">
            <v>124</v>
          </cell>
          <cell r="C174" t="str">
            <v>Intangível</v>
          </cell>
          <cell r="D174">
            <v>4048281.34</v>
          </cell>
          <cell r="E174">
            <v>0</v>
          </cell>
          <cell r="F174">
            <v>-114382.66</v>
          </cell>
          <cell r="G174">
            <v>3933898.68</v>
          </cell>
        </row>
        <row r="175">
          <cell r="B175">
            <v>1241</v>
          </cell>
          <cell r="C175" t="str">
            <v>Software</v>
          </cell>
          <cell r="D175">
            <v>11738715.48</v>
          </cell>
          <cell r="E175">
            <v>0</v>
          </cell>
          <cell r="F175">
            <v>0</v>
          </cell>
          <cell r="G175">
            <v>11738715.48</v>
          </cell>
        </row>
        <row r="176">
          <cell r="B176">
            <v>124101</v>
          </cell>
          <cell r="C176" t="str">
            <v>Software</v>
          </cell>
          <cell r="D176">
            <v>11738715.48</v>
          </cell>
          <cell r="E176">
            <v>0</v>
          </cell>
          <cell r="F176">
            <v>0</v>
          </cell>
          <cell r="G176">
            <v>11738715.48</v>
          </cell>
        </row>
        <row r="177">
          <cell r="B177">
            <v>123110</v>
          </cell>
          <cell r="C177" t="str">
            <v>Marcas e Patentes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</row>
        <row r="178">
          <cell r="B178">
            <v>12497</v>
          </cell>
          <cell r="C178" t="str">
            <v>(-) Redução ao Valor Recuperável Intang.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</row>
        <row r="179">
          <cell r="B179">
            <v>124971</v>
          </cell>
          <cell r="C179" t="str">
            <v>(-) Redução ao Valor Recuperável Intang.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</row>
        <row r="180">
          <cell r="B180">
            <v>12498</v>
          </cell>
          <cell r="C180" t="str">
            <v>( - ) Amortização</v>
          </cell>
          <cell r="D180">
            <v>-7690434.1399999997</v>
          </cell>
          <cell r="E180">
            <v>0</v>
          </cell>
          <cell r="F180">
            <v>-114382.66</v>
          </cell>
          <cell r="G180">
            <v>7804816.7999999998</v>
          </cell>
        </row>
        <row r="181">
          <cell r="B181">
            <v>1242</v>
          </cell>
          <cell r="C181" t="str">
            <v>( - ) Amortização Software</v>
          </cell>
          <cell r="D181">
            <v>-7690434.1399999997</v>
          </cell>
          <cell r="E181">
            <v>0</v>
          </cell>
          <cell r="F181">
            <v>-114382.66</v>
          </cell>
          <cell r="G181">
            <v>7804816.7999999998</v>
          </cell>
        </row>
        <row r="182">
          <cell r="B182">
            <v>123989</v>
          </cell>
          <cell r="C182" t="str">
            <v>(-) Marcas e Patentes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</row>
        <row r="183">
          <cell r="B183">
            <v>2</v>
          </cell>
          <cell r="C183" t="str">
            <v>Passivo</v>
          </cell>
          <cell r="D183">
            <v>-54858202.390000001</v>
          </cell>
          <cell r="E183">
            <v>11525006.98</v>
          </cell>
          <cell r="F183">
            <v>-10134276.85</v>
          </cell>
          <cell r="G183">
            <v>53467472.259999998</v>
          </cell>
        </row>
        <row r="184">
          <cell r="B184">
            <v>21</v>
          </cell>
          <cell r="C184" t="str">
            <v>Circulante</v>
          </cell>
          <cell r="D184">
            <v>-19140014.859999999</v>
          </cell>
          <cell r="E184">
            <v>10142202.949999999</v>
          </cell>
          <cell r="F184">
            <v>-9992692.3100000005</v>
          </cell>
          <cell r="G184">
            <v>18990504.219999999</v>
          </cell>
        </row>
        <row r="185">
          <cell r="B185">
            <v>211</v>
          </cell>
          <cell r="C185" t="str">
            <v>Obrigações de Curto Prazo</v>
          </cell>
          <cell r="D185">
            <v>-19140014.859999999</v>
          </cell>
          <cell r="E185">
            <v>10142202.949999999</v>
          </cell>
          <cell r="F185">
            <v>-9992692.3100000005</v>
          </cell>
          <cell r="G185">
            <v>18990504.219999999</v>
          </cell>
        </row>
        <row r="186">
          <cell r="B186">
            <v>2111</v>
          </cell>
          <cell r="C186" t="str">
            <v>Empréstimos e Financiamentos - Em Moeda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</row>
        <row r="187">
          <cell r="B187">
            <v>21111</v>
          </cell>
          <cell r="C187" t="str">
            <v>Banco do Brasil - Empréstimos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</row>
        <row r="188">
          <cell r="B188">
            <v>21112</v>
          </cell>
          <cell r="C188" t="str">
            <v>Banco do Brasil - Financ.de Bens e Serv.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</row>
        <row r="189">
          <cell r="B189">
            <v>2113</v>
          </cell>
          <cell r="C189" t="str">
            <v>Debêntures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</row>
        <row r="190">
          <cell r="B190">
            <v>21131</v>
          </cell>
          <cell r="C190" t="str">
            <v>Conversíveis em Ações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</row>
        <row r="191">
          <cell r="B191">
            <v>21132</v>
          </cell>
          <cell r="C191" t="str">
            <v>Não Conversíveis em Ações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</row>
        <row r="192">
          <cell r="B192">
            <v>2114</v>
          </cell>
          <cell r="C192" t="str">
            <v>Fornecedores Nacionais</v>
          </cell>
          <cell r="D192">
            <v>-259071.76</v>
          </cell>
          <cell r="E192">
            <v>1478020.24</v>
          </cell>
          <cell r="F192">
            <v>-1508806.18</v>
          </cell>
          <cell r="G192">
            <v>289857.7</v>
          </cell>
        </row>
        <row r="193">
          <cell r="B193">
            <v>60444400000000</v>
          </cell>
          <cell r="C193" t="str">
            <v>LIGHT SERVICOS DE ELETRICIDADE S.A</v>
          </cell>
          <cell r="D193">
            <v>-11673.2</v>
          </cell>
          <cell r="E193">
            <v>46576.53</v>
          </cell>
          <cell r="F193">
            <v>-46576.53</v>
          </cell>
          <cell r="G193">
            <v>11673.2</v>
          </cell>
        </row>
        <row r="194">
          <cell r="B194">
            <v>57143000000000</v>
          </cell>
          <cell r="C194" t="str">
            <v>BRASOFTWARE INFORMATICA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</row>
        <row r="195">
          <cell r="B195">
            <v>34028300000000</v>
          </cell>
          <cell r="C195" t="str">
            <v>EMPRESA BRASILEIRA DE CORREIOS E TELEGRA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</row>
        <row r="196">
          <cell r="B196" t="str">
            <v>75609123/0001-23</v>
          </cell>
          <cell r="C196" t="str">
            <v>OURO VERDE TRANSPORTES E LOCAÇÃO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</row>
        <row r="197">
          <cell r="B197" t="str">
            <v>02877566/0001-21</v>
          </cell>
          <cell r="C197" t="str">
            <v>IBROWSE CONSULTORIA &amp; INFORMATICA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</row>
        <row r="198">
          <cell r="B198" t="str">
            <v>42429480/0001-50</v>
          </cell>
          <cell r="C198" t="str">
            <v>FUNDAÇAO UNIVERSITARIA JOSE BONIFACIO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</row>
        <row r="199">
          <cell r="B199">
            <v>1489070000000</v>
          </cell>
          <cell r="C199" t="str">
            <v>UHY MOREIRA - AUDITORES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</row>
        <row r="200">
          <cell r="B200" t="str">
            <v>00366080/0001-01</v>
          </cell>
          <cell r="C200" t="str">
            <v>THEMAG ENGENHARIA E GERENCIAMENTO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</row>
        <row r="201">
          <cell r="B201" t="str">
            <v>33162512/0001-03</v>
          </cell>
          <cell r="C201" t="str">
            <v>GUANABARA PALACE HOTEL LTDA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</row>
        <row r="202">
          <cell r="B202" t="str">
            <v>72060999/0001-75</v>
          </cell>
          <cell r="C202" t="str">
            <v>FUNDACAO COPPETEC - MATRIZ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</row>
        <row r="203">
          <cell r="B203" t="str">
            <v>33641663/0001-44</v>
          </cell>
          <cell r="C203" t="str">
            <v>FUNDACAO GETULIO VARGAS</v>
          </cell>
          <cell r="D203">
            <v>-3975.88</v>
          </cell>
          <cell r="E203">
            <v>7951.76</v>
          </cell>
          <cell r="F203">
            <v>-7951.76</v>
          </cell>
          <cell r="G203">
            <v>3975.88</v>
          </cell>
        </row>
        <row r="204">
          <cell r="B204" t="str">
            <v>67987883/0001-44</v>
          </cell>
          <cell r="C204" t="str">
            <v>HYDROS ENGENHARIA LTDA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</row>
        <row r="205">
          <cell r="B205" t="str">
            <v>02760660/0002-87</v>
          </cell>
          <cell r="C205" t="str">
            <v>LINK TV CLIPPING ELETRONICO LTDA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</row>
        <row r="206">
          <cell r="B206" t="str">
            <v>33146648/0001-20</v>
          </cell>
          <cell r="C206" t="str">
            <v>CONCREMAT ENGENHARIA E TECNOLOGIA S.A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</row>
        <row r="207">
          <cell r="B207" t="str">
            <v>00869125/0001-52</v>
          </cell>
          <cell r="C207" t="str">
            <v>CALMA INFORMATICA LTDA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</row>
        <row r="208">
          <cell r="B208" t="str">
            <v>01799993/0001-76</v>
          </cell>
          <cell r="C208" t="str">
            <v>CMD MEDICAL CENTER S/C LTDA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</row>
        <row r="209">
          <cell r="B209" t="str">
            <v>02449992/0181-01</v>
          </cell>
          <cell r="C209" t="str">
            <v>VIVO S.A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</row>
        <row r="210">
          <cell r="B210" t="str">
            <v>01012559/0001-02</v>
          </cell>
          <cell r="C210" t="str">
            <v>JATO AEROTAXI LTDA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</row>
        <row r="211">
          <cell r="B211" t="str">
            <v>08401303/0001-28</v>
          </cell>
          <cell r="C211" t="str">
            <v>COMERCIAL DE REFRIGERACAO ICE FRIO LTDA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</row>
        <row r="212">
          <cell r="B212" t="str">
            <v>09168704/0001-42</v>
          </cell>
          <cell r="C212" t="str">
            <v>EMPRESA BRASILEIRA DE COMUNICACAO - EBC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</row>
        <row r="213">
          <cell r="B213" t="str">
            <v>02986452/0001-10</v>
          </cell>
          <cell r="C213" t="str">
            <v>EMIDA INSTALACOES LTDA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</row>
        <row r="214">
          <cell r="B214" t="str">
            <v>07615598/0001-72</v>
          </cell>
          <cell r="C214" t="str">
            <v>BRANDAO DO ITANHANGA SERV. GRAFICOS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</row>
        <row r="215">
          <cell r="B215" t="str">
            <v>72109291/0001-61</v>
          </cell>
          <cell r="C215" t="str">
            <v>FACILITY CENTRAL DE SERV. LTDA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</row>
        <row r="216">
          <cell r="B216" t="str">
            <v>32985244/0001-67</v>
          </cell>
          <cell r="C216" t="str">
            <v>VIADOTTO E MOLINA LTDA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</row>
        <row r="217">
          <cell r="B217" t="str">
            <v>01245055/0001-24</v>
          </cell>
          <cell r="C217" t="str">
            <v>HENRY EQUIPAMENTOS ELETRONICOS E SISTEMA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</row>
        <row r="218">
          <cell r="B218" t="str">
            <v>08689801/0001-18</v>
          </cell>
          <cell r="C218" t="str">
            <v>ALERTE - AUTOMATIZACAO DE LEITURA REC.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</row>
        <row r="219">
          <cell r="B219" t="str">
            <v>07228550/0001-01</v>
          </cell>
          <cell r="C219" t="str">
            <v>MUNDIVOX TELECOMUNICACOES LTDA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</row>
        <row r="220">
          <cell r="B220" t="str">
            <v>00119796/0001-04</v>
          </cell>
          <cell r="C220" t="str">
            <v>A2 EMPREENDIMENTOS LTDA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</row>
        <row r="221">
          <cell r="B221" t="str">
            <v>68665355/0001-33</v>
          </cell>
          <cell r="C221" t="str">
            <v>RL SISTEC SERV. E SISTEMAS ELETRONICOS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</row>
        <row r="222">
          <cell r="B222" t="str">
            <v>35795210/0001-06</v>
          </cell>
          <cell r="C222" t="str">
            <v>AGRAR CONSULTORIA E ESTUDOS TECNICOS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</row>
        <row r="223">
          <cell r="B223" t="str">
            <v>09305983/0001-49</v>
          </cell>
          <cell r="C223" t="str">
            <v>PSR SOLUCOES E CONSULTORIA EM ENERGIA LT</v>
          </cell>
          <cell r="D223">
            <v>0</v>
          </cell>
          <cell r="E223">
            <v>5080.13</v>
          </cell>
          <cell r="F223">
            <v>-5080.13</v>
          </cell>
          <cell r="G223">
            <v>0</v>
          </cell>
        </row>
        <row r="224">
          <cell r="B224" t="str">
            <v>30280440/0001-00</v>
          </cell>
          <cell r="C224" t="str">
            <v>TECNOMOVEL INDUSTRIA COMERCIO E SERVICOS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</row>
        <row r="225">
          <cell r="B225" t="str">
            <v>10697727/0001-12</v>
          </cell>
          <cell r="C225" t="str">
            <v>BAZAR SHOPPING SOLUCOES LTDA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</row>
        <row r="226">
          <cell r="B226" t="str">
            <v>32185357/0001-88</v>
          </cell>
          <cell r="C226" t="str">
            <v>ALK ENGENHARIA E COMERCIO LTDA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</row>
        <row r="227">
          <cell r="B227" t="str">
            <v>02558157/0001-62</v>
          </cell>
          <cell r="C227" t="str">
            <v>TELEFONICA BRASIL S.A.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</row>
        <row r="228">
          <cell r="B228" t="str">
            <v>04571978/0001-64</v>
          </cell>
          <cell r="C228" t="str">
            <v>BELLATRIX NETWORK COM. E SERVICOS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</row>
        <row r="229">
          <cell r="B229" t="str">
            <v>01342499/0005-01</v>
          </cell>
          <cell r="C229" t="str">
            <v>BRASVENDING COMERCIAL LTDA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</row>
        <row r="230">
          <cell r="B230" t="str">
            <v>31563034/0001-18</v>
          </cell>
          <cell r="C230" t="str">
            <v>FEEDBACKTUR VIAGENS LTDA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</row>
        <row r="231">
          <cell r="B231" t="str">
            <v>05102672/0001-21</v>
          </cell>
          <cell r="C231" t="str">
            <v>CLAUDIA WATANABE ADVOGADOS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</row>
        <row r="232">
          <cell r="B232" t="str">
            <v>76436849/0001-74</v>
          </cell>
          <cell r="C232" t="str">
            <v>ENGEFOTO ENGENHARIA E AEROLEVANTAMENTOS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</row>
        <row r="233">
          <cell r="B233" t="str">
            <v>69034668/0001-56</v>
          </cell>
          <cell r="C233" t="str">
            <v>SODEXO PASS DO BRASIL SERVC. E COMERCIO</v>
          </cell>
          <cell r="D233">
            <v>0</v>
          </cell>
          <cell r="E233">
            <v>212803.66</v>
          </cell>
          <cell r="F233">
            <v>-212803.66</v>
          </cell>
          <cell r="G233">
            <v>0</v>
          </cell>
        </row>
        <row r="234">
          <cell r="B234" t="str">
            <v>00877761/0001-26</v>
          </cell>
          <cell r="C234" t="str">
            <v>DEL MORO E DE MORO LTDA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</row>
        <row r="235">
          <cell r="B235" t="str">
            <v>02604000/0001-26</v>
          </cell>
          <cell r="C235" t="str">
            <v>ASSOCIACAO VALE TELES PIRES DE COMUNICAC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</row>
        <row r="236">
          <cell r="B236" t="str">
            <v>10141728/0001-97</v>
          </cell>
          <cell r="C236" t="str">
            <v>ODAIR MARTINS DA SILVA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</row>
        <row r="237">
          <cell r="B237" t="str">
            <v>70424882/0001-06</v>
          </cell>
          <cell r="C237" t="str">
            <v>AUTO POSTO M5 LTDA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</row>
        <row r="238">
          <cell r="B238" t="str">
            <v>24752610/0001-00</v>
          </cell>
          <cell r="C238" t="str">
            <v>L. DE SOUZA &amp; CIA LTDA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</row>
        <row r="239">
          <cell r="B239" t="str">
            <v>04694533/0001-71</v>
          </cell>
          <cell r="C239" t="str">
            <v>PROCANA BRASIL CENTRO DE INFORMACOES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</row>
        <row r="240">
          <cell r="B240" t="str">
            <v>09480867/0001-66</v>
          </cell>
          <cell r="C240" t="str">
            <v>IRMAS SISTERS PRODUCOES CINEMATOGRAFICAS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</row>
        <row r="241">
          <cell r="B241" t="str">
            <v>08007596/0001-63</v>
          </cell>
          <cell r="C241" t="str">
            <v>MES EVENTOS LTDA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</row>
        <row r="242">
          <cell r="B242" t="str">
            <v>09388514/0001-30</v>
          </cell>
          <cell r="C242" t="str">
            <v>BRC 1 PRODUCOES LTDA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</row>
        <row r="243">
          <cell r="B243" t="str">
            <v>10502944/0001-10</v>
          </cell>
          <cell r="C243" t="str">
            <v>IDEA PROMOCOES SERV. E LOCACOES LTDA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</row>
        <row r="244">
          <cell r="B244" t="str">
            <v>02907387/0001-90</v>
          </cell>
          <cell r="C244" t="str">
            <v>AMERICA DO SUL TAXI AEREO LTDA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</row>
        <row r="245">
          <cell r="B245" t="str">
            <v>07940977/0001-38</v>
          </cell>
          <cell r="C245" t="str">
            <v>INFOTECH SOLUCOES EM INFORMATICA LTDA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</row>
        <row r="246">
          <cell r="B246" t="str">
            <v>04926160/0001-17</v>
          </cell>
          <cell r="C246" t="str">
            <v>POWERBRAS IND. E COM. LTDA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</row>
        <row r="247">
          <cell r="B247" t="str">
            <v>01310499/0001-04</v>
          </cell>
          <cell r="C247" t="str">
            <v>ASSOCIACAO COMUNITARIA RADIO FM CLAUDIA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</row>
        <row r="248">
          <cell r="B248" t="str">
            <v>09603902/0001-97</v>
          </cell>
          <cell r="C248" t="str">
            <v>SHOPNETWORKS COMERCIO DE PRODUTOS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</row>
        <row r="249">
          <cell r="B249" t="str">
            <v>02299257/0001-11</v>
          </cell>
          <cell r="C249" t="str">
            <v>GEODESING SISTEMAS DE INFORMACAO LTDA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</row>
        <row r="250">
          <cell r="B250" t="str">
            <v>04999113/0001-01</v>
          </cell>
          <cell r="C250" t="str">
            <v>LC EMPREENDIMENTOS E SERVICOS LTDA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</row>
        <row r="251">
          <cell r="B251" t="str">
            <v>10345104/0001-91</v>
          </cell>
          <cell r="C251" t="str">
            <v>MACTECNOLOGY COM. DE INFORMATICA LTDA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</row>
        <row r="252">
          <cell r="B252" t="str">
            <v>06241557/0001-09</v>
          </cell>
          <cell r="C252" t="str">
            <v>INGRAM MICRO TECNOLOGIA E INFORMATICA LT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</row>
        <row r="253">
          <cell r="B253" t="str">
            <v>08322782/0001-97</v>
          </cell>
          <cell r="C253" t="str">
            <v>AQUA GENESIS INSTITUTO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</row>
        <row r="254">
          <cell r="B254" t="str">
            <v>00604122/0001-97</v>
          </cell>
          <cell r="C254" t="str">
            <v>TRIVALE ADM. LTDA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</row>
        <row r="255">
          <cell r="B255" t="str">
            <v>11050205/0001-06</v>
          </cell>
          <cell r="C255" t="str">
            <v>CNEC PROJETOS DE ENGENHARIA S.A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</row>
        <row r="256">
          <cell r="B256" t="str">
            <v>10925387/0001-40</v>
          </cell>
          <cell r="C256" t="str">
            <v>TITAN SOLUTIONS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</row>
        <row r="257">
          <cell r="B257" t="str">
            <v>33661745/0001-50</v>
          </cell>
          <cell r="C257" t="str">
            <v>CIEE</v>
          </cell>
          <cell r="D257">
            <v>0</v>
          </cell>
          <cell r="E257">
            <v>2423.3000000000002</v>
          </cell>
          <cell r="F257">
            <v>-2423.3000000000002</v>
          </cell>
          <cell r="G257">
            <v>0</v>
          </cell>
        </row>
        <row r="258">
          <cell r="B258" t="str">
            <v>12335320/0001-81</v>
          </cell>
          <cell r="C258" t="str">
            <v>VN AUTOMACAO E ENTRETENIMENTOS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</row>
        <row r="259">
          <cell r="B259" t="str">
            <v>09461568/0001-84</v>
          </cell>
          <cell r="C259" t="str">
            <v>ECOMETRIKA CONSULTORIA EMPRESARIAL LTDA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</row>
        <row r="260">
          <cell r="B260" t="str">
            <v>67393181/0001-34</v>
          </cell>
          <cell r="C260" t="str">
            <v>IMAGEM GEOSISTEMAS E COMERCIO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</row>
        <row r="261">
          <cell r="B261" t="str">
            <v>08496003/0001-70</v>
          </cell>
          <cell r="C261" t="str">
            <v>MISTER X PRODUTOS ALIMENTICIOS LTDA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</row>
        <row r="262">
          <cell r="B262" t="str">
            <v>29508686/0001-01</v>
          </cell>
          <cell r="C262" t="str">
            <v>THOMSON REUTERS SERVICOS ECONOMICOS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</row>
        <row r="263">
          <cell r="B263" t="str">
            <v>43283811/0001-50</v>
          </cell>
          <cell r="C263" t="str">
            <v>KALUNGA COM. E. IND. GRAFICA LTDA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</row>
        <row r="264">
          <cell r="B264" t="str">
            <v>03136691/0001-75</v>
          </cell>
          <cell r="C264" t="str">
            <v>RADIODIFUSAO LTDA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</row>
        <row r="265">
          <cell r="B265" t="str">
            <v>68314830/0001-27</v>
          </cell>
          <cell r="C265" t="str">
            <v>FUND. DE APOIO A UNIVERSIDADE DE SAO PAU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</row>
        <row r="266">
          <cell r="B266" t="str">
            <v>33530486/0001-29</v>
          </cell>
          <cell r="C266" t="str">
            <v>EMP. BRAS. TELECOMUNICACOES - EMBRATEL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</row>
        <row r="267">
          <cell r="B267" t="str">
            <v>61797924/0007-40</v>
          </cell>
          <cell r="C267" t="str">
            <v>HEWLETT PACKARD DO BRASIL LTDA</v>
          </cell>
          <cell r="D267">
            <v>-8454.1200000000008</v>
          </cell>
          <cell r="E267">
            <v>8454.1200000000008</v>
          </cell>
          <cell r="F267">
            <v>-8454.1200000000008</v>
          </cell>
          <cell r="G267">
            <v>8454.1200000000008</v>
          </cell>
        </row>
        <row r="268">
          <cell r="B268" t="str">
            <v>71208516/0171-40</v>
          </cell>
          <cell r="C268" t="str">
            <v>COMPANHIA DE TELECOMUNICACAO DO BRASIL C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</row>
        <row r="269">
          <cell r="B269" t="str">
            <v>31153877/0001-46</v>
          </cell>
          <cell r="C269" t="str">
            <v>ASSOCIACAO NACIONAL DE PESQUISA E ENSINO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</row>
        <row r="270">
          <cell r="B270" t="str">
            <v>33747288/0001-11</v>
          </cell>
          <cell r="C270" t="str">
            <v>FEDERAÇÃO DAS EMPRESAS DE TRANSPORTES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</row>
        <row r="271">
          <cell r="B271" t="str">
            <v>05152318/0001-01</v>
          </cell>
          <cell r="C271" t="str">
            <v>AGUIAR FERES AUDITORES INDEPENDENTES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</row>
        <row r="272">
          <cell r="B272" t="str">
            <v>07604035/0001-89</v>
          </cell>
          <cell r="C272" t="str">
            <v>RTA COMERCIO E SERVICO DE ASSISTENCIA</v>
          </cell>
          <cell r="D272">
            <v>-2581</v>
          </cell>
          <cell r="E272">
            <v>2900</v>
          </cell>
          <cell r="F272">
            <v>-2900</v>
          </cell>
          <cell r="G272">
            <v>2581</v>
          </cell>
        </row>
        <row r="273">
          <cell r="B273" t="str">
            <v>42270058/0001-03</v>
          </cell>
          <cell r="C273" t="str">
            <v>GMR EQUIPAMENTOS ELETRICOS LTDA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</row>
        <row r="274">
          <cell r="B274" t="str">
            <v>08273068/0001-56</v>
          </cell>
          <cell r="C274" t="str">
            <v>LODI E LOBO ADVOGADOS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</row>
        <row r="275">
          <cell r="B275" t="str">
            <v>04491285/0001-61</v>
          </cell>
          <cell r="C275" t="str">
            <v>DOMINIO E CONTABIL LTDA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</row>
        <row r="276">
          <cell r="B276" t="str">
            <v>01579387/0007-30</v>
          </cell>
          <cell r="C276" t="str">
            <v>INVESTIPLAN COMPUTADORES E SISTEMAS LTDA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</row>
        <row r="277">
          <cell r="B277" t="str">
            <v>01724795/0001-43</v>
          </cell>
          <cell r="C277" t="str">
            <v>MICROWARE TECNOLOGIA DE INFORMATICA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</row>
        <row r="278">
          <cell r="B278" t="str">
            <v>07737772/0001-50</v>
          </cell>
          <cell r="C278" t="str">
            <v>CURI GOMES ASSOCIADOS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</row>
        <row r="279">
          <cell r="B279" t="str">
            <v>07566239/0001-72</v>
          </cell>
          <cell r="C279" t="str">
            <v>GAS ENERGY ASSESSORIA EMPRESARIAL LTDA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</row>
        <row r="280">
          <cell r="B280" t="str">
            <v>34163329/0002-61</v>
          </cell>
          <cell r="C280" t="str">
            <v>IBEF RIO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</row>
        <row r="281">
          <cell r="B281">
            <v>211049</v>
          </cell>
          <cell r="C281" t="str">
            <v>VINIPEL COMERCIAL LTDA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</row>
        <row r="282">
          <cell r="B282" t="str">
            <v>VET</v>
          </cell>
          <cell r="C282" t="str">
            <v>TECHNICAL BOOKS LIVRARIA LTDA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</row>
        <row r="283">
          <cell r="B283" t="str">
            <v>22945226/0001-64</v>
          </cell>
          <cell r="C283" t="str">
            <v>ASSOCIACAO DE UNIVERSIDADES AMAZONICAS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</row>
        <row r="284">
          <cell r="B284">
            <v>60925200000000</v>
          </cell>
          <cell r="C284" t="str">
            <v>INSTITUTO ACO BRASIL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</row>
        <row r="285">
          <cell r="B285">
            <v>5633720000000</v>
          </cell>
          <cell r="C285" t="str">
            <v>INSTITUTO OLHAR PESQUISA E INFORMACAO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</row>
        <row r="286">
          <cell r="B286" t="str">
            <v>02837642/0001-75</v>
          </cell>
          <cell r="C286" t="str">
            <v>ACADEMIA DE DESEN. PROF. E ORG. LTDA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</row>
        <row r="287">
          <cell r="B287" t="str">
            <v>32086274/0001-31</v>
          </cell>
          <cell r="C287" t="str">
            <v>A CHAVE NEIDE ME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</row>
        <row r="288">
          <cell r="B288" t="str">
            <v>01017250/0001-05</v>
          </cell>
          <cell r="C288" t="str">
            <v>VOETUR TURISMO E REPRESENTACOES LTDA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</row>
        <row r="289">
          <cell r="B289" t="str">
            <v>06320095/0001-07</v>
          </cell>
          <cell r="C289" t="str">
            <v>UNIQUE RENTA CAR LOCADORA DE VEICULOS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</row>
        <row r="290">
          <cell r="B290" t="str">
            <v>08071768/0001-68</v>
          </cell>
          <cell r="C290" t="str">
            <v>BIODIESELBR ON LINE LTDA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</row>
        <row r="291">
          <cell r="B291" t="str">
            <v>07347790/0001-25</v>
          </cell>
          <cell r="C291" t="str">
            <v>PLC REFRIGERACO E SSERVICOS LTDA-ME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</row>
        <row r="292">
          <cell r="B292" t="str">
            <v>58619404/0001-48</v>
          </cell>
          <cell r="C292" t="str">
            <v>SEAL TELECOM SERVICO TELECOMUNICACOES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</row>
        <row r="293">
          <cell r="B293" t="str">
            <v>71208516/0001-74</v>
          </cell>
          <cell r="C293" t="str">
            <v>ALGAR SERVICO E TELECOMUNICACOES</v>
          </cell>
          <cell r="D293">
            <v>-176.73</v>
          </cell>
          <cell r="E293">
            <v>392.78</v>
          </cell>
          <cell r="F293">
            <v>-1451.27</v>
          </cell>
          <cell r="G293">
            <v>1235.22</v>
          </cell>
        </row>
        <row r="294">
          <cell r="B294" t="str">
            <v>07877167/0001-84</v>
          </cell>
          <cell r="C294" t="str">
            <v>HOROS COMUNICACAO E EVENTOS LTDA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</row>
        <row r="295">
          <cell r="B295" t="str">
            <v>65649154/0001-54</v>
          </cell>
          <cell r="C295" t="str">
            <v>DATAGRO PUBLICACOES LTDA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</row>
        <row r="296">
          <cell r="B296" t="str">
            <v>05984239/0001-67</v>
          </cell>
          <cell r="C296" t="str">
            <v>AMMPLANAC SOLUTIONS DE INFORMATICA LTDA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</row>
        <row r="297">
          <cell r="B297" t="str">
            <v>00278452/0001-30</v>
          </cell>
          <cell r="C297" t="str">
            <v>IDEMP INSTITUTO DE DESENVOLVIMENTO EMPRE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</row>
        <row r="298">
          <cell r="B298" t="str">
            <v>00758743/0001-25</v>
          </cell>
          <cell r="C298" t="str">
            <v>LCA CONSULTORES LTDA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</row>
        <row r="299">
          <cell r="B299" t="str">
            <v>39130646/0001-29</v>
          </cell>
          <cell r="C299" t="str">
            <v>SOCIEDADE BRASILEIRA DE PLANEJAMENTO ENE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</row>
        <row r="300">
          <cell r="B300" t="str">
            <v>09228201/0001-15</v>
          </cell>
          <cell r="C300" t="str">
            <v>JG 2008 EDITORA E COMUNICACAO LTDA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</row>
        <row r="301">
          <cell r="B301" t="str">
            <v>00063069/0001-64</v>
          </cell>
          <cell r="C301" t="str">
            <v>STAR INFO SERVICOS DE INFORMATICA LTDA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</row>
        <row r="302">
          <cell r="B302" t="str">
            <v>27128875/0001-20</v>
          </cell>
          <cell r="C302" t="str">
            <v>CARTORIO 17 OFICIO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</row>
        <row r="303">
          <cell r="B303" t="str">
            <v>03309608/0001-90</v>
          </cell>
          <cell r="C303" t="str">
            <v>MAXLUX COMERCIO DE DECORACOES LTDA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</row>
        <row r="304">
          <cell r="B304" t="str">
            <v>00974211/0001-25</v>
          </cell>
          <cell r="C304" t="str">
            <v>LINHA AMARELA SA - LAMSA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</row>
        <row r="305">
          <cell r="B305" t="str">
            <v>07892266/0001-35</v>
          </cell>
          <cell r="C305" t="str">
            <v>KAWA COMERCIO, PROJETOS E SERV. EM AR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</row>
        <row r="306">
          <cell r="B306">
            <v>110245</v>
          </cell>
          <cell r="C306" t="str">
            <v>FUNDO DE IMPRENSA NACIONAL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</row>
        <row r="307">
          <cell r="B307" t="str">
            <v>30482814/0001-70</v>
          </cell>
          <cell r="C307" t="str">
            <v>NIPOMAQ MAQUINAS DE ESCRITORIO LTDA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</row>
        <row r="308">
          <cell r="B308" t="str">
            <v>07725342/0001-18</v>
          </cell>
          <cell r="C308" t="str">
            <v>N.SILVA COMERCIO E SERVICOS LTDA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</row>
        <row r="309">
          <cell r="B309" t="str">
            <v>12293822/0001-97</v>
          </cell>
          <cell r="C309" t="str">
            <v>ASSOCIACAO DOS PESQUISADORES EM PLANTAS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</row>
        <row r="310">
          <cell r="B310" t="str">
            <v>11124330/0001-05</v>
          </cell>
          <cell r="C310" t="str">
            <v>IDETI EVENTOS E PESQUISAS EM INFORMATICA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</row>
        <row r="311">
          <cell r="B311" t="str">
            <v>31247083/0001-41</v>
          </cell>
          <cell r="C311" t="str">
            <v>ASSOCIAÇÃO BRASILEIRA DE RECURSOS HUMANO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</row>
        <row r="312">
          <cell r="B312" t="str">
            <v>07295815/0001-94</v>
          </cell>
          <cell r="C312" t="str">
            <v>PRONTIDAO COM. E SERV. DE INFO. LTDA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</row>
        <row r="313">
          <cell r="B313" t="str">
            <v>05128653/0001-74</v>
          </cell>
          <cell r="C313" t="str">
            <v>NDJ SIMPOSIOS E TREINAMENTOS LTDA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</row>
        <row r="314">
          <cell r="B314" t="str">
            <v>27958859/0001-64</v>
          </cell>
          <cell r="C314" t="str">
            <v>EDITORA BRASIL ENERGIA LTDA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</row>
        <row r="315">
          <cell r="B315" t="str">
            <v>00710799/0001-00</v>
          </cell>
          <cell r="C315" t="str">
            <v>ALLEN RIO SERV. COM. DE INFORMATICA LTDA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</row>
        <row r="316">
          <cell r="B316" t="str">
            <v>22642565/0001-05</v>
          </cell>
          <cell r="C316" t="str">
            <v>CP2 CONSULTORIA PESQUISA E PLANEJAMENTO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</row>
        <row r="317">
          <cell r="B317" t="str">
            <v>04053315/0001-58</v>
          </cell>
          <cell r="C317" t="str">
            <v>NSI TRAINING TECNOLOGIA S/C LTDA.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</row>
        <row r="318">
          <cell r="B318" t="str">
            <v>59453225/0001-46</v>
          </cell>
          <cell r="C318" t="str">
            <v>FLOKART IND. COM. PRODUTOS PROMOCIONAIS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</row>
        <row r="319">
          <cell r="B319" t="str">
            <v>08906581/0001-37</v>
          </cell>
          <cell r="C319" t="str">
            <v>MARTENSEN E BRAGA LTDA-EPP.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</row>
        <row r="320">
          <cell r="B320" t="str">
            <v>00103582/0005-65</v>
          </cell>
          <cell r="C320" t="str">
            <v>ENGEVIX ENGENHARIA S.A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</row>
        <row r="321">
          <cell r="B321" t="str">
            <v>61562112/0002-01</v>
          </cell>
          <cell r="C321" t="str">
            <v>PRICEWATERHOUSECOOPERS AUDITORES INDEPEN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</row>
        <row r="322">
          <cell r="B322" t="str">
            <v>29408770/0001-50</v>
          </cell>
          <cell r="C322" t="str">
            <v>CIARLINI CONSULTORIA E PROJETOS LTDA.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</row>
        <row r="323">
          <cell r="B323" t="str">
            <v>04216871/0001-06</v>
          </cell>
          <cell r="C323" t="str">
            <v>EXECUTIVE VANS LOCADORA DE VEICULOS LTDA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</row>
        <row r="324">
          <cell r="B324" t="str">
            <v>10015425/0001-28</v>
          </cell>
          <cell r="C324" t="str">
            <v>DAMIER RIO DESENTUPIDORA LTDA.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</row>
        <row r="325">
          <cell r="B325" t="str">
            <v>43730787/0001-50</v>
          </cell>
          <cell r="C325" t="str">
            <v>ABTD - ASSOCIACAO BRASILEIRA DE TREINAME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</row>
        <row r="326">
          <cell r="B326" t="str">
            <v>21040001/0001-30</v>
          </cell>
          <cell r="C326" t="str">
            <v>UNIVERSIDADE FEDERAL DE ITAJUBA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</row>
        <row r="327">
          <cell r="B327" t="str">
            <v>13376180/0001-52</v>
          </cell>
          <cell r="C327" t="str">
            <v>CEAP CONCURSOS LTDA-ME.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</row>
        <row r="328">
          <cell r="B328">
            <v>33634300000000</v>
          </cell>
          <cell r="C328" t="str">
            <v>IBP - INST. BRASILEIRO PET. GAS E BIOC.</v>
          </cell>
          <cell r="D328">
            <v>0</v>
          </cell>
          <cell r="E328">
            <v>0</v>
          </cell>
          <cell r="F328">
            <v>-1965.2</v>
          </cell>
          <cell r="G328">
            <v>1965.2</v>
          </cell>
        </row>
        <row r="329">
          <cell r="B329" t="str">
            <v>33170515/0001-99</v>
          </cell>
          <cell r="C329" t="str">
            <v>L´HENRIETTE CONFEITARIA LTDA.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</row>
        <row r="330">
          <cell r="B330" t="str">
            <v>32323115/0001-03</v>
          </cell>
          <cell r="C330" t="str">
            <v>PRO FIT COACHING CONS. TREINAMENTO PROF.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</row>
        <row r="331">
          <cell r="B331" t="str">
            <v>06987364/0001-93</v>
          </cell>
          <cell r="C331" t="str">
            <v>CTEE - CENTRO TREIN. ESTUDOS EM ENERGIA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</row>
        <row r="332">
          <cell r="B332" t="str">
            <v>04765777/0001-06</v>
          </cell>
          <cell r="C332" t="str">
            <v>ESTRATEGIA EM RECURSOS HUMANOS LTDA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</row>
        <row r="333">
          <cell r="B333" t="str">
            <v>05983000/0001-72</v>
          </cell>
          <cell r="C333" t="str">
            <v>ADJUVARE EVENTOS E SERVICOS LTDA.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</row>
        <row r="334">
          <cell r="B334" t="str">
            <v>61160768/0001-17</v>
          </cell>
          <cell r="C334" t="str">
            <v>LEX EDITORA SA.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</row>
        <row r="335">
          <cell r="B335" t="str">
            <v>05230078/0001-16</v>
          </cell>
          <cell r="C335" t="str">
            <v>PERSIANAS BRASIL BLINDS LTDA.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</row>
        <row r="336">
          <cell r="B336" t="str">
            <v>08403264/0001-06</v>
          </cell>
          <cell r="C336" t="str">
            <v>COMPLEXO JURIDICO RENATO SARAIVA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</row>
        <row r="337">
          <cell r="B337" t="str">
            <v>58900622/0001-56</v>
          </cell>
          <cell r="C337" t="str">
            <v>EDITORA CL-A CULTURAL LTDA.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</row>
        <row r="338">
          <cell r="B338" t="str">
            <v>33402892/0002-97</v>
          </cell>
          <cell r="C338" t="str">
            <v>ASSOCIAÇÃO BRASILEIRA DE NORMAS TECNICAS</v>
          </cell>
          <cell r="D338">
            <v>0</v>
          </cell>
          <cell r="E338">
            <v>1458.33</v>
          </cell>
          <cell r="F338">
            <v>-1458.33</v>
          </cell>
          <cell r="G338">
            <v>0</v>
          </cell>
        </row>
        <row r="339">
          <cell r="B339" t="str">
            <v>10476565/0001-01</v>
          </cell>
          <cell r="C339" t="str">
            <v>OCEANO SERVICOS LTDA.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</row>
        <row r="340">
          <cell r="B340" t="str">
            <v>60540333/0002-16</v>
          </cell>
          <cell r="C340" t="str">
            <v>THE BRITISH CHAMBER OF COMMERCE AND INDU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</row>
        <row r="341">
          <cell r="B341" t="str">
            <v>12867225/0001-29</v>
          </cell>
          <cell r="C341" t="str">
            <v>DC STUDIO PRODUCOES LTDA.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</row>
        <row r="342">
          <cell r="B342" t="str">
            <v>00543800/0001-59</v>
          </cell>
          <cell r="C342" t="str">
            <v>IIR INFORMA SEMINARIOS LTDA.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</row>
        <row r="343">
          <cell r="B343" t="str">
            <v>04106216/0001-97</v>
          </cell>
          <cell r="C343" t="str">
            <v>SOUZA E PINHO ENGENHARIA E ARQUITETURA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</row>
        <row r="344">
          <cell r="B344" t="str">
            <v>12404897/0001-06</v>
          </cell>
          <cell r="C344" t="str">
            <v>DOUGLAS WILLE &amp; CIA LTDA - ME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</row>
        <row r="345">
          <cell r="B345" t="str">
            <v>04217374/0001-14</v>
          </cell>
          <cell r="C345" t="str">
            <v>STOCK GRAF COMERCIO MATERIAIS GRAFICOS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</row>
        <row r="346">
          <cell r="B346" t="str">
            <v>42417493/0001-00</v>
          </cell>
          <cell r="C346" t="str">
            <v>MUNDIVIDROS VIDROS CRISTAIS E MOLDURAS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</row>
        <row r="347">
          <cell r="B347" t="str">
            <v>26976381/0001-32</v>
          </cell>
          <cell r="C347" t="str">
            <v>MULTPAPER DISTRIBUIDORA DE PAPAEIS LTDA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</row>
        <row r="348">
          <cell r="B348" t="str">
            <v>09677300/0001-84</v>
          </cell>
          <cell r="C348" t="str">
            <v>JC&amp;I DESIGN E STUDIO LTDA.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</row>
        <row r="349">
          <cell r="B349" t="str">
            <v>13373975/0001-07</v>
          </cell>
          <cell r="C349" t="str">
            <v>THIAGO KAZOROSKY PINHEIRO &amp; CIA LTDA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</row>
        <row r="350">
          <cell r="B350" t="str">
            <v>02105010/0001-17</v>
          </cell>
          <cell r="C350" t="str">
            <v>AGENCIA VIRTUAL LTDA.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</row>
        <row r="351">
          <cell r="B351">
            <v>30033800000000</v>
          </cell>
          <cell r="C351" t="str">
            <v>COMITE NAC. BRASILEIRO PROD. TRANS. ENER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</row>
        <row r="352">
          <cell r="B352" t="str">
            <v>04619903/0001-06</v>
          </cell>
          <cell r="C352" t="str">
            <v>SEND COPY CANDELARIA SERV. REPROGRAFICOS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</row>
        <row r="353">
          <cell r="B353" t="str">
            <v>13488395/0001-65</v>
          </cell>
          <cell r="C353" t="str">
            <v>MARCENARIA SAO JORGE SAO JOSE EIERLI ME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</row>
        <row r="354">
          <cell r="B354" t="str">
            <v>72414691/0001-80</v>
          </cell>
          <cell r="C354" t="str">
            <v>INOVATIVA - APRIMORAMENTO TREINAMENTO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</row>
        <row r="355">
          <cell r="B355" t="str">
            <v>11281612/0001-16</v>
          </cell>
          <cell r="C355" t="str">
            <v>SOLUCAO BRASIL TECNOLOGIA INFORMACAO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</row>
        <row r="356">
          <cell r="B356" t="str">
            <v>01138264/0001-79</v>
          </cell>
          <cell r="C356" t="str">
            <v>BIOVET SERVICOS LTDA.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</row>
        <row r="357">
          <cell r="B357" t="str">
            <v>07282970/0001-76</v>
          </cell>
          <cell r="C357" t="str">
            <v>NTX COMERCIO CONSULTORIA E SERVICOS LTDA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</row>
        <row r="358">
          <cell r="B358" t="str">
            <v>29317518/0001-35</v>
          </cell>
          <cell r="C358" t="str">
            <v>JH SATURNO COM. MAT. ESC. LIMP. E INF.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</row>
        <row r="359">
          <cell r="B359" t="str">
            <v>02485591/0001-60</v>
          </cell>
          <cell r="C359" t="str">
            <v>TENDENCIAS CONSULTORIA INTEGRADA S/S LTD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</row>
        <row r="360">
          <cell r="B360" t="str">
            <v>00316087/0001-00</v>
          </cell>
          <cell r="C360" t="str">
            <v>CONCARP CONSERVACAO E LIMPEZA LTDA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</row>
        <row r="361">
          <cell r="B361" t="str">
            <v>04572946/0001-83</v>
          </cell>
          <cell r="C361" t="str">
            <v>BOOKHUNTER LIVRARIA LTDA.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</row>
        <row r="362">
          <cell r="B362" t="str">
            <v>05292903/0001-07</v>
          </cell>
          <cell r="C362" t="str">
            <v>PETT &amp; CAPELLATO REPRESENTACOES LTDA.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</row>
        <row r="363">
          <cell r="B363" t="str">
            <v>18025536/0001-27</v>
          </cell>
          <cell r="C363" t="str">
            <v>FUNDACAO DE PESQ. E ASSESSORAMENTO A IND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</row>
        <row r="364">
          <cell r="B364" t="str">
            <v>02704211/0001-30</v>
          </cell>
          <cell r="C364" t="str">
            <v>EXPERTISE TECNOLOGIA DESENVOLVIMENTO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</row>
        <row r="365">
          <cell r="B365" t="str">
            <v>03811232/0001-18</v>
          </cell>
          <cell r="C365" t="str">
            <v>COMERCIAL GAULIA LTDA.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</row>
        <row r="366">
          <cell r="B366" t="str">
            <v>27014752/0001-68</v>
          </cell>
          <cell r="C366" t="str">
            <v>FLOAT - GLASS - COMERCIO E SERVICOS LTDA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</row>
        <row r="367">
          <cell r="B367" t="str">
            <v>00729829/0001-20</v>
          </cell>
          <cell r="C367" t="str">
            <v>KARTROLIN BRINDES MATERIAL P/ ESCRITORIO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</row>
        <row r="368">
          <cell r="B368" t="str">
            <v>36003671/0001-53</v>
          </cell>
          <cell r="C368" t="str">
            <v>CONSULTRE CONSULTORIA E TREINAMENTO LTDA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</row>
        <row r="369">
          <cell r="B369" t="str">
            <v>09335355/0001-06</v>
          </cell>
          <cell r="C369" t="str">
            <v>FACIL - BRASILIA TRANSPORTE INTEGRADO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</row>
        <row r="370">
          <cell r="B370" t="str">
            <v>35963479/0001-46</v>
          </cell>
          <cell r="C370" t="str">
            <v>ESAFI - ESCOLA ADMINISTRACAO TREINAMENTO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</row>
        <row r="371">
          <cell r="B371" t="str">
            <v>02911903/0001-50</v>
          </cell>
          <cell r="C371" t="str">
            <v>FUNDACAO COMITE DE GESTAO EMPRESARIAL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</row>
        <row r="372">
          <cell r="B372" t="str">
            <v>01377071/0001-70</v>
          </cell>
          <cell r="C372" t="str">
            <v>LANTELE COMERCIAL ELETRICA LTDA.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</row>
        <row r="373">
          <cell r="B373" t="str">
            <v>04708116/0001-30</v>
          </cell>
          <cell r="C373" t="str">
            <v>ZENITE TECNOLOGIA E TELEINFORMATICA LTDA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</row>
        <row r="374">
          <cell r="B374" t="str">
            <v>03712467/0001-52</v>
          </cell>
          <cell r="C374" t="str">
            <v>FLAMA RAMOS ACABAMENTO E MANUSEIO GRAFIC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</row>
        <row r="375">
          <cell r="B375" t="str">
            <v>61705380/0001-54</v>
          </cell>
          <cell r="C375" t="str">
            <v>FUNDAG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</row>
        <row r="376">
          <cell r="B376" t="str">
            <v>42334193/0001-67</v>
          </cell>
          <cell r="C376" t="str">
            <v>COMITE BRASILEIRO DE BARRAGENS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</row>
        <row r="377">
          <cell r="B377" t="str">
            <v>03307532/0001-64</v>
          </cell>
          <cell r="C377" t="str">
            <v>SIVIC PLACAS E BRINDES LTDA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</row>
        <row r="378">
          <cell r="B378" t="str">
            <v>32157042/0001-27</v>
          </cell>
          <cell r="C378" t="str">
            <v>PERSIANAS COIMBRA LTDA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</row>
        <row r="379">
          <cell r="B379" t="str">
            <v>00348003/0129-84</v>
          </cell>
          <cell r="C379" t="str">
            <v>EMPRESA BRAS DE PESQ AGROP EMBRAPA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</row>
        <row r="380">
          <cell r="B380" t="str">
            <v>02270142/0001-02</v>
          </cell>
          <cell r="C380" t="str">
            <v>GERMANISCHER LLOYD IND. SERVICES DO BRAS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</row>
        <row r="381">
          <cell r="B381" t="str">
            <v>04655786/0001-36</v>
          </cell>
          <cell r="C381" t="str">
            <v>NORTHIA ASSESSORIA DE SEGURANCA NO TRABA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</row>
        <row r="382">
          <cell r="B382" t="str">
            <v>40181919/0001-43</v>
          </cell>
          <cell r="C382" t="str">
            <v>JURIS AMBIENTIS CONSULTORES S/S LTDA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</row>
        <row r="383">
          <cell r="B383" t="str">
            <v>04832526/0001-99</v>
          </cell>
          <cell r="C383" t="str">
            <v>CASTRO &amp; CASTRO ADV. E CONSULTORES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</row>
        <row r="384">
          <cell r="B384" t="str">
            <v>13013046/0001-97</v>
          </cell>
          <cell r="C384" t="str">
            <v>SITIAR COM. DE REFRIGERACAO LTDA - ME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</row>
        <row r="385">
          <cell r="B385" t="str">
            <v>06353807/0001-94</v>
          </cell>
          <cell r="C385" t="str">
            <v>DEWI DO BRASIL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</row>
        <row r="386">
          <cell r="B386" t="str">
            <v>08257771/0001-70</v>
          </cell>
          <cell r="C386" t="str">
            <v>FABBIO VEMGIZ LOBO CONS. TREINAMENTO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</row>
        <row r="387">
          <cell r="B387" t="str">
            <v>08844668/0001-27</v>
          </cell>
          <cell r="C387" t="str">
            <v>AGUIAR &amp; VERISSIMO LTDA - ME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</row>
        <row r="388">
          <cell r="B388" t="str">
            <v>11865040/0001-12</v>
          </cell>
          <cell r="C388" t="str">
            <v>ZFL TRANSPORTE EXECUTIVO LTDA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</row>
        <row r="389">
          <cell r="B389" t="str">
            <v>02552009/0001-30</v>
          </cell>
          <cell r="C389" t="str">
            <v>DMSS SOFTWARE LTDA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</row>
        <row r="390">
          <cell r="B390" t="str">
            <v>03557247/0001-00</v>
          </cell>
          <cell r="C390" t="str">
            <v>INTEGRAR CLIMATIZACAO LTDA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</row>
        <row r="391">
          <cell r="B391">
            <v>1554290000000</v>
          </cell>
          <cell r="C391" t="str">
            <v>CERTISIGN CERTIFICADORA DIGITAL S.A.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</row>
        <row r="392">
          <cell r="B392" t="str">
            <v>12661222/0001-34</v>
          </cell>
          <cell r="C392" t="str">
            <v>SHOPPING MATRIZ FABRIL LTDA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</row>
        <row r="393">
          <cell r="B393" t="str">
            <v>05085929/0002-65</v>
          </cell>
          <cell r="C393" t="str">
            <v>GIOCONDA E JOSE CAFE E CULINARIA LTDA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</row>
        <row r="394">
          <cell r="B394" t="str">
            <v>33438300/0001-06</v>
          </cell>
          <cell r="C394" t="str">
            <v>PAPELARIA COLUMBIA LTDA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</row>
        <row r="395">
          <cell r="B395" t="str">
            <v>09305304/0001-31</v>
          </cell>
          <cell r="C395" t="str">
            <v>BRISSETT &amp; BRISSETT EVENTOS LTDA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</row>
        <row r="396">
          <cell r="B396" t="str">
            <v>08575670/000148</v>
          </cell>
          <cell r="C396" t="str">
            <v>DALA AR CONDICIONADO LTDA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</row>
        <row r="397">
          <cell r="B397" t="str">
            <v>28711539/0001-78</v>
          </cell>
          <cell r="C397" t="str">
            <v>A C BURLAMAQUI CONSULTORES S/C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</row>
        <row r="398">
          <cell r="B398" t="str">
            <v>10258575/0001-62</v>
          </cell>
          <cell r="C398" t="str">
            <v>SOUZA E VENTURELI LTDA - ME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</row>
        <row r="399">
          <cell r="B399">
            <v>5902040000000</v>
          </cell>
          <cell r="C399" t="str">
            <v>INST. AMBIENTAL BRA SUSTENTAVEL - IABS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</row>
        <row r="400">
          <cell r="B400" t="str">
            <v>00885818/000139</v>
          </cell>
          <cell r="C400" t="str">
            <v>TECNOLOGIA E INFORMACAO LTDA - BPGR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</row>
        <row r="401">
          <cell r="B401" t="str">
            <v>13317281/0001-52</v>
          </cell>
          <cell r="C401" t="str">
            <v>FORUM CULTURAL ORGANI DE EVENTOS LTDA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</row>
        <row r="402">
          <cell r="B402" t="str">
            <v>15734197/0002-61</v>
          </cell>
          <cell r="C402" t="str">
            <v>SANTOS &amp; SARUBBI LTDA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</row>
        <row r="403">
          <cell r="B403" t="str">
            <v>07668381/0001-20</v>
          </cell>
          <cell r="C403" t="str">
            <v>JONKOPING BUFFET LTDA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</row>
        <row r="404">
          <cell r="B404" t="str">
            <v>10383122/0001-68</v>
          </cell>
          <cell r="C404" t="str">
            <v>GAS ENERGY CHEMICALS LTDA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</row>
        <row r="405">
          <cell r="B405" t="str">
            <v>02606932/0001-08</v>
          </cell>
          <cell r="C405" t="str">
            <v>RM TREINAMENTO EMPRESARIAL LTDA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</row>
        <row r="406">
          <cell r="B406" t="str">
            <v>01423190/0001-12</v>
          </cell>
          <cell r="C406" t="str">
            <v>R MAIA DESENVOLVIMENTO EMPRESARIAL LTDA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</row>
        <row r="407">
          <cell r="B407" t="str">
            <v>10559255/0001-42</v>
          </cell>
          <cell r="C407" t="str">
            <v>ZACCHI E ZACCHI LTDA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</row>
        <row r="408">
          <cell r="B408" t="str">
            <v>33636523/0001-88</v>
          </cell>
          <cell r="C408" t="str">
            <v>CENTRO INDUSTRIAL DO RJ - CIRJ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</row>
        <row r="409">
          <cell r="B409" t="str">
            <v>33611617/0001-00</v>
          </cell>
          <cell r="C409" t="str">
            <v>ASSOCIACAO COMERCIAL DO RJ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</row>
        <row r="410">
          <cell r="B410" t="str">
            <v>11061406/0001-09</v>
          </cell>
          <cell r="C410" t="str">
            <v>ZIVA RJ TECNOLOGIA E SOLUCOES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</row>
        <row r="411">
          <cell r="B411" t="str">
            <v>03829453/0001-13</v>
          </cell>
          <cell r="C411" t="str">
            <v>CONGER ENCADERNACAO LTDA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</row>
        <row r="412">
          <cell r="B412" t="str">
            <v>13775131/0001-92</v>
          </cell>
          <cell r="C412" t="str">
            <v>U DE ALMEIDA FARIA JUNIOR - BEM BOM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</row>
        <row r="413">
          <cell r="B413" t="str">
            <v>04918514/0001-81</v>
          </cell>
          <cell r="C413" t="str">
            <v>MAPH - AUDITORIA E ASSESSORIA LTDA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</row>
        <row r="414">
          <cell r="B414" t="str">
            <v>07544975/0001-20</v>
          </cell>
          <cell r="C414" t="str">
            <v>LUROVA AUTOMACAO INDUSTRIAL  E COME LTDA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</row>
        <row r="415">
          <cell r="B415" t="str">
            <v>06939256/0001-45</v>
          </cell>
          <cell r="C415" t="str">
            <v>AUGE EVENTOS E AUDIOVISUAL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</row>
        <row r="416">
          <cell r="B416" t="str">
            <v>13439080/0001-28</v>
          </cell>
          <cell r="C416" t="str">
            <v>JDG SERRALHERIA VIDRACARIA E SERV LTDA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</row>
        <row r="417">
          <cell r="B417" t="str">
            <v>00572914/0001-27</v>
          </cell>
          <cell r="C417" t="str">
            <v>CENTRAL POINT COMERCIO E SERV LTDA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</row>
        <row r="418">
          <cell r="B418" t="str">
            <v>07316919/0001-38</v>
          </cell>
          <cell r="C418" t="str">
            <v>GOVERNET EDITORA LTDA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</row>
        <row r="419">
          <cell r="B419" t="str">
            <v>09663019/0001-92</v>
          </cell>
          <cell r="C419" t="str">
            <v>GBR CONSULTORIA ECONOMICA S/S LTDA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</row>
        <row r="420">
          <cell r="B420" t="str">
            <v>03662199/0001-01</v>
          </cell>
          <cell r="C420" t="str">
            <v>BACHIANA POLIS PRODUCOES LTDA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</row>
        <row r="421">
          <cell r="B421" t="str">
            <v>51978633/0001-00</v>
          </cell>
          <cell r="C421" t="str">
            <v>SEMINARIOS ADUANEIRAS SOCIEDADE SIMPLES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</row>
        <row r="422">
          <cell r="B422" t="str">
            <v>00001172/0001-80</v>
          </cell>
          <cell r="C422" t="str">
            <v>S/A CORREIO BRAZILIENSE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</row>
        <row r="423">
          <cell r="B423" t="str">
            <v>02537929/0001-80</v>
          </cell>
          <cell r="C423" t="str">
            <v>EIBSNET TREINAMENTO EM INFORMATICA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</row>
        <row r="424">
          <cell r="B424" t="str">
            <v>02309061/0001-60</v>
          </cell>
          <cell r="C424" t="str">
            <v>BARBOSA E BARBOSA ENGENHARIA ELE LTDA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</row>
        <row r="425">
          <cell r="B425" t="str">
            <v>01998348/0001-82</v>
          </cell>
          <cell r="C425" t="str">
            <v>BENICIO BIZ EDITORES ASSOCIADOS LTDA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</row>
        <row r="426">
          <cell r="B426" t="str">
            <v>10762976/0001-55</v>
          </cell>
          <cell r="C426" t="str">
            <v>MINUTA COMUNICACAO LTDA - ME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</row>
        <row r="427">
          <cell r="B427" t="str">
            <v>05154259/0001-00</v>
          </cell>
          <cell r="C427" t="str">
            <v>2M DESIGN LTDA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</row>
        <row r="428">
          <cell r="B428" t="str">
            <v>04358563/0001-07</v>
          </cell>
          <cell r="C428" t="str">
            <v>NEOTROPICAL CONSUL. E ASSESS. AMB. LTDA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</row>
        <row r="429">
          <cell r="B429" t="str">
            <v>40401341/0001-93</v>
          </cell>
          <cell r="C429" t="str">
            <v>HIDROFIRE COM DE MAT CONT INCENDIO LTDA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</row>
        <row r="430">
          <cell r="B430" t="str">
            <v>28912970/0001-82</v>
          </cell>
          <cell r="C430" t="str">
            <v>ADEMIR DE OLIVEIRA TEIXEIRA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</row>
        <row r="431">
          <cell r="B431" t="str">
            <v>10933120/0001-03</v>
          </cell>
          <cell r="C431" t="str">
            <v>ATOL CONSULTORIA AMBIENTAL LTDA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</row>
        <row r="432">
          <cell r="B432" t="str">
            <v>04724924/0001-91</v>
          </cell>
          <cell r="C432" t="str">
            <v>ACTIVEWEB TECHNOLOGIES INFORMATICA LTDA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</row>
        <row r="433">
          <cell r="B433" t="str">
            <v>33573791/0001-06</v>
          </cell>
          <cell r="C433" t="str">
            <v>CAMARA DE COMERCIO AMER. PARA O BRASIL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</row>
        <row r="434">
          <cell r="B434" t="str">
            <v>50827039/0001-55</v>
          </cell>
          <cell r="C434" t="str">
            <v>ANTHROPOS CONSULTING LTDA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</row>
        <row r="435">
          <cell r="B435" t="str">
            <v>07774090/0001-17</v>
          </cell>
          <cell r="C435" t="str">
            <v>ESCOLA DE NEG CONEX EDUC EMPRES LTDA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</row>
        <row r="436">
          <cell r="B436" t="str">
            <v>42569459/0001-50</v>
          </cell>
          <cell r="C436" t="str">
            <v>ORG BRANCO DE MAQ E EQUIP LTDA - OBM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</row>
        <row r="437">
          <cell r="B437" t="str">
            <v>09240519/0001-11</v>
          </cell>
          <cell r="C437" t="str">
            <v>TARGETWARE INFORMATICA LTDA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</row>
        <row r="438">
          <cell r="B438" t="str">
            <v>39092598/0001-21</v>
          </cell>
          <cell r="C438" t="str">
            <v>BAKTRON MICROBIOLOGICA LTDA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</row>
        <row r="439">
          <cell r="B439" t="str">
            <v>66582784/0001-11</v>
          </cell>
          <cell r="C439" t="str">
            <v>MAPDATA TECNOLOGIA, INFOR. COMERCIO LTDA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</row>
        <row r="440">
          <cell r="B440" t="str">
            <v>07268152/0001-09</v>
          </cell>
          <cell r="C440" t="str">
            <v>VSDATA COMERCIAL DE INF. LTDA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</row>
        <row r="441">
          <cell r="B441" t="str">
            <v>11563387/0001-00</v>
          </cell>
          <cell r="C441" t="str">
            <v>EDER DE SOUZA CAVALHEIRO ME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</row>
        <row r="442">
          <cell r="B442" t="str">
            <v>05347213/0001-08</v>
          </cell>
          <cell r="C442" t="str">
            <v>HSRNET INFORMATICA LTDA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</row>
        <row r="443">
          <cell r="B443" t="str">
            <v>11329948/0001-01</v>
          </cell>
          <cell r="C443" t="str">
            <v>SANET COMERCIO E SERV. INFOR. LTDA EPP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</row>
        <row r="444">
          <cell r="B444" t="str">
            <v>01178068/0001-28</v>
          </cell>
          <cell r="C444" t="str">
            <v>ASSOCIACAO BRAS. DE GEOLOGOS DE PETROLEO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</row>
        <row r="445">
          <cell r="B445" t="str">
            <v>05310737/0001-24</v>
          </cell>
          <cell r="C445" t="str">
            <v>IRJR PRINT CARTUCHOS E SERVICOS LTDA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</row>
        <row r="446">
          <cell r="B446" t="str">
            <v>13200172/0001-50</v>
          </cell>
          <cell r="C446" t="str">
            <v>SHALLON INST. DE DRY WAL E PERSIANA LTDA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</row>
        <row r="447">
          <cell r="B447" t="str">
            <v>07998546/0001-22</v>
          </cell>
          <cell r="C447" t="str">
            <v>UNIVERSO DO SOM ELET. LTDA - NALUBEL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</row>
        <row r="448">
          <cell r="B448" t="str">
            <v>38066296/0001-16</v>
          </cell>
          <cell r="C448" t="str">
            <v>CRISTINA ROBERTO BUFFET PROD CULT. LTDA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</row>
        <row r="449">
          <cell r="B449" t="str">
            <v>127.091.159-72</v>
          </cell>
          <cell r="C449" t="str">
            <v>ALUGUEL - ROBERTO DORNER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</row>
        <row r="450">
          <cell r="B450" t="str">
            <v>04637111/0001-64</v>
          </cell>
          <cell r="C450" t="str">
            <v>MCPAR ENGEN. COMER. E SERV LTDA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</row>
        <row r="451">
          <cell r="B451" t="str">
            <v>11662976/0001-46</v>
          </cell>
          <cell r="C451" t="str">
            <v>F CARDOSO SERV DE INFORMAÇÃO LTDA ME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</row>
        <row r="452">
          <cell r="B452" t="str">
            <v>33787094/0001-40</v>
          </cell>
          <cell r="C452" t="str">
            <v>IBGE - INST. BRASI. DE GEO E ESTA.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</row>
        <row r="453">
          <cell r="B453" t="str">
            <v>31925530/0001-74</v>
          </cell>
          <cell r="C453" t="str">
            <v>SHAFT CONSULTORIA LTDA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</row>
        <row r="454">
          <cell r="B454" t="str">
            <v>06975694/0001-69</v>
          </cell>
          <cell r="C454" t="str">
            <v>ATM SIST. ENERG. INFOR. LTDA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</row>
        <row r="455">
          <cell r="B455" t="str">
            <v>02309990/0001-70</v>
          </cell>
          <cell r="C455" t="str">
            <v>AZEVEDO E LUZ COMER. E SERV DE INFO. S/A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</row>
        <row r="456">
          <cell r="B456" t="str">
            <v>08819627/0001-80</v>
          </cell>
          <cell r="C456" t="str">
            <v>DOMINIO CONTABILIDADE LTDA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</row>
        <row r="457">
          <cell r="B457" t="str">
            <v>12347988/0001-49</v>
          </cell>
          <cell r="C457" t="str">
            <v>4Q TELECOMUNICACOES E MULTIMIDIA LTDA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</row>
        <row r="458">
          <cell r="B458" t="str">
            <v>10484330/0001-53</v>
          </cell>
          <cell r="C458" t="str">
            <v>LOC MASTER AUTO LOCACAO LTDA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</row>
        <row r="459">
          <cell r="B459" t="str">
            <v>33183724/0001-77</v>
          </cell>
          <cell r="C459" t="str">
            <v>MODERNOS HOTEIS DO BRASIL LTDA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</row>
        <row r="460">
          <cell r="B460" t="str">
            <v>14294521/0001-03</v>
          </cell>
          <cell r="C460" t="str">
            <v>TOTAL FILM RJ INST. DE PELICULAS LTDA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</row>
        <row r="461">
          <cell r="B461" t="str">
            <v>09323210/0001-95</v>
          </cell>
          <cell r="C461" t="str">
            <v>BRAGA E NOVAES LOC. DE VEIC. LTDA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</row>
        <row r="462">
          <cell r="B462" t="str">
            <v>02558157/0014-87</v>
          </cell>
          <cell r="C462" t="str">
            <v>TELEFONICA BRASIL S.A.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</row>
        <row r="463">
          <cell r="B463" t="str">
            <v>03873788/0001-39</v>
          </cell>
          <cell r="C463" t="str">
            <v>CANDELABRUS FESTAS LTDA - VIRGINIA D'ARC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</row>
        <row r="464">
          <cell r="B464" t="str">
            <v>39074190/0006-31</v>
          </cell>
          <cell r="C464" t="str">
            <v>LE TOUR PROD. ALIMENTICIOS LTDA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</row>
        <row r="465">
          <cell r="B465" t="str">
            <v>03025227/0001-80</v>
          </cell>
          <cell r="C465" t="str">
            <v>I C NASSER E CIA LTDA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</row>
        <row r="466">
          <cell r="B466" t="str">
            <v>08961200/0001-12</v>
          </cell>
          <cell r="C466" t="str">
            <v>ATHENAS CONTABILIDADE LTDA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</row>
        <row r="467">
          <cell r="B467" t="str">
            <v>13422884/0001-14</v>
          </cell>
          <cell r="C467" t="str">
            <v>NADJA REGIANE DO NASCIMENTO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</row>
        <row r="468">
          <cell r="B468" t="str">
            <v>08003201/0001-54</v>
          </cell>
          <cell r="C468" t="str">
            <v>RL CLEAN SERV. DE LIMPEZA E CONS. LTDA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</row>
        <row r="469">
          <cell r="B469" t="str">
            <v>49351919/0001-19</v>
          </cell>
          <cell r="C469" t="str">
            <v>ASSOC. NAC. DE TRANS. PUBLICOS - ANTP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</row>
        <row r="470">
          <cell r="B470" t="str">
            <v>10341804/0001-08</v>
          </cell>
          <cell r="C470" t="str">
            <v>PIRES E SCHUNK DESIGN LTDA ME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</row>
        <row r="471">
          <cell r="B471" t="str">
            <v>01754239/0005-43</v>
          </cell>
          <cell r="C471" t="str">
            <v>REFRIG DUFRIO COM E IMP LTDA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</row>
        <row r="472">
          <cell r="B472" t="str">
            <v>03582662/0001-05</v>
          </cell>
          <cell r="C472" t="str">
            <v>TRADE CUSTOMS IMPORTE EXPORT LTDA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</row>
        <row r="473">
          <cell r="B473" t="str">
            <v>78931474/0001-44</v>
          </cell>
          <cell r="C473" t="str">
            <v>REDISUL INFORMATICA LTDA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</row>
        <row r="474">
          <cell r="B474" t="str">
            <v>02292557/0001-79</v>
          </cell>
          <cell r="C474" t="str">
            <v>SUPER TRAFOS INDUSTRIA E COMERCIO LTDA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</row>
        <row r="475">
          <cell r="B475" t="str">
            <v>31424369/0001-55</v>
          </cell>
          <cell r="C475" t="str">
            <v>MULTITEC INSTRUMENTOS DE MEDICAO LTDA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</row>
        <row r="476">
          <cell r="B476" t="str">
            <v>03142200/0001-77</v>
          </cell>
          <cell r="C476" t="str">
            <v>NORMATEC DE SAO CRISTOVAO LTDA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</row>
        <row r="477">
          <cell r="B477" t="str">
            <v>03687592/0001-50</v>
          </cell>
          <cell r="C477" t="str">
            <v>VALOR ECONOMICO S.A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</row>
        <row r="478">
          <cell r="B478" t="str">
            <v>14059340/0001-00</v>
          </cell>
          <cell r="C478" t="str">
            <v>PANDORA COM. DE MAT.  DE ESC. DE LIMP.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</row>
        <row r="479">
          <cell r="B479" t="str">
            <v>26994285/0001-17</v>
          </cell>
          <cell r="C479" t="str">
            <v>TOPOCART TOPOGRAFIA ENG. E AEROL. LTDA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</row>
        <row r="480">
          <cell r="B480" t="str">
            <v>03951066/0001-55</v>
          </cell>
          <cell r="C480" t="str">
            <v>FOCO ARQUITETOS ASSOCIADOS LTDA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</row>
        <row r="481">
          <cell r="B481" t="str">
            <v>33717976/0001-39</v>
          </cell>
          <cell r="C481" t="str">
            <v>RIOTRON COMERCIO E INDUSTRIA DE MAQ LTDA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</row>
        <row r="482">
          <cell r="B482" t="str">
            <v>04656762/0001-00</v>
          </cell>
          <cell r="C482" t="str">
            <v>WALPRINT GRAFICA E EDITORA LTDA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</row>
        <row r="483">
          <cell r="B483" t="str">
            <v>00441200/0001-80</v>
          </cell>
          <cell r="C483" t="str">
            <v>SERGIO MACHADO REIS EPP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</row>
        <row r="484">
          <cell r="B484" t="str">
            <v>15278683/0001-10</v>
          </cell>
          <cell r="C484" t="str">
            <v>TAYNAH KAUANY DE OLIV SILVA TRANSPORTE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</row>
        <row r="485">
          <cell r="B485" t="str">
            <v>31249774/0001-84</v>
          </cell>
          <cell r="C485" t="str">
            <v>MENON COPIAS LTDA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</row>
        <row r="486">
          <cell r="B486" t="str">
            <v>43217850/0001-59</v>
          </cell>
          <cell r="C486" t="str">
            <v>IOB INFORMACOES OBJ PUB JURIDICAS LTDA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</row>
        <row r="487">
          <cell r="B487" t="str">
            <v>08740327/0001-01</v>
          </cell>
          <cell r="C487" t="str">
            <v>SYSTEM CARD 460 CONT DE ACESSO E IDENT.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</row>
        <row r="488">
          <cell r="B488" t="str">
            <v>06281829/0001-96</v>
          </cell>
          <cell r="C488" t="str">
            <v>JP SMART VEND. OP. MAQ. AUTOMATICAS LTDA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</row>
        <row r="489">
          <cell r="B489" t="str">
            <v>32922205/0001-10</v>
          </cell>
          <cell r="C489" t="str">
            <v>CENTRAL DE AVALIACAO E PERICIAS LTDA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</row>
        <row r="490">
          <cell r="B490" t="str">
            <v>28015634/0003-07</v>
          </cell>
          <cell r="C490" t="str">
            <v>ESAD CONSULTORIA S/S LTDA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</row>
        <row r="491">
          <cell r="B491" t="str">
            <v>33073800/0001-91</v>
          </cell>
          <cell r="C491" t="str">
            <v>DANIEL ADVOGADOS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</row>
        <row r="492">
          <cell r="B492" t="str">
            <v>62277041/0001-87</v>
          </cell>
          <cell r="C492" t="str">
            <v>DISAL S.A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</row>
        <row r="493">
          <cell r="B493" t="str">
            <v>10418927/0001-08</v>
          </cell>
          <cell r="C493" t="str">
            <v>ECO PLUS 92 NAT WEAR COM PROD ECOL LTDA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</row>
        <row r="494">
          <cell r="B494" t="str">
            <v>33540014/0001-57</v>
          </cell>
          <cell r="C494" t="str">
            <v>UNIVERSIDADE DO ESTADO DO RIO DE JANEIRO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</row>
        <row r="495">
          <cell r="B495" t="str">
            <v>05170462/0001-70</v>
          </cell>
          <cell r="C495" t="str">
            <v>SMH ASSESSORIA E CONSULTORIA EMPRE. LTDA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</row>
        <row r="496">
          <cell r="B496" t="str">
            <v>05764629/0001-21</v>
          </cell>
          <cell r="C496" t="str">
            <v>DFTRANS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</row>
        <row r="497">
          <cell r="B497" t="str">
            <v>06913480/0001-68</v>
          </cell>
          <cell r="C497" t="str">
            <v>CENTELHA EQUIPAMENTOS ELETRONICOS LTDA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</row>
        <row r="498">
          <cell r="B498" t="str">
            <v>60455193/0001-05</v>
          </cell>
          <cell r="C498" t="str">
            <v>OPENCADD ADVANCED TECHNOLOGY LTDA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</row>
        <row r="499">
          <cell r="B499">
            <v>68646600000000</v>
          </cell>
          <cell r="C499" t="str">
            <v>INSTITUTO NAC. DE EFICIENCIA ENERGETICA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</row>
        <row r="500">
          <cell r="B500" t="str">
            <v>53113791/0001-22</v>
          </cell>
          <cell r="C500" t="str">
            <v>TOTVS SA</v>
          </cell>
          <cell r="D500">
            <v>-5577.4</v>
          </cell>
          <cell r="E500">
            <v>10710.3</v>
          </cell>
          <cell r="F500">
            <v>-18810.400000000001</v>
          </cell>
          <cell r="G500">
            <v>13677.5</v>
          </cell>
        </row>
        <row r="501">
          <cell r="B501" t="str">
            <v>02687045/0001-01</v>
          </cell>
          <cell r="C501" t="str">
            <v>ADMINISTRADORA SANTA CAROLINA LTDA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</row>
        <row r="502">
          <cell r="B502" t="str">
            <v>33732991/0001-56</v>
          </cell>
          <cell r="C502" t="str">
            <v>ELETRICA ARTURO LTDA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</row>
        <row r="503">
          <cell r="B503" t="str">
            <v>11425781/0001-82</v>
          </cell>
          <cell r="C503" t="str">
            <v>GRP SOLUTIONS INFORMATICA LTDA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</row>
        <row r="504">
          <cell r="B504" t="str">
            <v>10354189/0001-74</v>
          </cell>
          <cell r="C504" t="str">
            <v>MACEIO SERVICOS LTDA</v>
          </cell>
          <cell r="D504">
            <v>0</v>
          </cell>
          <cell r="E504">
            <v>0</v>
          </cell>
          <cell r="F504">
            <v>0</v>
          </cell>
          <cell r="G504">
            <v>0</v>
          </cell>
        </row>
        <row r="505">
          <cell r="B505" t="str">
            <v>39119656/0001-63</v>
          </cell>
          <cell r="C505" t="str">
            <v>MULTISUPRIMENTOS SUP E EQUIP P/ ESC INFO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</row>
        <row r="506">
          <cell r="B506" t="str">
            <v>32265811/0001-00</v>
          </cell>
          <cell r="C506" t="str">
            <v>BOLSA DE NEGOCIO IMOBILARIOS DO RIO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</row>
        <row r="507">
          <cell r="B507" t="str">
            <v>34135509/0001-63</v>
          </cell>
          <cell r="C507" t="str">
            <v>APIMEC RIO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</row>
        <row r="508">
          <cell r="B508" t="str">
            <v>33368762/0001-02</v>
          </cell>
          <cell r="C508" t="str">
            <v>EMD RIO GUARDA MOVEIS E MUDANCAS LTDA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</row>
        <row r="509">
          <cell r="B509" t="str">
            <v>32106536/0001-82</v>
          </cell>
          <cell r="C509" t="str">
            <v>EDITORA OBJETIVA LTDA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</row>
        <row r="510">
          <cell r="B510" t="str">
            <v>33633561/0001-87</v>
          </cell>
          <cell r="C510" t="str">
            <v>LEME ENGENHARIA LTDA</v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</row>
        <row r="511">
          <cell r="B511" t="str">
            <v>04911597/00001-87</v>
          </cell>
          <cell r="C511" t="str">
            <v>TREINAMENTO AVANCADO LTDA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</row>
        <row r="512">
          <cell r="B512" t="str">
            <v>09512865/0001-01</v>
          </cell>
          <cell r="C512" t="str">
            <v>SANDERCOM COMERCIO DE INFORMATICA LTDA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</row>
        <row r="513">
          <cell r="B513" t="str">
            <v>07522669/0001-92</v>
          </cell>
          <cell r="C513" t="str">
            <v>CEB DISTRIBUICAO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</row>
        <row r="514">
          <cell r="B514" t="str">
            <v>08208924/0001-90</v>
          </cell>
          <cell r="C514" t="str">
            <v>FORT SAFE COMERCIO DE COFRE LTDA ME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</row>
        <row r="515">
          <cell r="B515" t="str">
            <v>02605452/0001-22</v>
          </cell>
          <cell r="C515" t="str">
            <v>VIP SERVICE CLUB LOCADORA LTDA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</row>
        <row r="516">
          <cell r="B516" t="str">
            <v>04982263/0001-02</v>
          </cell>
          <cell r="C516" t="str">
            <v>MONTALVO ADMINISTRACAO E PARTICIPACOES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</row>
        <row r="517">
          <cell r="B517" t="str">
            <v>33569146/0001-01</v>
          </cell>
          <cell r="C517" t="str">
            <v>BAZAR DOS PRATOS LTDA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</row>
        <row r="518">
          <cell r="B518" t="str">
            <v>09116592/0001-86</v>
          </cell>
          <cell r="C518" t="str">
            <v>BELLCOMS COM E PREST SERV INFORM LTDA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</row>
        <row r="519">
          <cell r="B519" t="str">
            <v>62410352/0019-00</v>
          </cell>
          <cell r="C519" t="str">
            <v>LIVRARIA CULTURA S.A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</row>
        <row r="520">
          <cell r="B520" t="str">
            <v>05977006/0001-37</v>
          </cell>
          <cell r="C520" t="str">
            <v>YP PERSIANAS LTDA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</row>
        <row r="521">
          <cell r="B521" t="str">
            <v>15272192/0001-62</v>
          </cell>
          <cell r="C521" t="str">
            <v>NOVA TECNICA EDITORA LTDA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</row>
        <row r="522">
          <cell r="B522" t="str">
            <v>12063470/0001-83</v>
          </cell>
          <cell r="C522" t="str">
            <v>ECOENERGIA EDITORA LTDA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</row>
        <row r="523">
          <cell r="B523" t="str">
            <v>02990717/0001-53</v>
          </cell>
          <cell r="C523" t="str">
            <v>MACROPLAN PROSPECTVA ESTRATEGIA E GESTAO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</row>
        <row r="524">
          <cell r="B524" t="str">
            <v>03584647/0001-04</v>
          </cell>
          <cell r="C524" t="str">
            <v>NELSON WILIANS E ADVOGADOS ASSOCIADOS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</row>
        <row r="525">
          <cell r="B525" t="str">
            <v>07022584/0001-45</v>
          </cell>
          <cell r="C525" t="str">
            <v>LIVRARIA CAFE DO WILSINHO LTDA</v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</row>
        <row r="526">
          <cell r="B526" t="str">
            <v>42288886/0001-60</v>
          </cell>
          <cell r="C526" t="str">
            <v>CENTRO DE PESQ DE ENERGIA ELETRICA CEPEL</v>
          </cell>
          <cell r="D526">
            <v>0</v>
          </cell>
          <cell r="E526">
            <v>11111.12</v>
          </cell>
          <cell r="F526">
            <v>-11111.12</v>
          </cell>
          <cell r="G526">
            <v>0</v>
          </cell>
        </row>
        <row r="527">
          <cell r="B527" t="str">
            <v>60215282/0001-76</v>
          </cell>
          <cell r="C527" t="str">
            <v>SOCIEDADE BRAS. DE PESQ. OPER. SOBRAPO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</row>
        <row r="528">
          <cell r="B528" t="str">
            <v>05313684/0001-03</v>
          </cell>
          <cell r="C528" t="str">
            <v>MOURAO MARMORES E GRANITOS LTDA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</row>
        <row r="529">
          <cell r="B529" t="str">
            <v>62958863/0001-23</v>
          </cell>
          <cell r="C529" t="str">
            <v>WGR INDUSTRIA COM. IMP. E EXP. LTDA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</row>
        <row r="530">
          <cell r="B530" t="str">
            <v>02718533/0001-39</v>
          </cell>
          <cell r="C530" t="str">
            <v>SHOPPING HOUSE UTIL. PARA O LAR LTDA</v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</row>
        <row r="531">
          <cell r="B531">
            <v>1250701</v>
          </cell>
          <cell r="C531" t="str">
            <v>CRISDINBASTOS LTDA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</row>
        <row r="532">
          <cell r="B532">
            <v>3623409</v>
          </cell>
          <cell r="C532" t="str">
            <v>BAZAR FLOR DO ACRE LTDA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</row>
        <row r="533">
          <cell r="B533" t="str">
            <v>00673757/0001-46</v>
          </cell>
          <cell r="C533" t="str">
            <v>INFNET EDUCACAO LTDA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</row>
        <row r="534">
          <cell r="B534" t="str">
            <v>04927672/0001-06</v>
          </cell>
          <cell r="C534" t="str">
            <v>SC&amp;M COMER. DE MAT. DE ESCR. E INFO. LT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</row>
        <row r="535">
          <cell r="B535" t="str">
            <v>02309765/0001-03</v>
          </cell>
          <cell r="C535" t="str">
            <v>EGIDE COM. DE VEST. E ELETROD. LTDA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</row>
        <row r="536">
          <cell r="B536" t="str">
            <v>30069850/0001-07</v>
          </cell>
          <cell r="C536" t="str">
            <v>MAXPEL DIST. DE INFORM. E PAPELARIA LTDA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</row>
        <row r="537">
          <cell r="B537" t="str">
            <v>03420926/0058-60</v>
          </cell>
          <cell r="C537" t="str">
            <v>GLOBAL VILLAGE TELECOM LTDA</v>
          </cell>
          <cell r="D537">
            <v>0</v>
          </cell>
          <cell r="E537">
            <v>0</v>
          </cell>
          <cell r="F537">
            <v>0</v>
          </cell>
          <cell r="G537">
            <v>0</v>
          </cell>
        </row>
        <row r="538">
          <cell r="B538" t="str">
            <v>01085952/0001-18</v>
          </cell>
          <cell r="C538" t="str">
            <v>PRONTIDAO SERVICOS LTDA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</row>
        <row r="539">
          <cell r="B539" t="str">
            <v>11114463/0001-09</v>
          </cell>
          <cell r="C539" t="str">
            <v>GRAF EDIT FORMU CONTI E ETIQUE F&amp;F LTDA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</row>
        <row r="540">
          <cell r="B540" t="str">
            <v>03620596/0012-73</v>
          </cell>
          <cell r="C540" t="str">
            <v>DIDICO COMERCIO CONSULTORIA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</row>
        <row r="541">
          <cell r="B541" t="str">
            <v>14314927/0001-00</v>
          </cell>
          <cell r="C541" t="str">
            <v>VEM QUE AQUI TEM INFORMATICA LTDA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</row>
        <row r="542">
          <cell r="B542" t="str">
            <v>33085796/0001-81</v>
          </cell>
          <cell r="C542" t="str">
            <v>FERRAGENS SCALEA LTDA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</row>
        <row r="543">
          <cell r="B543" t="str">
            <v>10979108/0001-21</v>
          </cell>
          <cell r="C543" t="str">
            <v>DHI BRASIL LTDA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</row>
        <row r="544">
          <cell r="B544" t="str">
            <v>05875886/0001-30</v>
          </cell>
          <cell r="C544" t="str">
            <v>MENEGHITTIS GRAFICA E EDITORA LTDA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</row>
        <row r="545">
          <cell r="B545" t="str">
            <v>01778924/0001-86</v>
          </cell>
          <cell r="C545" t="str">
            <v>GELSO ANTONIO LORENZI</v>
          </cell>
          <cell r="D545">
            <v>0</v>
          </cell>
          <cell r="E545">
            <v>0</v>
          </cell>
          <cell r="F545">
            <v>0</v>
          </cell>
          <cell r="G545">
            <v>0</v>
          </cell>
        </row>
        <row r="546">
          <cell r="B546" t="str">
            <v>07267692/0001-88</v>
          </cell>
          <cell r="C546" t="str">
            <v>TIMELINE LEARNING SYSTEMS COMP GRAF LTDA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</row>
        <row r="547">
          <cell r="B547" t="str">
            <v>02707366/0001-20</v>
          </cell>
          <cell r="C547" t="str">
            <v>AMS INFORMATICA LTDA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</row>
        <row r="548">
          <cell r="B548" t="str">
            <v>01398737/0001-77</v>
          </cell>
          <cell r="C548" t="str">
            <v>CURSO ADV LTDA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</row>
        <row r="549">
          <cell r="B549" t="str">
            <v>14208689/0001-59</v>
          </cell>
          <cell r="C549" t="str">
            <v>BARLOVENTO BRASIL ENERG RENOVAVEIS LTDA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</row>
        <row r="550">
          <cell r="B550" t="str">
            <v>14798807/0001-26</v>
          </cell>
          <cell r="C550" t="str">
            <v>GENEBRA RESTAURANTE LTDA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</row>
        <row r="551">
          <cell r="B551" t="str">
            <v>04073247/0001-99</v>
          </cell>
          <cell r="C551" t="str">
            <v>LEMA PROMOCOES E EVENTOS LTDA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</row>
        <row r="552">
          <cell r="B552" t="str">
            <v>08964597/0001-04</v>
          </cell>
          <cell r="C552" t="str">
            <v>REPUBLICA DO SOM ELETRONICA LTDA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</row>
        <row r="553">
          <cell r="B553" t="str">
            <v>51536795/0001-98</v>
          </cell>
          <cell r="C553" t="str">
            <v>SANTIAGO &amp; CINTRA IMPORT E EXPORT LTDA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</row>
        <row r="554">
          <cell r="B554" t="str">
            <v>0448141/0001-52</v>
          </cell>
          <cell r="C554" t="str">
            <v>IGUACU TUR AGENC DE VIAG E TUR LTDA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</row>
        <row r="555">
          <cell r="B555">
            <v>32578400000000</v>
          </cell>
          <cell r="C555" t="str">
            <v>UNITECH-RIO COM. E SERV. LTDA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</row>
        <row r="556">
          <cell r="B556" t="str">
            <v>01797423/0001-47</v>
          </cell>
          <cell r="C556" t="str">
            <v>GHS INDUSTRIA E SERVICOS LTDA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</row>
        <row r="557">
          <cell r="B557" t="str">
            <v>05777480/0001-15</v>
          </cell>
          <cell r="C557" t="str">
            <v>JBP DOMINICI ME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</row>
        <row r="558">
          <cell r="B558" t="str">
            <v>53828620/0001-80</v>
          </cell>
          <cell r="C558" t="str">
            <v>SOCIEDADE BRASILEIRA DE ICTIOLOGIA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</row>
        <row r="559">
          <cell r="B559" t="str">
            <v>16687498/0001-42</v>
          </cell>
          <cell r="C559" t="str">
            <v>PEX SA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</row>
        <row r="560">
          <cell r="B560" t="str">
            <v>05824164/0001-28</v>
          </cell>
          <cell r="C560" t="str">
            <v>IBDE INST BRAS DE EST DIREITO ENERGIA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</row>
        <row r="561">
          <cell r="B561" t="str">
            <v>08311546/0001-75</v>
          </cell>
          <cell r="C561" t="str">
            <v>FRAGMEUSER COM D MAQ E EQUIP D ESCR LTDA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</row>
        <row r="562">
          <cell r="B562" t="str">
            <v>10830126/000147</v>
          </cell>
          <cell r="C562" t="str">
            <v>RESOLUTION CONSUL EM GEST EMPRE E TECN D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</row>
        <row r="563">
          <cell r="B563" t="str">
            <v>33769639/000195</v>
          </cell>
          <cell r="C563" t="str">
            <v>ELETRICA SANTO MICHELE LTDA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</row>
        <row r="564">
          <cell r="B564" t="str">
            <v>04325027/0001-05</v>
          </cell>
          <cell r="C564" t="str">
            <v>CALIFORNIA 2001 INFO E MAT LIMPEZA LTDA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</row>
        <row r="565">
          <cell r="B565" t="str">
            <v>08794730/0001-13</v>
          </cell>
          <cell r="C565" t="str">
            <v>RIOOFFSITE SERVICOS DE FITOTECA LTDA</v>
          </cell>
          <cell r="D565">
            <v>0</v>
          </cell>
          <cell r="E565">
            <v>1418.9</v>
          </cell>
          <cell r="F565">
            <v>-1418.9</v>
          </cell>
          <cell r="G565">
            <v>0</v>
          </cell>
        </row>
        <row r="566">
          <cell r="B566" t="str">
            <v>62916366/0001-62</v>
          </cell>
          <cell r="C566" t="str">
            <v>SOCIEDADE BRASILEIRA DE GEOLOGIA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</row>
        <row r="567">
          <cell r="B567" t="str">
            <v>10787431/0001-01</v>
          </cell>
          <cell r="C567" t="str">
            <v>INTITUTO BESC DE HUMANIDADE E ECONOMIA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</row>
        <row r="568">
          <cell r="B568" t="str">
            <v>00771775/0001-60</v>
          </cell>
          <cell r="C568" t="str">
            <v>JOBAF REFORMAS DE MOVEIS LTDA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</row>
        <row r="569">
          <cell r="B569" t="str">
            <v>13293067/0001-03</v>
          </cell>
          <cell r="C569" t="str">
            <v>MC QUILLING BRASIL SERV MARITIMOS LTDA</v>
          </cell>
          <cell r="D569">
            <v>0</v>
          </cell>
          <cell r="E569">
            <v>0</v>
          </cell>
          <cell r="F569">
            <v>0</v>
          </cell>
          <cell r="G569">
            <v>0</v>
          </cell>
        </row>
        <row r="570">
          <cell r="B570" t="str">
            <v>07668045/0001-88</v>
          </cell>
          <cell r="C570" t="str">
            <v>IMAGEM SISTEMAS DE INFORMACOES LTDA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</row>
        <row r="571">
          <cell r="B571" t="str">
            <v>14132747/0001-08</v>
          </cell>
          <cell r="C571" t="str">
            <v>ESCOLA DE AUDIT E GOVER CORPORATIVA LTDA</v>
          </cell>
          <cell r="D571">
            <v>0</v>
          </cell>
          <cell r="E571">
            <v>0</v>
          </cell>
          <cell r="F571">
            <v>0</v>
          </cell>
          <cell r="G571">
            <v>0</v>
          </cell>
        </row>
        <row r="572">
          <cell r="B572" t="str">
            <v>02317176/0001-05</v>
          </cell>
          <cell r="C572" t="str">
            <v>ESCOLA DE ADMINISTRACAO FAZENDARIA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</row>
        <row r="573">
          <cell r="B573" t="str">
            <v>06952344/000187</v>
          </cell>
          <cell r="C573" t="str">
            <v>CONSULTOC-CONSULTORIA E TREINAMENTO LTDA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</row>
        <row r="574">
          <cell r="B574" t="str">
            <v>06229883/0001-92</v>
          </cell>
          <cell r="C574" t="str">
            <v>QUANTUM DO BRASIL LTDA</v>
          </cell>
          <cell r="D574">
            <v>0</v>
          </cell>
          <cell r="E574">
            <v>0</v>
          </cell>
          <cell r="F574">
            <v>0</v>
          </cell>
          <cell r="G574">
            <v>0</v>
          </cell>
        </row>
        <row r="575">
          <cell r="B575">
            <v>14084400000000</v>
          </cell>
          <cell r="C575" t="str">
            <v>INSTITUTO CAPACITAR DE EDUCACAO PROF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</row>
        <row r="576">
          <cell r="B576" t="str">
            <v>13242948/0001-03</v>
          </cell>
          <cell r="C576" t="str">
            <v>DATAGRO MARKETS DADOS E ANALISES LTDA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</row>
        <row r="577">
          <cell r="B577" t="str">
            <v>66542002/0017-88</v>
          </cell>
          <cell r="C577" t="str">
            <v>BLUE TREE HOTELS &amp; RESORTS DO BRASIL S.A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</row>
        <row r="578">
          <cell r="B578" t="str">
            <v>73681603/0001-70</v>
          </cell>
          <cell r="C578" t="str">
            <v>NEO CARE CONSUL INFANTIL LTDA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</row>
        <row r="579">
          <cell r="B579" t="str">
            <v>08493691/0001-14</v>
          </cell>
          <cell r="C579" t="str">
            <v>FLAMAM IND E COM DE FILTROS INDUS LTDA</v>
          </cell>
          <cell r="D579">
            <v>0</v>
          </cell>
          <cell r="E579">
            <v>0</v>
          </cell>
          <cell r="F579">
            <v>0</v>
          </cell>
          <cell r="G579">
            <v>0</v>
          </cell>
        </row>
        <row r="580">
          <cell r="B580" t="str">
            <v>04629369/000119</v>
          </cell>
          <cell r="C580" t="str">
            <v>CA SIMPLES COMERCIO E TECNOLOGIA LTDA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</row>
        <row r="581">
          <cell r="B581" t="str">
            <v>14242413/000197</v>
          </cell>
          <cell r="C581" t="str">
            <v>GL GARRAD HASSAN ENER RENOVAVEL BR LTDA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</row>
        <row r="582">
          <cell r="B582" t="str">
            <v>32059016/0001-66</v>
          </cell>
          <cell r="C582" t="str">
            <v>ENGEPLAC SIST DE COM VISU LTDA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</row>
        <row r="583">
          <cell r="B583" t="str">
            <v>13425600/0001-43</v>
          </cell>
          <cell r="C583" t="str">
            <v>SAID AUDIOVISUAL LOC DE EQUI P/ TRAD SIM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</row>
        <row r="584">
          <cell r="B584" t="str">
            <v>11290557/0001-20</v>
          </cell>
          <cell r="C584" t="str">
            <v>FRANCA COM DE ELTR IMP E EXP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</row>
        <row r="585">
          <cell r="B585" t="str">
            <v>28948222/0001-50</v>
          </cell>
          <cell r="C585" t="str">
            <v>PAPELARIA ZAP LTDA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</row>
        <row r="586">
          <cell r="B586" t="str">
            <v>87270690/0001-87</v>
          </cell>
          <cell r="C586" t="str">
            <v>COMERCIO DE APAR MUSICAIS MIL SONS LTDA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</row>
        <row r="587">
          <cell r="B587" t="str">
            <v>08463170/0003-86</v>
          </cell>
          <cell r="C587" t="str">
            <v>EDITORA WMF MARTINS FONTES LTDA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</row>
        <row r="588">
          <cell r="B588" t="str">
            <v>32578387/0001-54</v>
          </cell>
          <cell r="C588" t="str">
            <v>UNITECH RIO COMERCIO E SERV LTDA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</row>
        <row r="589">
          <cell r="B589" t="str">
            <v>07661783/0001-01</v>
          </cell>
          <cell r="C589" t="str">
            <v>AGC RIO FRETAMENTO E TURISMO LTDA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</row>
        <row r="590">
          <cell r="B590" t="str">
            <v>27158039/0001-98</v>
          </cell>
          <cell r="C590" t="str">
            <v>AGEL COP SERVICOS GERAIS LTDA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</row>
        <row r="591">
          <cell r="B591" t="str">
            <v>01000601/0001-57</v>
          </cell>
          <cell r="C591" t="str">
            <v>KAHN CONSULTORIA E TREINAMENTO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</row>
        <row r="592">
          <cell r="B592" t="str">
            <v>07797967/0001-95</v>
          </cell>
          <cell r="C592" t="str">
            <v>NP-EVENTOS E SERVICOS LTDA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</row>
        <row r="593">
          <cell r="B593" t="str">
            <v>54394630/0002-06</v>
          </cell>
          <cell r="C593" t="str">
            <v>SERVICES LIVRARIA E EDITORA LTDA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</row>
        <row r="594">
          <cell r="B594" t="str">
            <v>02660104/0001-58</v>
          </cell>
          <cell r="C594" t="str">
            <v>LOGUS DETETIZADORA LTDA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</row>
        <row r="595">
          <cell r="B595" t="str">
            <v>06326048/0001-70</v>
          </cell>
          <cell r="C595" t="str">
            <v>OVERSTRESS RIO SERVICOS DE RELAXAMENTO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</row>
        <row r="596">
          <cell r="B596" t="str">
            <v>07271878/0001-00</v>
          </cell>
          <cell r="C596" t="str">
            <v>GRUPO JAM AGENC DE PUBLICIDADE LTDA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</row>
        <row r="597">
          <cell r="B597" t="str">
            <v>81241515/0001-85</v>
          </cell>
          <cell r="C597" t="str">
            <v>AEROIMAGENS S/A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</row>
        <row r="598">
          <cell r="B598" t="str">
            <v>01312265/0001-98</v>
          </cell>
          <cell r="C598" t="str">
            <v>VIRTUAL OFFICE COM E IND DE PROD</v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</row>
        <row r="599">
          <cell r="B599" t="str">
            <v>05816526/0001-68</v>
          </cell>
          <cell r="C599" t="str">
            <v>ZIVA TECNOLOGIA E SOLUCOES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</row>
        <row r="600">
          <cell r="B600" t="str">
            <v>35949858/0001-81</v>
          </cell>
          <cell r="C600" t="str">
            <v>ESCOLA DA MAGISTRATURA DO ESTADO RJ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</row>
        <row r="601">
          <cell r="B601" t="str">
            <v>04183043/0001-00</v>
          </cell>
          <cell r="C601" t="str">
            <v>INNOLAB DO BRASIL LTDA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</row>
        <row r="602">
          <cell r="B602" t="str">
            <v>62567821/0001-61</v>
          </cell>
          <cell r="C602" t="str">
            <v>ABEGAS - ASSOCIACAO BRASILEIRA DAS EMPRE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</row>
        <row r="603">
          <cell r="B603" t="str">
            <v>02457524/0001-31</v>
          </cell>
          <cell r="C603" t="str">
            <v>PUBLINT-PUBL NAC E INT LTDA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</row>
        <row r="604">
          <cell r="B604" t="str">
            <v>12711505/0001-43</v>
          </cell>
          <cell r="C604" t="str">
            <v>EDITORA PAPEIS NOVA ALIANCA LTDA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</row>
        <row r="605">
          <cell r="B605" t="str">
            <v>12964018/0001-92</v>
          </cell>
          <cell r="C605" t="str">
            <v>AS MARIAS PROPAGANDA LTDA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</row>
        <row r="606">
          <cell r="B606" t="str">
            <v>09385180/0001-41</v>
          </cell>
          <cell r="C606" t="str">
            <v>IMPRIMINDO CONHECIMENTOS GRAF EDIT LTDA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</row>
        <row r="607">
          <cell r="B607" t="str">
            <v>04576573/0001-19</v>
          </cell>
          <cell r="C607" t="str">
            <v>IGPLAN INTELIGENCIA GEOGRAFICA LTDA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</row>
        <row r="608">
          <cell r="B608" t="str">
            <v>11050925/0001-63</v>
          </cell>
          <cell r="C608" t="str">
            <v>GESEQ COMERCIO E SERVICOS DE SEGURANCA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</row>
        <row r="609">
          <cell r="B609" t="str">
            <v>07134279/0001-45</v>
          </cell>
          <cell r="C609" t="str">
            <v>NOVATERRA GEOP. E CONS. EM MEIO AMBIENTE</v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</row>
        <row r="610">
          <cell r="B610" t="str">
            <v>35808948/00001-52</v>
          </cell>
          <cell r="C610" t="str">
            <v>HABTEC ENGENHARIA SANITARIA E AMBIENTAL</v>
          </cell>
          <cell r="D610">
            <v>0</v>
          </cell>
          <cell r="E610">
            <v>0</v>
          </cell>
          <cell r="F610">
            <v>0</v>
          </cell>
          <cell r="G610">
            <v>0</v>
          </cell>
        </row>
        <row r="611">
          <cell r="B611" t="str">
            <v>10785597/0001-80</v>
          </cell>
          <cell r="C611" t="str">
            <v>PALISADE COMERCIALIZADORA  DE SOFTWARES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</row>
        <row r="612">
          <cell r="B612" t="str">
            <v>36084895/0001-37</v>
          </cell>
          <cell r="C612" t="str">
            <v>STRAICK CENTRO DE TREINAMENTO E INF LTDA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</row>
        <row r="613">
          <cell r="B613" t="str">
            <v>31304371/00001-90</v>
          </cell>
          <cell r="C613" t="str">
            <v>JOALHERIA SILVA CAMPOS  LTDA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</row>
        <row r="614">
          <cell r="B614" t="str">
            <v>08942118-0001/40</v>
          </cell>
          <cell r="C614" t="str">
            <v>ART DECOR CARPETES PISOS  E REVESTIMENTO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</row>
        <row r="615">
          <cell r="B615" t="str">
            <v>05325136/0001-95</v>
          </cell>
          <cell r="C615" t="str">
            <v>UB BRASIL EVENTOS LTDA</v>
          </cell>
          <cell r="D615">
            <v>0</v>
          </cell>
          <cell r="E615">
            <v>0</v>
          </cell>
          <cell r="F615">
            <v>0</v>
          </cell>
          <cell r="G615">
            <v>0</v>
          </cell>
        </row>
        <row r="616">
          <cell r="B616" t="str">
            <v>08824171/0003-09</v>
          </cell>
          <cell r="C616" t="str">
            <v>JCM NITEROI REFRIGERACAO LTDA</v>
          </cell>
          <cell r="D616">
            <v>0</v>
          </cell>
          <cell r="E616">
            <v>0</v>
          </cell>
          <cell r="F616">
            <v>0</v>
          </cell>
          <cell r="G616">
            <v>0</v>
          </cell>
        </row>
        <row r="617">
          <cell r="B617" t="str">
            <v>35808088/0001-57</v>
          </cell>
          <cell r="C617" t="str">
            <v>P C E PROJETOS E CONSULT DE ENG LTDA</v>
          </cell>
          <cell r="D617">
            <v>0</v>
          </cell>
          <cell r="E617">
            <v>0</v>
          </cell>
          <cell r="F617">
            <v>0</v>
          </cell>
          <cell r="G617">
            <v>0</v>
          </cell>
        </row>
        <row r="618">
          <cell r="B618" t="str">
            <v>03851171/0001-12</v>
          </cell>
          <cell r="C618" t="str">
            <v>SERVICO SOCIAL DA INDUSTRIA - SESI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</row>
        <row r="619">
          <cell r="B619" t="str">
            <v>05396069/0001-08</v>
          </cell>
          <cell r="C619" t="str">
            <v>NOVO PONTO DIGITAL COMERCIO LTDA EPP</v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</row>
        <row r="620">
          <cell r="B620" t="str">
            <v>11209430/0001-34</v>
          </cell>
          <cell r="C620" t="str">
            <v>EASYTS ASSESSORIA LINGUISTICA LTDA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</row>
        <row r="621">
          <cell r="B621" t="str">
            <v>03928633/0017-10</v>
          </cell>
          <cell r="C621" t="str">
            <v>HOUTER DO BRASIL LTDA</v>
          </cell>
          <cell r="D621">
            <v>0</v>
          </cell>
          <cell r="E621">
            <v>0</v>
          </cell>
          <cell r="F621">
            <v>0</v>
          </cell>
          <cell r="G621">
            <v>0</v>
          </cell>
        </row>
        <row r="622">
          <cell r="B622" t="str">
            <v>10411968/0001-64</v>
          </cell>
          <cell r="C622" t="str">
            <v>WOOD MACKENZE CONSULTORIA E ASSESSORIA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</row>
        <row r="623">
          <cell r="B623" t="str">
            <v>72381189/0006-25</v>
          </cell>
          <cell r="C623" t="str">
            <v>DELL COMPUTADORES DO BRASIL LTDA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</row>
        <row r="624">
          <cell r="B624" t="str">
            <v>01113391/0001-13</v>
          </cell>
          <cell r="C624" t="str">
            <v>DOCUMENTAR TECNOLOGIA E INFORMACAO  LTDA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</row>
        <row r="625">
          <cell r="B625" t="str">
            <v>15208337/0001-66</v>
          </cell>
          <cell r="C625" t="str">
            <v>RICETE CONSERTOS E MANUTENCAO LTDA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</row>
        <row r="626">
          <cell r="B626" t="str">
            <v>15276795/0001-32</v>
          </cell>
          <cell r="C626" t="str">
            <v>SERCOM SOLUCOES LTDA</v>
          </cell>
          <cell r="D626">
            <v>0</v>
          </cell>
          <cell r="E626">
            <v>0</v>
          </cell>
          <cell r="F626">
            <v>0</v>
          </cell>
          <cell r="G626">
            <v>0</v>
          </cell>
        </row>
        <row r="627">
          <cell r="B627" t="str">
            <v>88766936/0001-79</v>
          </cell>
          <cell r="C627" t="str">
            <v>MARELLI MOVEIS PARA ESCRITORIO LTDA</v>
          </cell>
          <cell r="D627">
            <v>0</v>
          </cell>
          <cell r="E627">
            <v>0</v>
          </cell>
          <cell r="F627">
            <v>0</v>
          </cell>
          <cell r="G627">
            <v>0</v>
          </cell>
        </row>
        <row r="628">
          <cell r="B628" t="str">
            <v>13098174/0001-80</v>
          </cell>
          <cell r="C628" t="str">
            <v>MACIEL AUDITORES S/S - EPP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</row>
        <row r="629">
          <cell r="B629" t="str">
            <v>36207710/0001-34</v>
          </cell>
          <cell r="C629" t="str">
            <v>DUPLICA SOM IND. COM. LTDA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</row>
        <row r="630">
          <cell r="B630" t="str">
            <v>07815873/0001-00</v>
          </cell>
          <cell r="C630" t="str">
            <v>FUNDACAO TROMPOWSKY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</row>
        <row r="631">
          <cell r="B631" t="str">
            <v>04234330/0001-00</v>
          </cell>
          <cell r="C631" t="str">
            <v>MENEGATTI SOLUCOES SOFTWARE LTDA</v>
          </cell>
          <cell r="D631">
            <v>0</v>
          </cell>
          <cell r="E631">
            <v>0</v>
          </cell>
          <cell r="F631">
            <v>0</v>
          </cell>
          <cell r="G631">
            <v>0</v>
          </cell>
        </row>
        <row r="632">
          <cell r="B632" t="str">
            <v>05102374/0001-31</v>
          </cell>
          <cell r="C632" t="str">
            <v>EXTINFIRE EXTINTORES LTDA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</row>
        <row r="633">
          <cell r="B633" t="str">
            <v>07055987/0001-90</v>
          </cell>
          <cell r="C633" t="str">
            <v>INOVAMAX TELEINFORMATICA LTDA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</row>
        <row r="634">
          <cell r="B634" t="str">
            <v>07799454/0001-13</v>
          </cell>
          <cell r="C634" t="str">
            <v>CENOFISCO CENTRO DE CAP. PROFISSIONAL</v>
          </cell>
          <cell r="D634">
            <v>0</v>
          </cell>
          <cell r="E634">
            <v>0</v>
          </cell>
          <cell r="F634">
            <v>0</v>
          </cell>
          <cell r="G634">
            <v>0</v>
          </cell>
        </row>
        <row r="635">
          <cell r="B635" t="str">
            <v>09308557/0001-69</v>
          </cell>
          <cell r="C635" t="str">
            <v>BUREAURIO REPROGRAFIA E SERVICOS LTDA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</row>
        <row r="636">
          <cell r="B636" t="str">
            <v>76703404/0001-03</v>
          </cell>
          <cell r="C636" t="str">
            <v>FERMA ENGENHARIA LTDA</v>
          </cell>
          <cell r="D636">
            <v>0</v>
          </cell>
          <cell r="E636">
            <v>0</v>
          </cell>
          <cell r="F636">
            <v>0</v>
          </cell>
          <cell r="G636">
            <v>0</v>
          </cell>
        </row>
        <row r="637">
          <cell r="B637" t="str">
            <v>33683111/0008-75</v>
          </cell>
          <cell r="C637" t="str">
            <v>SERVICO FEDERAL DE PROC DE DADOS SERPRO</v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</row>
        <row r="638">
          <cell r="B638" t="str">
            <v>02249861/0001-33</v>
          </cell>
          <cell r="C638" t="str">
            <v>ASMEP ASSISTENCIAL DE MOLAS E PORTAS LTD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</row>
        <row r="639">
          <cell r="B639">
            <v>10282700000000</v>
          </cell>
          <cell r="C639" t="str">
            <v>INSTITUTO SOCIAL IRIS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</row>
        <row r="640">
          <cell r="B640" t="str">
            <v>04672955/0001-46</v>
          </cell>
          <cell r="C640" t="str">
            <v>MR IRMAO MANSUR LTDA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</row>
        <row r="641">
          <cell r="B641" t="str">
            <v>90051160/0001-52</v>
          </cell>
          <cell r="C641" t="str">
            <v>BORTOLINI INDUSTRIA DE MOVEIS LTDA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</row>
        <row r="642">
          <cell r="B642" t="str">
            <v>31401128/0001-90</v>
          </cell>
          <cell r="C642" t="str">
            <v>META EXTINTORES LTDA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</row>
        <row r="643">
          <cell r="B643" t="str">
            <v>17299828/0001-95</v>
          </cell>
          <cell r="C643" t="str">
            <v>JOSE ARMESINO RODRIGUES NETO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</row>
        <row r="644">
          <cell r="B644" t="str">
            <v>86781069/0001-15</v>
          </cell>
          <cell r="C644" t="str">
            <v>ZENITE INFORMACAO E CONSULTORIA S/A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</row>
        <row r="645">
          <cell r="B645" t="str">
            <v>06309379/0001-00</v>
          </cell>
          <cell r="C645" t="str">
            <v>NOVE ORGANIZACAO DE EVENTOS LTDA</v>
          </cell>
          <cell r="D645">
            <v>0</v>
          </cell>
          <cell r="E645">
            <v>0</v>
          </cell>
          <cell r="F645">
            <v>0</v>
          </cell>
          <cell r="G645">
            <v>0</v>
          </cell>
        </row>
        <row r="646">
          <cell r="B646" t="str">
            <v>03734114/0001-53</v>
          </cell>
          <cell r="C646" t="str">
            <v>A. ALMEIDA NAVEGACAO E TURISMO LTDA - ME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</row>
        <row r="647">
          <cell r="B647" t="str">
            <v>09545938/0001-61</v>
          </cell>
          <cell r="C647" t="str">
            <v>INDUSTRIA GOMES MOVEIS DE ACO LTDA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</row>
        <row r="648">
          <cell r="B648" t="str">
            <v>01802270/0001-89</v>
          </cell>
          <cell r="C648" t="str">
            <v>SOCIEDADE BRASILEIRA DE METROLOGIA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</row>
        <row r="649">
          <cell r="B649" t="str">
            <v>16455078/0001-30</v>
          </cell>
          <cell r="C649" t="str">
            <v>BRASILIMP LIMPEZA CERTA LTDA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</row>
        <row r="650">
          <cell r="B650" t="str">
            <v>05276095/0001-94</v>
          </cell>
          <cell r="C650" t="str">
            <v>M. M. 36 MATERIAIS DE LIMPEZA LTDA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</row>
        <row r="651">
          <cell r="B651" t="str">
            <v>08726836/0001-80</v>
          </cell>
          <cell r="C651" t="str">
            <v>SUPRIWEB COM E SERV INFORMATICA LTDA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</row>
        <row r="652">
          <cell r="B652" t="str">
            <v>08255393/0001-96</v>
          </cell>
          <cell r="C652" t="str">
            <v>FOCO OPINIAO E MERCADO LTDA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</row>
        <row r="653">
          <cell r="B653" t="str">
            <v>10213136/0001-33</v>
          </cell>
          <cell r="C653" t="str">
            <v>INDUSTEC COM. E SERV. DE EQUIP. ELET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</row>
        <row r="654">
          <cell r="B654" t="str">
            <v>00276225/0001-75</v>
          </cell>
          <cell r="C654" t="str">
            <v>BELO HORIZONTE SISTEMAS LTDA</v>
          </cell>
          <cell r="D654">
            <v>0</v>
          </cell>
          <cell r="E654">
            <v>0</v>
          </cell>
          <cell r="F654">
            <v>0</v>
          </cell>
          <cell r="G654">
            <v>0</v>
          </cell>
        </row>
        <row r="655">
          <cell r="B655" t="str">
            <v>30055164/0001-87</v>
          </cell>
          <cell r="C655" t="str">
            <v>ROSARIO PLACAS E CARIMBOS</v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</row>
        <row r="656">
          <cell r="B656" t="str">
            <v>10828695/0001-58</v>
          </cell>
          <cell r="C656" t="str">
            <v>V3 AGENCIA DE PUBLICIDADE E EVENTOS LTDA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</row>
        <row r="657">
          <cell r="B657" t="str">
            <v>18546745/0001-16</v>
          </cell>
          <cell r="C657" t="str">
            <v>LB SERVICOS DE INSTALACOES EIRELI EPP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</row>
        <row r="658">
          <cell r="B658" t="str">
            <v>06954157/0001-32</v>
          </cell>
          <cell r="C658" t="str">
            <v>FRANCISCO A A MEDEIRO IND E COMERCIO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</row>
        <row r="659">
          <cell r="B659" t="str">
            <v>10646995/0001-16</v>
          </cell>
          <cell r="C659" t="str">
            <v>DCL BRASIL DISTRIBUIDORA LTDA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</row>
        <row r="660">
          <cell r="B660" t="str">
            <v>47866934/0001-74</v>
          </cell>
          <cell r="C660" t="str">
            <v>TICKET SERVICOS SA</v>
          </cell>
          <cell r="D660">
            <v>0</v>
          </cell>
          <cell r="E660">
            <v>0</v>
          </cell>
          <cell r="F660">
            <v>-1450</v>
          </cell>
          <cell r="G660">
            <v>1450</v>
          </cell>
        </row>
        <row r="661">
          <cell r="B661" t="str">
            <v>20198527/0001-80</v>
          </cell>
          <cell r="C661" t="str">
            <v>PABIO FERREIRA VILELA - ME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</row>
        <row r="662">
          <cell r="B662">
            <v>2794423</v>
          </cell>
          <cell r="C662" t="str">
            <v>UILIAN DE OLIVEIRA JUNIOR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</row>
        <row r="663">
          <cell r="B663" t="str">
            <v>08060705/0001-06</v>
          </cell>
          <cell r="C663" t="str">
            <v>BCA SERVICOS DE INFORMATICA LTDA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</row>
        <row r="664">
          <cell r="B664" t="str">
            <v>31823255/0001-88</v>
          </cell>
          <cell r="C664" t="str">
            <v>AGENCIA PORA LTDA ME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</row>
        <row r="665">
          <cell r="B665" t="str">
            <v>08050705/0001-06</v>
          </cell>
          <cell r="C665" t="str">
            <v>BCA SERVICOS DE INFORMATICA LTDA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</row>
        <row r="666">
          <cell r="B666">
            <v>7874590000000</v>
          </cell>
          <cell r="C666" t="str">
            <v>INSTITUTO BRAMANTE DE DESEN PROFISSIONAL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</row>
        <row r="667">
          <cell r="B667" t="str">
            <v>16887672/0001-09</v>
          </cell>
          <cell r="C667" t="str">
            <v>PROTON COM DE ELETRO-ELETRONICOS EIRELI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</row>
        <row r="668">
          <cell r="B668" t="str">
            <v>03718164/0001-47</v>
          </cell>
          <cell r="C668" t="str">
            <v>WEINSTEIN INFORMATICA LTDA</v>
          </cell>
          <cell r="D668">
            <v>0</v>
          </cell>
          <cell r="E668">
            <v>0</v>
          </cell>
          <cell r="F668">
            <v>0</v>
          </cell>
          <cell r="G668">
            <v>0</v>
          </cell>
        </row>
        <row r="669">
          <cell r="B669" t="str">
            <v>15165950/0001-43</v>
          </cell>
          <cell r="C669" t="str">
            <v>ATUALIZACAO PROFISSIONAL CONT E JUR LTDA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</row>
        <row r="670">
          <cell r="B670" t="str">
            <v>06955770/0001-74</v>
          </cell>
          <cell r="C670" t="str">
            <v>P&amp;P TURISMO LTDA ME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</row>
        <row r="671">
          <cell r="B671" t="str">
            <v>59527788/0002-12</v>
          </cell>
          <cell r="C671" t="str">
            <v>ERNST &amp; YOUNG ASSESSORIA EMPRESARIAL LTD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</row>
        <row r="672">
          <cell r="B672" t="str">
            <v>49058654/0001-65</v>
          </cell>
          <cell r="C672" t="str">
            <v>FLEXFORM INDUSTRIA METALURGICA LTDA</v>
          </cell>
          <cell r="D672">
            <v>0</v>
          </cell>
          <cell r="E672">
            <v>0</v>
          </cell>
          <cell r="F672">
            <v>0</v>
          </cell>
          <cell r="G672">
            <v>0</v>
          </cell>
        </row>
        <row r="673">
          <cell r="B673" t="str">
            <v>00714403/0001-80</v>
          </cell>
          <cell r="C673" t="str">
            <v>ELO CONSULTORIA EMP. E PROD. DE EVENTOS</v>
          </cell>
          <cell r="D673">
            <v>0</v>
          </cell>
          <cell r="E673">
            <v>0</v>
          </cell>
          <cell r="F673">
            <v>0</v>
          </cell>
          <cell r="G673">
            <v>0</v>
          </cell>
        </row>
        <row r="674">
          <cell r="B674" t="str">
            <v>15691419/0001-04</v>
          </cell>
          <cell r="C674" t="str">
            <v>STRUTTURA COM E INST DE PERFIS MET LTDA</v>
          </cell>
          <cell r="D674">
            <v>0</v>
          </cell>
          <cell r="E674">
            <v>0</v>
          </cell>
          <cell r="F674">
            <v>0</v>
          </cell>
          <cell r="G674">
            <v>0</v>
          </cell>
        </row>
        <row r="675">
          <cell r="B675" t="str">
            <v>17066652/0001-21</v>
          </cell>
          <cell r="C675" t="str">
            <v>COMFAST COMERCIO DE MATERIAL DE</v>
          </cell>
          <cell r="D675">
            <v>0</v>
          </cell>
          <cell r="E675">
            <v>0</v>
          </cell>
          <cell r="F675">
            <v>0</v>
          </cell>
          <cell r="G675">
            <v>0</v>
          </cell>
        </row>
        <row r="676">
          <cell r="B676" t="str">
            <v>01516572/0001-90</v>
          </cell>
          <cell r="C676" t="str">
            <v>COMPUSOFTWARE INFORMATICA LTDA</v>
          </cell>
          <cell r="D676">
            <v>0</v>
          </cell>
          <cell r="E676">
            <v>0</v>
          </cell>
          <cell r="F676">
            <v>0</v>
          </cell>
          <cell r="G676">
            <v>0</v>
          </cell>
        </row>
        <row r="677">
          <cell r="B677" t="str">
            <v>09604060/0001-98</v>
          </cell>
          <cell r="C677" t="str">
            <v>BRACIER - COMITE BRASILEIRO</v>
          </cell>
          <cell r="D677">
            <v>0</v>
          </cell>
          <cell r="E677">
            <v>0</v>
          </cell>
          <cell r="F677">
            <v>0</v>
          </cell>
          <cell r="G677">
            <v>0</v>
          </cell>
        </row>
        <row r="678">
          <cell r="B678" t="str">
            <v>11373634/0001-06</v>
          </cell>
          <cell r="C678" t="str">
            <v>MEC ETIQUETAS E ROTULOS LTDA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</row>
        <row r="679">
          <cell r="B679" t="str">
            <v>03148451/0001-69</v>
          </cell>
          <cell r="C679" t="str">
            <v>SECULLUM SOFTWARES LTDA EPP</v>
          </cell>
          <cell r="D679">
            <v>0</v>
          </cell>
          <cell r="E679">
            <v>0</v>
          </cell>
          <cell r="F679">
            <v>0</v>
          </cell>
          <cell r="G679">
            <v>0</v>
          </cell>
        </row>
        <row r="680">
          <cell r="B680" t="str">
            <v>07639095/0001-37</v>
          </cell>
          <cell r="C680" t="str">
            <v>INTITUTO ILOS</v>
          </cell>
          <cell r="D680">
            <v>0</v>
          </cell>
          <cell r="E680">
            <v>0</v>
          </cell>
          <cell r="F680">
            <v>0</v>
          </cell>
          <cell r="G680">
            <v>0</v>
          </cell>
        </row>
        <row r="681">
          <cell r="B681" t="str">
            <v>17869849/0001-07</v>
          </cell>
          <cell r="C681" t="str">
            <v>AIR TIME RJ AR CONDICIONADO LTDA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</row>
        <row r="682">
          <cell r="B682" t="str">
            <v>18457113/0001-86</v>
          </cell>
          <cell r="C682" t="str">
            <v>ALL GOOD SUPRIMENTOS E EQUIPAMENTOS LTDA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</row>
        <row r="683">
          <cell r="B683" t="str">
            <v>07341418/0001-01</v>
          </cell>
          <cell r="C683" t="str">
            <v>INFORMA ECONOMICS FNP CONSULT LTDA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</row>
        <row r="684">
          <cell r="B684" t="str">
            <v>09388567/0001-51</v>
          </cell>
          <cell r="C684" t="str">
            <v>SHOW TECNOLOGIA DA INFORMACAO LTDA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</row>
        <row r="685">
          <cell r="B685" t="str">
            <v>12157917/0001-83</v>
          </cell>
          <cell r="C685" t="str">
            <v>ELETRICA KVA LTDA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</row>
        <row r="686">
          <cell r="B686" t="str">
            <v>16735032/0001-75</v>
          </cell>
          <cell r="C686" t="str">
            <v>FABIO DUTRA DECORACOES LTDA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</row>
        <row r="687">
          <cell r="B687" t="str">
            <v>05673029/0001-58</v>
          </cell>
          <cell r="C687" t="str">
            <v>DROGARIA MONTANA LTDA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</row>
        <row r="688">
          <cell r="B688" t="str">
            <v>04481410/000152</v>
          </cell>
          <cell r="C688" t="str">
            <v>NÃO USAR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</row>
        <row r="689">
          <cell r="B689" t="str">
            <v>12432924/0001-46</v>
          </cell>
          <cell r="C689" t="str">
            <v>CASA VIVA EVENTOS AMBIENTAIS LTDA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</row>
        <row r="690">
          <cell r="B690" t="str">
            <v>71584338/0001-86</v>
          </cell>
          <cell r="C690" t="str">
            <v>ELO ENGENHARIA COMERCIO E CONSTRUÇOES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</row>
        <row r="691">
          <cell r="B691" t="str">
            <v>34275982/0001-46</v>
          </cell>
          <cell r="C691" t="str">
            <v>PAPELARIA APOLLO LTDA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</row>
        <row r="692">
          <cell r="B692" t="str">
            <v>08881332/0001-34</v>
          </cell>
          <cell r="C692" t="str">
            <v>VOLGA ENGENHARIA DE PRODUCAO LTDA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</row>
        <row r="693">
          <cell r="B693" t="str">
            <v>12622028/0001-40</v>
          </cell>
          <cell r="C693" t="str">
            <v>GLOBALPRINT EDITORA GRAFICA LTDA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</row>
        <row r="694">
          <cell r="B694" t="str">
            <v>40389603/0001-41</v>
          </cell>
          <cell r="C694" t="str">
            <v>ESTOFADOS BEM NA MODA LTDA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</row>
        <row r="695">
          <cell r="B695" t="str">
            <v>05340639/0001-30</v>
          </cell>
          <cell r="C695" t="str">
            <v>PRIME CONSULTORIA E ASSESSORIA EMP. LTDA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</row>
        <row r="696">
          <cell r="B696" t="str">
            <v>40432544/0001-47</v>
          </cell>
          <cell r="C696" t="str">
            <v>CLARO S/A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</row>
        <row r="697">
          <cell r="B697" t="str">
            <v>02191676/0001-35</v>
          </cell>
          <cell r="C697" t="str">
            <v>FORSEG COMERCIO DE EXTINTORES LTDA -ME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</row>
        <row r="698">
          <cell r="B698" t="str">
            <v>07692685/0001-23</v>
          </cell>
          <cell r="C698" t="str">
            <v>J S R C GNV SEGURANCA CONTRA INCENDIO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</row>
        <row r="699">
          <cell r="B699" t="str">
            <v>01513667/0001-50</v>
          </cell>
          <cell r="C699" t="str">
            <v>KA IQUE COMERCIO E SERVICOS EIRELI EPP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</row>
        <row r="700">
          <cell r="B700" t="str">
            <v>05930146/0001-50</v>
          </cell>
          <cell r="C700" t="str">
            <v>FERNANDO JC PINASSO ASSESSORIA  EVENTOS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</row>
        <row r="701">
          <cell r="B701" t="str">
            <v>00849315/0001-08</v>
          </cell>
          <cell r="C701" t="str">
            <v>FN EQUIP TECNOLOGICOS E  SEGURANCA LTDA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</row>
        <row r="702">
          <cell r="B702" t="str">
            <v>10777099/0001-96</v>
          </cell>
          <cell r="C702" t="str">
            <v>BRXNQ TELECOMUNICACOES LTDA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</row>
        <row r="703">
          <cell r="B703" t="str">
            <v>76535764/0001-43</v>
          </cell>
          <cell r="C703" t="str">
            <v>OI SA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</row>
        <row r="704">
          <cell r="B704" t="str">
            <v>62652961/0001-38</v>
          </cell>
          <cell r="C704" t="str">
            <v>AGENCIA ESTADO S.A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</row>
        <row r="705">
          <cell r="B705" t="str">
            <v>10727138/0001-40</v>
          </cell>
          <cell r="C705" t="str">
            <v>CVNI CENTRO DE VACINACAO NOVA IGUACU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</row>
        <row r="706">
          <cell r="B706" t="str">
            <v>00055671/0001-50</v>
          </cell>
          <cell r="C706" t="str">
            <v>VAN MEX COMERCIAL E SERVIÇOS LTDA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</row>
        <row r="707">
          <cell r="B707" t="str">
            <v>01436782/0001-79</v>
          </cell>
          <cell r="C707" t="str">
            <v>KANTRO SERVICOS TERCEIRIZADOS LTDA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</row>
        <row r="708">
          <cell r="B708" t="str">
            <v>16465373/0001-78</v>
          </cell>
          <cell r="C708" t="str">
            <v>L R B NEVES GRAFICA EDITORA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</row>
        <row r="709">
          <cell r="B709" t="str">
            <v>14438757/0001-76</v>
          </cell>
          <cell r="C709" t="str">
            <v>CAM TECNOLOGIA LTDA ME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</row>
        <row r="710">
          <cell r="B710" t="str">
            <v>08286246/0001-83</v>
          </cell>
          <cell r="C710" t="str">
            <v>NEWCREATIVE ARTESHOW LTDA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</row>
        <row r="711">
          <cell r="B711" t="str">
            <v>14644934/0001-70</v>
          </cell>
          <cell r="C711" t="str">
            <v>SOCIEDADE BRASILEIRA DE GEOFISICA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</row>
        <row r="712">
          <cell r="B712">
            <v>4709190000000</v>
          </cell>
          <cell r="C712" t="str">
            <v>INSTITUTO ACENDE BRASIL</v>
          </cell>
          <cell r="D712">
            <v>0</v>
          </cell>
          <cell r="E712">
            <v>0</v>
          </cell>
          <cell r="F712">
            <v>0</v>
          </cell>
          <cell r="G712">
            <v>0</v>
          </cell>
        </row>
        <row r="713">
          <cell r="B713" t="str">
            <v>13060810/0001-85</v>
          </cell>
          <cell r="C713" t="str">
            <v>SUPRIZ COMERCIO DE SUPRIMENTOS LTDA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</row>
        <row r="714">
          <cell r="B714" t="str">
            <v>21340197/0001-88</v>
          </cell>
          <cell r="C714" t="str">
            <v>TECHVET SERVICOS LTDA ME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</row>
        <row r="715">
          <cell r="B715">
            <v>7866290000000</v>
          </cell>
          <cell r="C715" t="str">
            <v>INSTITUTO BRASILEIRO DE DIREITO PUBLICO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</row>
        <row r="716">
          <cell r="B716" t="str">
            <v>10825457/0001-99</v>
          </cell>
          <cell r="C716" t="str">
            <v>IOC CAPACITACAO LTDA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</row>
        <row r="717">
          <cell r="B717" t="str">
            <v>94526480/0001-72</v>
          </cell>
          <cell r="C717" t="str">
            <v>M R S ESTUDOS AMBIENTAIS LTDA</v>
          </cell>
          <cell r="D717">
            <v>0</v>
          </cell>
          <cell r="E717">
            <v>0</v>
          </cell>
          <cell r="F717">
            <v>0</v>
          </cell>
          <cell r="G717">
            <v>0</v>
          </cell>
        </row>
        <row r="718">
          <cell r="B718" t="str">
            <v>08379106/0001-50</v>
          </cell>
          <cell r="C718" t="str">
            <v>PAPELARIA BASE DAS ARTES LTDA ME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</row>
        <row r="719">
          <cell r="B719" t="str">
            <v>03746938/0001-43</v>
          </cell>
          <cell r="C719" t="str">
            <v>STAPLES BRASIL COM DE MATERIAIS DE ESCR</v>
          </cell>
          <cell r="D719">
            <v>0</v>
          </cell>
          <cell r="E719">
            <v>0</v>
          </cell>
          <cell r="F719">
            <v>0</v>
          </cell>
          <cell r="G719">
            <v>0</v>
          </cell>
        </row>
        <row r="720">
          <cell r="B720" t="str">
            <v>19950386/0001-20</v>
          </cell>
          <cell r="C720" t="str">
            <v>SINERGIA COM E SERV DE EQUI ELETRO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</row>
        <row r="721">
          <cell r="B721" t="str">
            <v>3259002/0001-74</v>
          </cell>
          <cell r="C721" t="str">
            <v>ARACAJU ELETRO FERRAGENS LTDA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</row>
        <row r="722">
          <cell r="B722" t="str">
            <v>59105999/0001-86</v>
          </cell>
          <cell r="C722" t="str">
            <v>WHIRLPOOL SA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</row>
        <row r="723">
          <cell r="B723" t="str">
            <v>18090313/0001-43</v>
          </cell>
          <cell r="C723" t="str">
            <v>DALA SERVICE AR CONDICIONADO LTDA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</row>
        <row r="724">
          <cell r="B724" t="str">
            <v>06012731/0001-33</v>
          </cell>
          <cell r="C724" t="str">
            <v>ONE CURSOS-TREINAMENTO DESEN CAPACITACAO</v>
          </cell>
          <cell r="D724">
            <v>0</v>
          </cell>
          <cell r="E724">
            <v>4350</v>
          </cell>
          <cell r="F724">
            <v>-4350</v>
          </cell>
          <cell r="G724">
            <v>0</v>
          </cell>
        </row>
        <row r="725">
          <cell r="B725" t="str">
            <v>05344234/0001-70</v>
          </cell>
          <cell r="C725" t="str">
            <v>RJ LOCACAO DE VEICULOS E SERVICOS LTDA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</row>
        <row r="726">
          <cell r="B726" t="str">
            <v>03090756/0001-67</v>
          </cell>
          <cell r="C726" t="str">
            <v>AMAZONAVES TÁXI AÉREO LTDA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</row>
        <row r="727">
          <cell r="B727" t="str">
            <v>03618435/0001-92</v>
          </cell>
          <cell r="C727" t="str">
            <v>BRASILL INFORMATICA E PRODUTOS LTDA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</row>
        <row r="728">
          <cell r="B728" t="str">
            <v>06161716/0001-57</v>
          </cell>
          <cell r="C728" t="str">
            <v>AVELAR &amp; DUARTE SERVIÇOS CULTURAIS LTDA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</row>
        <row r="729">
          <cell r="B729" t="str">
            <v>03619767/0002-61</v>
          </cell>
          <cell r="C729" t="str">
            <v>TORINO INFORMATICA LTDA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</row>
        <row r="730">
          <cell r="B730" t="str">
            <v>49045552/0001-05</v>
          </cell>
          <cell r="C730" t="str">
            <v>ELASTICOS OLIMPIA LTDA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</row>
        <row r="731">
          <cell r="B731" t="str">
            <v>07446868/0001-69</v>
          </cell>
          <cell r="C731" t="str">
            <v>DANDY LOCAÇÃO DE VEÍCULOS LTDA.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</row>
        <row r="732">
          <cell r="B732" t="str">
            <v>07101088/0001-87</v>
          </cell>
          <cell r="C732" t="str">
            <v>DEALWAY INFORMATICA LTDA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</row>
        <row r="733">
          <cell r="B733" t="str">
            <v>04556971/0001-73</v>
          </cell>
          <cell r="C733" t="str">
            <v>ANGELTEC COPIADORA LTDA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</row>
        <row r="734">
          <cell r="B734" t="str">
            <v>10548069/0001-08</v>
          </cell>
          <cell r="C734" t="str">
            <v>DANIELA RISSON - JORNALISTA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</row>
        <row r="735">
          <cell r="B735" t="str">
            <v>33267642/0001-00</v>
          </cell>
          <cell r="C735" t="str">
            <v>GRAFICA EDITORA JORNAL DO COMERCIO S/A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</row>
        <row r="736">
          <cell r="B736" t="str">
            <v>21051277/0001-13</v>
          </cell>
          <cell r="C736" t="str">
            <v>RT EDITORA E DISTRIBUIDORA DE PAPEIS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</row>
        <row r="737">
          <cell r="B737" t="str">
            <v>86517729/0001-55</v>
          </cell>
          <cell r="C737" t="str">
            <v>VIENA EMPREENDIMENTOS LTDA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</row>
        <row r="738">
          <cell r="B738" t="str">
            <v>18023708/0001-23</v>
          </cell>
          <cell r="C738" t="str">
            <v>ALFREDO ALVES DA COSTA NETO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</row>
        <row r="739">
          <cell r="B739" t="str">
            <v>05214413/0001-92</v>
          </cell>
          <cell r="C739" t="str">
            <v>FUNDACAO MIGUEL DE CERVANTES DE APOIO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</row>
        <row r="740">
          <cell r="B740" t="str">
            <v>22238694/0001-32</v>
          </cell>
          <cell r="C740" t="str">
            <v>BERNARDES COM E IND GRAF EIRELI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</row>
        <row r="741">
          <cell r="B741" t="str">
            <v>03831133/0001-06</v>
          </cell>
          <cell r="C741" t="str">
            <v>ROTAPLAN GRAFICA E EDITORA LTDA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</row>
        <row r="742">
          <cell r="B742" t="str">
            <v>73415655/0001-02</v>
          </cell>
          <cell r="C742" t="str">
            <v>TEMATICA CARTOGRAFO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</row>
        <row r="743">
          <cell r="B743" t="str">
            <v>00274602/0001-37</v>
          </cell>
          <cell r="C743" t="str">
            <v>ART GLORIA SERRALHERIA LTDA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</row>
        <row r="744">
          <cell r="B744" t="str">
            <v>54102785/0001-32</v>
          </cell>
          <cell r="C744" t="str">
            <v>EDITORIA NDJ LTDA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</row>
        <row r="745">
          <cell r="B745" t="str">
            <v>12369441/0001-44</v>
          </cell>
          <cell r="C745" t="str">
            <v>CONSEG EQUP E SIST CONTRA INCENDIO LTDA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</row>
        <row r="746">
          <cell r="B746" t="str">
            <v>24221596/0001-82</v>
          </cell>
          <cell r="C746" t="str">
            <v>EASY SR SERVICOS LTDA ME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</row>
        <row r="747">
          <cell r="B747" t="str">
            <v>02550956/0001-92</v>
          </cell>
          <cell r="C747" t="str">
            <v>CASA DE IDEIAS COMUNICACAO LTDA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</row>
        <row r="748">
          <cell r="B748" t="str">
            <v>04707003/0001-10</v>
          </cell>
          <cell r="C748" t="str">
            <v>SPRANGER ESTMATIVAS DE CUSTO LTDA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</row>
        <row r="749">
          <cell r="B749" t="str">
            <v>08513498/0001-06</v>
          </cell>
          <cell r="C749" t="str">
            <v>CVI CURSOS E TREINAMENTOS EMPRESARIAIS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</row>
        <row r="750">
          <cell r="B750" t="str">
            <v>11013199/0001-09</v>
          </cell>
          <cell r="C750" t="str">
            <v>INT PRINT SERVICOS DE INFORMATICA LTDA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</row>
        <row r="751">
          <cell r="B751" t="str">
            <v>04154489/0001-07</v>
          </cell>
          <cell r="C751" t="str">
            <v>ABACO FORROS E DIVISORIAS LTDA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</row>
        <row r="752">
          <cell r="B752" t="str">
            <v>09012638/0001-07</v>
          </cell>
          <cell r="C752" t="str">
            <v>J L CLEAN COM E SERV DE ART DE VESTUARIO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</row>
        <row r="753">
          <cell r="B753">
            <v>40232500000000</v>
          </cell>
          <cell r="C753" t="str">
            <v>ASSOCIAÇÃO DOS CONDÔMINIOS DO ED. DA AV.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</row>
        <row r="754">
          <cell r="B754">
            <v>4725670000000</v>
          </cell>
          <cell r="C754" t="str">
            <v>LABORINFO TECNOLOGIA DA INFORMAÇÃO LTDA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</row>
        <row r="755">
          <cell r="B755">
            <v>20491400000000</v>
          </cell>
          <cell r="C755" t="str">
            <v>AZURE PROPAGANDA LTDA</v>
          </cell>
          <cell r="D755">
            <v>0</v>
          </cell>
          <cell r="E755">
            <v>0</v>
          </cell>
          <cell r="F755">
            <v>0</v>
          </cell>
          <cell r="G755">
            <v>0</v>
          </cell>
        </row>
        <row r="756">
          <cell r="B756">
            <v>33754500000000</v>
          </cell>
          <cell r="C756" t="str">
            <v>PREVI - CAIXA DE PREVIDÊNCIA DOS FUNCION</v>
          </cell>
          <cell r="D756">
            <v>0</v>
          </cell>
          <cell r="E756">
            <v>206175.49</v>
          </cell>
          <cell r="F756">
            <v>-206175.49</v>
          </cell>
          <cell r="G756">
            <v>0</v>
          </cell>
        </row>
        <row r="757">
          <cell r="B757" t="str">
            <v>15135210/0001-64</v>
          </cell>
          <cell r="C757" t="str">
            <v>TECPARTS IMP. E DISTRIB. DE PECAS LTDA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</row>
        <row r="758">
          <cell r="B758" t="str">
            <v>15249200/0001-50</v>
          </cell>
          <cell r="C758" t="str">
            <v>CEOX - PLANEJAMENTO E OTIMIZAÇÃO LTDA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</row>
        <row r="759">
          <cell r="B759" t="str">
            <v>147834160001/38</v>
          </cell>
          <cell r="C759" t="str">
            <v>GRUPOJAM MIDIA INTEGRADA EIRELI - ME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</row>
        <row r="760">
          <cell r="B760" t="str">
            <v>10320951/0001-00</v>
          </cell>
          <cell r="C760" t="str">
            <v>TNS COMERCIAL LTDA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</row>
        <row r="761">
          <cell r="B761">
            <v>7775030000000</v>
          </cell>
          <cell r="C761" t="str">
            <v>SAUDE &amp; BEM ESTAR FISIOTERAPIA LTDA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</row>
        <row r="762">
          <cell r="B762">
            <v>9664480000000</v>
          </cell>
          <cell r="C762" t="str">
            <v>BSL COMÉRCIO, IMPORTAÇÃO E EXPORTAÇÃO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</row>
        <row r="763">
          <cell r="B763">
            <v>23056200000000</v>
          </cell>
          <cell r="C763" t="str">
            <v>CORTEX EVENTOS - ORGANIZAÇÃO DE FEIRAS E</v>
          </cell>
          <cell r="D763">
            <v>0</v>
          </cell>
          <cell r="E763">
            <v>8570</v>
          </cell>
          <cell r="F763">
            <v>-8570</v>
          </cell>
          <cell r="G763">
            <v>0</v>
          </cell>
        </row>
        <row r="764">
          <cell r="B764">
            <v>7993230000000</v>
          </cell>
          <cell r="C764" t="str">
            <v>LIVRARIA BIOTEC LTDA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</row>
        <row r="765">
          <cell r="B765">
            <v>10865100000000</v>
          </cell>
          <cell r="C765" t="str">
            <v>THARGO AUDITORES E CONSULTORES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</row>
        <row r="766">
          <cell r="B766">
            <v>41769800000000</v>
          </cell>
          <cell r="C766" t="str">
            <v>EDITORA FORUM LTDA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</row>
        <row r="767">
          <cell r="B767">
            <v>5430530000000</v>
          </cell>
          <cell r="C767" t="str">
            <v>CABRERA CONSULT. CONTÁBIL E TRIBUTÁRIA L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</row>
        <row r="768">
          <cell r="B768">
            <v>20177000114</v>
          </cell>
          <cell r="C768" t="str">
            <v>PRO VIDEO SERVIÇOS LTDA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</row>
        <row r="769">
          <cell r="B769">
            <v>55475100000000</v>
          </cell>
          <cell r="C769" t="str">
            <v>LIVRARIA ENGETEC LTDA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</row>
        <row r="770">
          <cell r="B770">
            <v>9193430000000</v>
          </cell>
          <cell r="C770" t="str">
            <v>SIP VOX TCNOLOGIA LTDA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</row>
        <row r="771">
          <cell r="B771">
            <v>17069000000000</v>
          </cell>
          <cell r="C771" t="str">
            <v>DIVINO LOCADORA DE VEÍCULOS LTDA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</row>
        <row r="772">
          <cell r="B772">
            <v>71196000000000</v>
          </cell>
          <cell r="C772" t="str">
            <v>APRC ENGENHARIA LTDA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</row>
        <row r="773">
          <cell r="B773">
            <v>5724280000000</v>
          </cell>
          <cell r="C773" t="str">
            <v>SOLARIZE SERVICOS EM TEC AMBIENTAL LTDA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</row>
        <row r="774">
          <cell r="B774">
            <v>19803800000000</v>
          </cell>
          <cell r="C774" t="str">
            <v>BE COACHING BRASIL LTDA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</row>
        <row r="775">
          <cell r="B775">
            <v>53437400000000</v>
          </cell>
          <cell r="C775" t="str">
            <v>BRASFILTER INDUSTRIA E COMÉRCIO LTDA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</row>
        <row r="776">
          <cell r="B776">
            <v>9096720000000</v>
          </cell>
          <cell r="C776" t="str">
            <v>BORTOLAI LIVROS LTDA - EPP</v>
          </cell>
          <cell r="D776">
            <v>0</v>
          </cell>
          <cell r="E776">
            <v>0</v>
          </cell>
          <cell r="F776">
            <v>0</v>
          </cell>
          <cell r="G776">
            <v>0</v>
          </cell>
        </row>
        <row r="777">
          <cell r="B777">
            <v>68153200000000</v>
          </cell>
          <cell r="C777" t="str">
            <v>MOLICAR PUBLICAÇÕES AUTOMOTIVAS S/A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</row>
        <row r="778">
          <cell r="B778">
            <v>1804990000000</v>
          </cell>
          <cell r="C778" t="str">
            <v>SECULO XXI COMERCIO DE LIVROS E LIVRARIA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</row>
        <row r="779">
          <cell r="B779">
            <v>3017430000000</v>
          </cell>
          <cell r="C779" t="str">
            <v>NCT INFORMATICA LTDA</v>
          </cell>
          <cell r="D779">
            <v>0</v>
          </cell>
          <cell r="E779">
            <v>10474</v>
          </cell>
          <cell r="F779">
            <v>-14824</v>
          </cell>
          <cell r="G779">
            <v>4350</v>
          </cell>
        </row>
        <row r="780">
          <cell r="B780">
            <v>4131920000000</v>
          </cell>
          <cell r="C780" t="str">
            <v>KAPX COMÉRCIO E SERVIÇOS LTDA - ME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</row>
        <row r="781">
          <cell r="B781" t="str">
            <v>005705050001-91</v>
          </cell>
          <cell r="C781" t="str">
            <v>COOPER POWER SYSTEMS BRASIL LTDA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</row>
        <row r="782">
          <cell r="B782" t="str">
            <v>30258404/0001-40</v>
          </cell>
          <cell r="C782" t="str">
            <v>ASSOCIAÇÃO DAS EMP. BRAS. DE TECNOLOGIA</v>
          </cell>
          <cell r="D782">
            <v>0</v>
          </cell>
          <cell r="E782">
            <v>0</v>
          </cell>
          <cell r="F782">
            <v>0</v>
          </cell>
          <cell r="G782">
            <v>0</v>
          </cell>
        </row>
        <row r="783">
          <cell r="B783" t="str">
            <v>24602524/0001-10</v>
          </cell>
          <cell r="C783" t="str">
            <v>BIODIESELBR INFORMAÇÃO ESPECIALIZADA LTD</v>
          </cell>
          <cell r="D783">
            <v>0</v>
          </cell>
          <cell r="E783">
            <v>0</v>
          </cell>
          <cell r="F783">
            <v>0</v>
          </cell>
          <cell r="G783">
            <v>0</v>
          </cell>
        </row>
        <row r="784">
          <cell r="B784" t="str">
            <v>08863523/0002-54</v>
          </cell>
          <cell r="C784" t="str">
            <v>ADVENTURE VIAGENS E ART ESPORTIVOS LTDA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</row>
        <row r="785">
          <cell r="B785" t="str">
            <v>11318047/0001-14</v>
          </cell>
          <cell r="C785" t="str">
            <v>CONSULCANA - SOLUÇÕES APLICADAS A CANA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</row>
        <row r="786">
          <cell r="B786" t="str">
            <v>05565257/0001-04</v>
          </cell>
          <cell r="C786" t="str">
            <v>ELETRONICA PLAY POWER LTDA - ME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</row>
        <row r="787">
          <cell r="B787" t="str">
            <v>05500641/0001-29</v>
          </cell>
          <cell r="C787" t="str">
            <v>GIOM COMERCIO DE MOVEIS E REPRESENTAÇÕES</v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</row>
        <row r="788">
          <cell r="B788" t="str">
            <v>03493782/0001-36</v>
          </cell>
          <cell r="C788" t="str">
            <v>INTEGRAÇÃO - ESCOLA DE NEGOCIOS LTDA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</row>
        <row r="789">
          <cell r="B789">
            <v>23656100000000</v>
          </cell>
          <cell r="C789" t="str">
            <v>NIMAWORLD LTDA - ME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</row>
        <row r="790">
          <cell r="B790">
            <v>3344830000000</v>
          </cell>
          <cell r="C790" t="str">
            <v>SOUZA E LOMBA COMÉRCIO DE BRINDES E PLAC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</row>
        <row r="791">
          <cell r="B791">
            <v>8086690000000</v>
          </cell>
          <cell r="C791" t="str">
            <v>UNITY BRINDES LTDA - ME</v>
          </cell>
          <cell r="D791">
            <v>0</v>
          </cell>
          <cell r="E791">
            <v>0</v>
          </cell>
          <cell r="F791">
            <v>0</v>
          </cell>
          <cell r="G791">
            <v>0</v>
          </cell>
        </row>
        <row r="792">
          <cell r="B792">
            <v>12114500000000</v>
          </cell>
          <cell r="C792" t="str">
            <v>ZAG CONSULTORIA EM EXP. DE PET.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</row>
        <row r="793">
          <cell r="B793" t="str">
            <v>14784795/0001-80</v>
          </cell>
          <cell r="C793" t="str">
            <v>GIGA MATERIAIS ELETRICOS LTDA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</row>
        <row r="794">
          <cell r="B794" t="str">
            <v>19509519/0001-28</v>
          </cell>
          <cell r="C794" t="str">
            <v>SOFTLINE INT BRASIL COM E LIC SOFTWARE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</row>
        <row r="795">
          <cell r="B795">
            <v>15586900000000</v>
          </cell>
          <cell r="C795" t="str">
            <v>ARGUS MEDIA BRASIL RELATÓRIOS DE PREÇOS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</row>
        <row r="796">
          <cell r="B796">
            <v>13159800000000</v>
          </cell>
          <cell r="C796" t="str">
            <v>ROMABOOKS EDUCAÇÃO E TURISMO EIRELI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</row>
        <row r="797">
          <cell r="B797">
            <v>5633420000000</v>
          </cell>
          <cell r="C797" t="str">
            <v>VENUS WORLD COM. DE EQUIP. E MAT.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</row>
        <row r="798">
          <cell r="B798">
            <v>20120900000000</v>
          </cell>
          <cell r="C798" t="str">
            <v>INQC - INSTITUTO NACIONAL DE QUALIFICAÇÃ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</row>
        <row r="799">
          <cell r="B799" t="str">
            <v>10806106/000130</v>
          </cell>
          <cell r="C799" t="str">
            <v>R&amp;R EQUIPAMENTOS ELETRONICOS LTDA</v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</row>
        <row r="800">
          <cell r="B800" t="str">
            <v>16951665/000110</v>
          </cell>
          <cell r="C800" t="str">
            <v>RB GRAFICA DIGITAL EIRELI ME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</row>
        <row r="801">
          <cell r="B801" t="str">
            <v>18343644/000148</v>
          </cell>
          <cell r="C801" t="str">
            <v>SUPERMIX COM DE UTIL VARIEDADES LTDA</v>
          </cell>
          <cell r="D801">
            <v>0</v>
          </cell>
          <cell r="E801">
            <v>0</v>
          </cell>
          <cell r="F801">
            <v>0</v>
          </cell>
          <cell r="G801">
            <v>0</v>
          </cell>
        </row>
        <row r="802">
          <cell r="B802" t="str">
            <v>02558157/0002-43</v>
          </cell>
          <cell r="C802" t="str">
            <v>TELEFONICA BRASIL S.A.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</row>
        <row r="803">
          <cell r="B803" t="str">
            <v>02629884/0001-73</v>
          </cell>
          <cell r="C803" t="str">
            <v>CROMA ELETRONICA LTDA</v>
          </cell>
          <cell r="D803">
            <v>0</v>
          </cell>
          <cell r="E803">
            <v>0</v>
          </cell>
          <cell r="F803">
            <v>0</v>
          </cell>
          <cell r="G803">
            <v>0</v>
          </cell>
        </row>
        <row r="804">
          <cell r="B804" t="str">
            <v>12480720/0001-80</v>
          </cell>
          <cell r="C804" t="str">
            <v>CENTRAL GLASS ALUMINIUM COMERCIO DE VIDR</v>
          </cell>
          <cell r="D804">
            <v>0</v>
          </cell>
          <cell r="E804">
            <v>0</v>
          </cell>
          <cell r="F804">
            <v>0</v>
          </cell>
          <cell r="G804">
            <v>0</v>
          </cell>
        </row>
        <row r="805">
          <cell r="B805" t="str">
            <v>33000118/0001-79</v>
          </cell>
          <cell r="C805" t="str">
            <v>TELEMAR NORTE LESTE S/A</v>
          </cell>
          <cell r="D805">
            <v>0</v>
          </cell>
          <cell r="E805">
            <v>0</v>
          </cell>
          <cell r="F805">
            <v>0</v>
          </cell>
          <cell r="G805">
            <v>0</v>
          </cell>
        </row>
        <row r="806">
          <cell r="B806">
            <v>10499000000000</v>
          </cell>
          <cell r="C806" t="str">
            <v>INSTITUTO NEGOCIOS PUBLICOS DO BRASIL</v>
          </cell>
          <cell r="D806">
            <v>0</v>
          </cell>
          <cell r="E806">
            <v>0</v>
          </cell>
          <cell r="F806">
            <v>0</v>
          </cell>
          <cell r="G806">
            <v>0</v>
          </cell>
        </row>
        <row r="807">
          <cell r="B807" t="str">
            <v>03014670/0001-55</v>
          </cell>
          <cell r="C807" t="str">
            <v>LAUTEC EQUIPE TECNICA ENGENHARIA S/C LTD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</row>
        <row r="808">
          <cell r="B808" t="str">
            <v>37535259/0001-47</v>
          </cell>
          <cell r="C808" t="str">
            <v>SEDEP-SERVIÇO DE ENTREGA DE DESPACHOS E</v>
          </cell>
          <cell r="D808">
            <v>0</v>
          </cell>
          <cell r="E808">
            <v>0</v>
          </cell>
          <cell r="F808">
            <v>0</v>
          </cell>
          <cell r="G808">
            <v>0</v>
          </cell>
        </row>
        <row r="809">
          <cell r="B809" t="str">
            <v>26528905/0001-47</v>
          </cell>
          <cell r="C809" t="str">
            <v>CONFIT ASSESSORIA E CONSULTORIA EMPRESAR</v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</row>
        <row r="810">
          <cell r="B810" t="str">
            <v>05607657/0001-35</v>
          </cell>
          <cell r="C810" t="str">
            <v>SCANSOURCE BRASIL DISTRIBUIDORA DE TECNO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</row>
        <row r="811">
          <cell r="B811" t="str">
            <v>61873469/0001-20</v>
          </cell>
          <cell r="C811" t="str">
            <v>ASSOCIAÇÃO DE ESPECIALISTAS LATINOAMERIC</v>
          </cell>
          <cell r="D811">
            <v>0</v>
          </cell>
          <cell r="E811">
            <v>0</v>
          </cell>
          <cell r="F811">
            <v>0</v>
          </cell>
          <cell r="G811">
            <v>0</v>
          </cell>
        </row>
        <row r="812">
          <cell r="B812">
            <v>26172600000000</v>
          </cell>
          <cell r="C812" t="str">
            <v>MONIQUE PERRONE AGUEDA ASSESSORIA DE EVE</v>
          </cell>
          <cell r="D812">
            <v>0</v>
          </cell>
          <cell r="E812">
            <v>0</v>
          </cell>
          <cell r="F812">
            <v>0</v>
          </cell>
          <cell r="G812">
            <v>0</v>
          </cell>
        </row>
        <row r="813">
          <cell r="B813">
            <v>7282520000000</v>
          </cell>
          <cell r="C813" t="str">
            <v>NINJA SOM COMERCIO DE ELETRONICOS LTDA</v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</row>
        <row r="814">
          <cell r="B814">
            <v>86046500000000</v>
          </cell>
          <cell r="C814" t="str">
            <v>OXFORD PORCELANAS S/A</v>
          </cell>
          <cell r="D814">
            <v>0</v>
          </cell>
          <cell r="E814">
            <v>0</v>
          </cell>
          <cell r="F814">
            <v>0</v>
          </cell>
          <cell r="G814">
            <v>0</v>
          </cell>
        </row>
        <row r="815">
          <cell r="B815">
            <v>523726000000</v>
          </cell>
          <cell r="C815" t="str">
            <v>LINTER FILTROS INDUSTRIAIS LTDA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</row>
        <row r="816">
          <cell r="B816">
            <v>16600000000000</v>
          </cell>
          <cell r="C816" t="str">
            <v>QUALITEC ENGENHARIA DA QUALIDADE LTDA</v>
          </cell>
          <cell r="D816">
            <v>0</v>
          </cell>
          <cell r="E816">
            <v>0</v>
          </cell>
          <cell r="F816">
            <v>0</v>
          </cell>
          <cell r="G816">
            <v>0</v>
          </cell>
        </row>
        <row r="817">
          <cell r="B817">
            <v>7524040000000</v>
          </cell>
          <cell r="C817" t="str">
            <v>NEO DESIGN DECOR COMERCIO E DECORACOES</v>
          </cell>
          <cell r="D817">
            <v>0</v>
          </cell>
          <cell r="E817">
            <v>0</v>
          </cell>
          <cell r="F817">
            <v>0</v>
          </cell>
          <cell r="G817">
            <v>0</v>
          </cell>
        </row>
        <row r="818">
          <cell r="B818">
            <v>8827630000000</v>
          </cell>
          <cell r="C818" t="str">
            <v>ROCA SERVICOS CONTABEIS E FISCAIS LTDA</v>
          </cell>
          <cell r="D818">
            <v>0</v>
          </cell>
          <cell r="E818">
            <v>0</v>
          </cell>
          <cell r="F818">
            <v>0</v>
          </cell>
          <cell r="G818">
            <v>0</v>
          </cell>
        </row>
        <row r="819">
          <cell r="B819">
            <v>10741700000000</v>
          </cell>
          <cell r="C819" t="str">
            <v>WALLERRY FLECK &amp; CIA LTDA ME</v>
          </cell>
          <cell r="D819">
            <v>0</v>
          </cell>
          <cell r="E819">
            <v>0</v>
          </cell>
          <cell r="F819">
            <v>0</v>
          </cell>
          <cell r="G819">
            <v>0</v>
          </cell>
        </row>
        <row r="820">
          <cell r="B820">
            <v>33555900000000</v>
          </cell>
          <cell r="C820" t="str">
            <v>FACULDADES CATÓLICAS</v>
          </cell>
          <cell r="D820">
            <v>0</v>
          </cell>
          <cell r="E820">
            <v>0</v>
          </cell>
          <cell r="F820">
            <v>0</v>
          </cell>
          <cell r="G820">
            <v>0</v>
          </cell>
        </row>
        <row r="821">
          <cell r="B821">
            <v>482998000000</v>
          </cell>
          <cell r="C821" t="str">
            <v>COPY HOUSE SERVICOS REPROGRAFICOS EIRELI</v>
          </cell>
          <cell r="D821">
            <v>0</v>
          </cell>
          <cell r="E821">
            <v>0</v>
          </cell>
          <cell r="F821">
            <v>0</v>
          </cell>
          <cell r="G821">
            <v>0</v>
          </cell>
        </row>
        <row r="822">
          <cell r="B822">
            <v>28019200000000</v>
          </cell>
          <cell r="C822" t="str">
            <v>FUNDACAO PADRE LEONEL FRANCA</v>
          </cell>
          <cell r="D822">
            <v>0</v>
          </cell>
          <cell r="E822">
            <v>0</v>
          </cell>
          <cell r="F822">
            <v>0</v>
          </cell>
          <cell r="G822">
            <v>0</v>
          </cell>
        </row>
        <row r="823">
          <cell r="B823">
            <v>3254970000000</v>
          </cell>
          <cell r="C823" t="str">
            <v>PAULO RICARDO BRAGA - ME</v>
          </cell>
          <cell r="D823">
            <v>0</v>
          </cell>
          <cell r="E823">
            <v>0</v>
          </cell>
          <cell r="F823">
            <v>0</v>
          </cell>
          <cell r="G823">
            <v>0</v>
          </cell>
        </row>
        <row r="824">
          <cell r="B824">
            <v>429640000000</v>
          </cell>
          <cell r="C824" t="str">
            <v>RTA - REDE DE TECNOLOGIA AVANÇADA LTDA</v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</row>
        <row r="825">
          <cell r="B825">
            <v>10656900000000</v>
          </cell>
          <cell r="C825" t="str">
            <v>BOBINA SUPER INDUSTRIA E COMERCIO EIRELI</v>
          </cell>
          <cell r="D825">
            <v>0</v>
          </cell>
          <cell r="E825">
            <v>0</v>
          </cell>
          <cell r="F825">
            <v>0</v>
          </cell>
          <cell r="G825">
            <v>0</v>
          </cell>
        </row>
        <row r="826">
          <cell r="B826">
            <v>61398200000000</v>
          </cell>
          <cell r="C826" t="str">
            <v>UNISOMA COMPUTAÇÃO LTDA</v>
          </cell>
          <cell r="D826">
            <v>0</v>
          </cell>
          <cell r="E826">
            <v>0</v>
          </cell>
          <cell r="F826">
            <v>0</v>
          </cell>
          <cell r="G826">
            <v>0</v>
          </cell>
        </row>
        <row r="827">
          <cell r="B827">
            <v>15805700000000</v>
          </cell>
          <cell r="C827" t="str">
            <v>ESCOLA DE GESTÃO TRIBUTÁRIA E AUDITORIA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</row>
        <row r="828">
          <cell r="B828">
            <v>39184000000000</v>
          </cell>
          <cell r="C828" t="str">
            <v>I GRAFICCI PROGRAMACAO VISUAL LTDA - ME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</row>
        <row r="829">
          <cell r="B829">
            <v>13828400000000</v>
          </cell>
          <cell r="C829" t="str">
            <v>PENTAC ACRILICOS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</row>
        <row r="830">
          <cell r="B830">
            <v>2497400000000</v>
          </cell>
          <cell r="C830" t="str">
            <v>TOTVS SERVICOS LTDA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</row>
        <row r="831">
          <cell r="B831">
            <v>4206050000000</v>
          </cell>
          <cell r="C831" t="str">
            <v>TIM CELULAR S.A.</v>
          </cell>
          <cell r="D831">
            <v>0</v>
          </cell>
          <cell r="E831">
            <v>0</v>
          </cell>
          <cell r="F831">
            <v>0</v>
          </cell>
          <cell r="G831">
            <v>0</v>
          </cell>
        </row>
        <row r="832">
          <cell r="B832">
            <v>9597890000000</v>
          </cell>
          <cell r="C832" t="str">
            <v>ECONET TREINAMENTO E DESENVOLVIMENTO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</row>
        <row r="833">
          <cell r="B833">
            <v>24521900000000</v>
          </cell>
          <cell r="C833" t="str">
            <v>NOVACANA EVENTOS LTDA - ME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</row>
        <row r="834">
          <cell r="B834">
            <v>8071770000000</v>
          </cell>
          <cell r="C834" t="str">
            <v>NOVACANA INFORMAÇÃO ESPECIALIZADA LTDA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</row>
        <row r="835">
          <cell r="B835">
            <v>29108100000000</v>
          </cell>
          <cell r="C835" t="str">
            <v>SOLAZER TRANSPORTES E TURISMO LTDA</v>
          </cell>
          <cell r="D835">
            <v>0</v>
          </cell>
          <cell r="E835">
            <v>0</v>
          </cell>
          <cell r="F835">
            <v>0</v>
          </cell>
          <cell r="G835">
            <v>0</v>
          </cell>
        </row>
        <row r="836">
          <cell r="B836">
            <v>16727400000000</v>
          </cell>
          <cell r="C836" t="str">
            <v>RIOPAR Participações S/A</v>
          </cell>
          <cell r="D836">
            <v>0</v>
          </cell>
          <cell r="E836">
            <v>1057.8</v>
          </cell>
          <cell r="F836">
            <v>-4845.74</v>
          </cell>
          <cell r="G836">
            <v>3787.94</v>
          </cell>
        </row>
        <row r="837">
          <cell r="B837">
            <v>18696859</v>
          </cell>
          <cell r="C837" t="str">
            <v>INOVA EMPRESA BRASILEIRA EM SOLUCOES E N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</row>
        <row r="838">
          <cell r="B838">
            <v>21687254</v>
          </cell>
          <cell r="C838" t="str">
            <v>PORTO NOVO PAPEL E MATERIAL DE ESCRITORI</v>
          </cell>
          <cell r="D838">
            <v>0</v>
          </cell>
          <cell r="E838">
            <v>0</v>
          </cell>
          <cell r="F838">
            <v>0</v>
          </cell>
          <cell r="G838">
            <v>0</v>
          </cell>
        </row>
        <row r="839">
          <cell r="B839">
            <v>21456509</v>
          </cell>
          <cell r="C839" t="str">
            <v>SHAREPRIME TECNOLOGIA LTDA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</row>
        <row r="840">
          <cell r="B840">
            <v>3535902</v>
          </cell>
          <cell r="C840" t="str">
            <v>DECISION SERVIÇOS DE TECNOLOGIA DA INFOR</v>
          </cell>
          <cell r="D840">
            <v>0</v>
          </cell>
          <cell r="E840">
            <v>1111.1099999999999</v>
          </cell>
          <cell r="F840">
            <v>-1111.1099999999999</v>
          </cell>
          <cell r="G840">
            <v>0</v>
          </cell>
        </row>
        <row r="841">
          <cell r="B841">
            <v>13403896</v>
          </cell>
          <cell r="C841" t="str">
            <v>DIVISANIT INSTALACOES E MONTAGENS LTDA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</row>
        <row r="842">
          <cell r="B842">
            <v>18324158</v>
          </cell>
          <cell r="C842" t="str">
            <v>MR EVENTOS TREINAMENTO E AGENCIAMENTO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</row>
        <row r="843">
          <cell r="B843">
            <v>1337552</v>
          </cell>
          <cell r="C843" t="str">
            <v>EDITORA SIGNER LTDA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</row>
        <row r="844">
          <cell r="B844">
            <v>7777720000000</v>
          </cell>
          <cell r="C844" t="str">
            <v>JML MENDES &amp; LOPES PESQUISA, TREINAMENTO E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</row>
        <row r="845">
          <cell r="B845">
            <v>5794830000000</v>
          </cell>
          <cell r="C845" t="str">
            <v>JP DA SILVA SOUSA DIVISORIAS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</row>
        <row r="846">
          <cell r="B846">
            <v>5512470000000</v>
          </cell>
          <cell r="C846" t="str">
            <v>SEENERGIA SER ESPECIALIZADOS ENG SS</v>
          </cell>
          <cell r="D846">
            <v>0</v>
          </cell>
          <cell r="E846">
            <v>0</v>
          </cell>
          <cell r="F846">
            <v>0</v>
          </cell>
          <cell r="G846">
            <v>0</v>
          </cell>
        </row>
        <row r="847">
          <cell r="B847">
            <v>9398230000000</v>
          </cell>
          <cell r="C847" t="str">
            <v>MERCADO ARAGUAIA LTDA - ME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</row>
        <row r="848">
          <cell r="B848">
            <v>9676510000000</v>
          </cell>
          <cell r="C848" t="str">
            <v>CENTRO DE APERFEICOAMENTO DA VOZ FALA E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</row>
        <row r="849">
          <cell r="B849">
            <v>14783400000000</v>
          </cell>
          <cell r="C849" t="str">
            <v>UP MIDIA INTEGRADA EIRELI</v>
          </cell>
          <cell r="D849">
            <v>0</v>
          </cell>
          <cell r="E849">
            <v>0</v>
          </cell>
          <cell r="F849">
            <v>0</v>
          </cell>
          <cell r="G849">
            <v>0</v>
          </cell>
        </row>
        <row r="850">
          <cell r="B850">
            <v>1001720000000</v>
          </cell>
          <cell r="C850" t="str">
            <v>FUNDAÇÃO DO INSTITUTO DE BIOCIENCIAS - F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</row>
        <row r="851">
          <cell r="B851">
            <v>854137000000</v>
          </cell>
          <cell r="C851" t="str">
            <v>INSTITUTO BRASILEIRO DE AVALIAÇÕES IBAPE</v>
          </cell>
          <cell r="D851">
            <v>0</v>
          </cell>
          <cell r="E851">
            <v>0</v>
          </cell>
          <cell r="F851">
            <v>0</v>
          </cell>
          <cell r="G851">
            <v>0</v>
          </cell>
        </row>
        <row r="852">
          <cell r="B852">
            <v>2799290000000</v>
          </cell>
          <cell r="C852" t="str">
            <v>LCM TREINAMENTO EMPRESARIAL LTDA</v>
          </cell>
          <cell r="D852">
            <v>0</v>
          </cell>
          <cell r="E852">
            <v>0</v>
          </cell>
          <cell r="F852">
            <v>0</v>
          </cell>
          <cell r="G852">
            <v>0</v>
          </cell>
        </row>
        <row r="853">
          <cell r="B853">
            <v>5555380000000</v>
          </cell>
          <cell r="C853" t="str">
            <v>AOVS SISTEMA DE INFORMATICA</v>
          </cell>
          <cell r="D853">
            <v>0</v>
          </cell>
          <cell r="E853">
            <v>2000</v>
          </cell>
          <cell r="F853">
            <v>-2000</v>
          </cell>
          <cell r="G853">
            <v>0</v>
          </cell>
        </row>
        <row r="854">
          <cell r="B854">
            <v>6166650000000</v>
          </cell>
          <cell r="C854" t="str">
            <v>MANAGEMENT SCIENCE LTDA ME</v>
          </cell>
          <cell r="D854">
            <v>0</v>
          </cell>
          <cell r="E854">
            <v>0</v>
          </cell>
          <cell r="F854">
            <v>0</v>
          </cell>
          <cell r="G854">
            <v>0</v>
          </cell>
        </row>
        <row r="855">
          <cell r="B855">
            <v>51109100000000</v>
          </cell>
          <cell r="C855" t="str">
            <v>ASSOC. PROF. DA IND. DE FABRIC. ALCOOL</v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</row>
        <row r="856">
          <cell r="B856">
            <v>8518870000000</v>
          </cell>
          <cell r="C856" t="str">
            <v>EDOCAVONI AUTOMAÇÃO E INFORMÁTICA LTDA</v>
          </cell>
          <cell r="D856">
            <v>0</v>
          </cell>
          <cell r="E856">
            <v>0</v>
          </cell>
          <cell r="F856">
            <v>0</v>
          </cell>
          <cell r="G856">
            <v>0</v>
          </cell>
        </row>
        <row r="857">
          <cell r="B857">
            <v>14885800000000</v>
          </cell>
          <cell r="C857" t="str">
            <v>ONE ENGLISH CULTURAL E EDUCACIONAL LTDA</v>
          </cell>
          <cell r="D857">
            <v>0</v>
          </cell>
          <cell r="E857">
            <v>0</v>
          </cell>
          <cell r="F857">
            <v>0</v>
          </cell>
          <cell r="G857">
            <v>0</v>
          </cell>
        </row>
        <row r="858">
          <cell r="B858">
            <v>2922870000000</v>
          </cell>
          <cell r="C858" t="str">
            <v>SINERCONSULT CONSULTORIA E TREIN. LTDA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</row>
        <row r="859">
          <cell r="B859">
            <v>12538000000000</v>
          </cell>
          <cell r="C859" t="str">
            <v>AMBIENTE DIRETO CONSULT.SOCIOAMBIENTAL L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</row>
        <row r="860">
          <cell r="B860">
            <v>4001950000000</v>
          </cell>
          <cell r="C860" t="str">
            <v>PRO OCEANO SERV.OCEANOGRAFICO E AMBIENTA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</row>
        <row r="861">
          <cell r="B861">
            <v>22939900000000</v>
          </cell>
          <cell r="C861" t="str">
            <v>RIO LETRAS LETREIROS LTDA. - ME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</row>
        <row r="862">
          <cell r="B862">
            <v>10378800000000</v>
          </cell>
          <cell r="C862" t="str">
            <v>IPEC TREINAMENTO LTDA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</row>
        <row r="863">
          <cell r="B863">
            <v>875135000000</v>
          </cell>
          <cell r="C863" t="str">
            <v>PHONOWAY SOLUÇOES TELEINFORMATICA</v>
          </cell>
          <cell r="D863">
            <v>0</v>
          </cell>
          <cell r="E863">
            <v>0</v>
          </cell>
          <cell r="F863">
            <v>0</v>
          </cell>
          <cell r="G863">
            <v>0</v>
          </cell>
        </row>
        <row r="864">
          <cell r="B864">
            <v>7491340000000</v>
          </cell>
          <cell r="C864" t="str">
            <v>ARV BRADFORD CURSOS E TREINAMENTO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</row>
        <row r="865">
          <cell r="B865">
            <v>4298310000000</v>
          </cell>
          <cell r="C865" t="str">
            <v>GRUPO IBEMEC EDUCACIONAL S/A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</row>
        <row r="866">
          <cell r="B866">
            <v>12482800000000</v>
          </cell>
          <cell r="C866" t="str">
            <v>JRM HELOANI DESENVOLVIMENTO GERENCIAL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</row>
        <row r="867">
          <cell r="B867">
            <v>26464900000000</v>
          </cell>
          <cell r="C867" t="str">
            <v>LANTYX TECNOLOGIA E PUBLICIDADE EIRILE</v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</row>
        <row r="868">
          <cell r="B868">
            <v>18522900000000</v>
          </cell>
          <cell r="C868" t="str">
            <v>MUNDIVOX COMUNICAÇÕES LTDA</v>
          </cell>
          <cell r="D868">
            <v>0</v>
          </cell>
          <cell r="E868">
            <v>4351.2</v>
          </cell>
          <cell r="F868">
            <v>-4351.2</v>
          </cell>
          <cell r="G868">
            <v>0</v>
          </cell>
        </row>
        <row r="869">
          <cell r="B869">
            <v>14129100000000</v>
          </cell>
          <cell r="C869" t="str">
            <v>SOLLUS COMERCIO EM TECNOLOGIA E CONTROLE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</row>
        <row r="870">
          <cell r="B870">
            <v>82581400000000</v>
          </cell>
          <cell r="C870" t="str">
            <v>CROMOS EDIT. E IND. GRAFICA LTDA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</row>
        <row r="871">
          <cell r="B871">
            <v>3200400001</v>
          </cell>
          <cell r="C871" t="str">
            <v>COORDENAÇÃO GERAL DE RECURSOS LOGISTICOS</v>
          </cell>
          <cell r="D871">
            <v>0</v>
          </cell>
          <cell r="E871">
            <v>1174.8</v>
          </cell>
          <cell r="F871">
            <v>-1174.8</v>
          </cell>
          <cell r="G871">
            <v>0</v>
          </cell>
        </row>
        <row r="872">
          <cell r="B872">
            <v>11543300000000</v>
          </cell>
          <cell r="C872" t="str">
            <v>GRUPO GENIAL ME LTDA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</row>
        <row r="873">
          <cell r="B873">
            <v>8582480000000</v>
          </cell>
          <cell r="C873" t="str">
            <v>GREEN RABBIT DESENV. DE SOFTWARE LTDA</v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</row>
        <row r="874">
          <cell r="B874">
            <v>8254940000000</v>
          </cell>
          <cell r="C874" t="str">
            <v>PRDW BRASIL ENGENHARIA LTDA</v>
          </cell>
          <cell r="D874">
            <v>0</v>
          </cell>
          <cell r="E874">
            <v>0</v>
          </cell>
          <cell r="F874">
            <v>0</v>
          </cell>
          <cell r="G874">
            <v>0</v>
          </cell>
        </row>
        <row r="875">
          <cell r="B875">
            <v>19268300000000</v>
          </cell>
          <cell r="C875" t="str">
            <v>FUNDAÇÃO DOM CABRAL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</row>
        <row r="876">
          <cell r="B876">
            <v>2402500000000</v>
          </cell>
          <cell r="C876" t="str">
            <v>REPROPAPER SERVIÇOS DE REPROGRAFIA LTDA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</row>
        <row r="877">
          <cell r="B877">
            <v>12270600000000</v>
          </cell>
          <cell r="C877" t="str">
            <v>TRANSTATHICA AG. DE VIAGEM E TURISMO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</row>
        <row r="878">
          <cell r="B878">
            <v>1437170000000</v>
          </cell>
          <cell r="C878" t="str">
            <v>FOX SMART BUSINESS DO BRASIL LTDA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</row>
        <row r="879">
          <cell r="B879">
            <v>22233600000000</v>
          </cell>
          <cell r="C879" t="str">
            <v>AX4B SISTEMAS DE INFORMATICA LTDA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</row>
        <row r="880">
          <cell r="B880">
            <v>307049000000</v>
          </cell>
          <cell r="C880" t="str">
            <v>HSR SISTEMAS E REDES LTDA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</row>
        <row r="881">
          <cell r="B881">
            <v>6942470000000</v>
          </cell>
          <cell r="C881" t="str">
            <v>F5 SOFTWARE LTDA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</row>
        <row r="882">
          <cell r="B882">
            <v>2114694</v>
          </cell>
          <cell r="C882" t="str">
            <v>CARTÃO CORPORATIVO - SCDP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</row>
        <row r="883">
          <cell r="B883">
            <v>81708500000000</v>
          </cell>
          <cell r="C883" t="str">
            <v>PREMIER IT GLOBAL SERVICES LTDA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</row>
        <row r="884">
          <cell r="B884">
            <v>35794100000000</v>
          </cell>
          <cell r="C884" t="str">
            <v>CENTRO EMPRESARIAL INTERNACIONAL RIO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</row>
        <row r="885">
          <cell r="B885">
            <v>24695900000000</v>
          </cell>
          <cell r="C885" t="str">
            <v>PROJUD TECNOLOGIA LTDA</v>
          </cell>
          <cell r="D885">
            <v>0</v>
          </cell>
          <cell r="E885">
            <v>0</v>
          </cell>
          <cell r="F885">
            <v>0</v>
          </cell>
          <cell r="G885">
            <v>0</v>
          </cell>
        </row>
        <row r="886">
          <cell r="B886">
            <v>8432360000000</v>
          </cell>
          <cell r="C886" t="str">
            <v>ELO EVENTOS LTDA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</row>
        <row r="887">
          <cell r="B887">
            <v>14337000000000</v>
          </cell>
          <cell r="C887" t="str">
            <v>LEANDRO ANDRÉ DE QUEIROZ - MEI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</row>
        <row r="888">
          <cell r="B888">
            <v>32039900000000</v>
          </cell>
          <cell r="C888" t="str">
            <v>DIVIGAMA DIVISÓRIAS LTDA</v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</row>
        <row r="889">
          <cell r="B889">
            <v>8022650000000</v>
          </cell>
          <cell r="C889" t="str">
            <v>RA2 PRINT ETIQUETAS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</row>
        <row r="890">
          <cell r="B890">
            <v>13918900000000</v>
          </cell>
          <cell r="C890" t="str">
            <v>GENESIS COACHING TREIN. E DESENV. LTDA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</row>
        <row r="891">
          <cell r="B891">
            <v>67632200000000</v>
          </cell>
          <cell r="C891" t="str">
            <v>WALM ENG. E TEC. AMBIENTAL LTDA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</row>
        <row r="892">
          <cell r="B892">
            <v>5761750000000</v>
          </cell>
          <cell r="C892" t="str">
            <v>BIOTA PROJETOS E CONSULTORIA AMBIENTAL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</row>
        <row r="893">
          <cell r="B893">
            <v>24120200000000</v>
          </cell>
          <cell r="C893" t="str">
            <v>LUAN MACEDO FERNANDES EI</v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</row>
        <row r="894">
          <cell r="B894">
            <v>28101400000000</v>
          </cell>
          <cell r="C894" t="str">
            <v>CLAMED CLINICA VACINAÇÃO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</row>
        <row r="895">
          <cell r="B895">
            <v>27869100000000</v>
          </cell>
          <cell r="C895" t="str">
            <v>DANGERCOMERCIAL E INDUSTRIAL LTDA</v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</row>
        <row r="896">
          <cell r="B896" t="str">
            <v>AEPE</v>
          </cell>
          <cell r="C896" t="str">
            <v>ASSOCIAÇÃO DOS EMPREGADOS DA EPE - AEPE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</row>
        <row r="897">
          <cell r="B897">
            <v>10742600000000</v>
          </cell>
          <cell r="C897" t="str">
            <v>LUANDA COM. SUPR. INFORMÁTICA LTDA</v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</row>
        <row r="898">
          <cell r="B898">
            <v>30024600000000</v>
          </cell>
          <cell r="C898" t="str">
            <v>ASSOCIAÇÃO BRASILEIRA DE ANTROPOLOGIA</v>
          </cell>
          <cell r="D898">
            <v>0</v>
          </cell>
          <cell r="E898">
            <v>0</v>
          </cell>
          <cell r="F898">
            <v>0</v>
          </cell>
          <cell r="G898">
            <v>0</v>
          </cell>
        </row>
        <row r="899">
          <cell r="B899">
            <v>30735800000000</v>
          </cell>
          <cell r="C899" t="str">
            <v>LIMA COM. DE MAT. E SERVIÇOS</v>
          </cell>
          <cell r="D899">
            <v>0</v>
          </cell>
          <cell r="E899">
            <v>0</v>
          </cell>
          <cell r="F899">
            <v>0</v>
          </cell>
          <cell r="G899">
            <v>0</v>
          </cell>
        </row>
        <row r="900">
          <cell r="B900">
            <v>2247350000000</v>
          </cell>
          <cell r="C900" t="str">
            <v>ASS.BRAS. DAS EMPRESAS DE SERV.COS.ENG</v>
          </cell>
          <cell r="D900">
            <v>0</v>
          </cell>
          <cell r="E900">
            <v>0</v>
          </cell>
          <cell r="F900">
            <v>0</v>
          </cell>
          <cell r="G900">
            <v>0</v>
          </cell>
        </row>
        <row r="901">
          <cell r="B901">
            <v>3557000000000</v>
          </cell>
          <cell r="C901" t="str">
            <v>ENGDTP E MULTIMÍDIA COMÉRCIO E PRESTAÇÃO</v>
          </cell>
          <cell r="D901">
            <v>0</v>
          </cell>
          <cell r="E901">
            <v>0</v>
          </cell>
          <cell r="F901">
            <v>0</v>
          </cell>
          <cell r="G901">
            <v>0</v>
          </cell>
        </row>
        <row r="902">
          <cell r="B902">
            <v>23327400000000</v>
          </cell>
          <cell r="C902" t="str">
            <v>ZUGNI GESTÃO DE CONHECIMENTO EIRELI - ME</v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</row>
        <row r="903">
          <cell r="B903">
            <v>20593800000000</v>
          </cell>
          <cell r="C903" t="str">
            <v>RSA SOLUÇÕES ELETRICAS LTDA - EPP</v>
          </cell>
          <cell r="D903">
            <v>0</v>
          </cell>
          <cell r="E903">
            <v>0</v>
          </cell>
          <cell r="F903">
            <v>0</v>
          </cell>
          <cell r="G903">
            <v>0</v>
          </cell>
        </row>
        <row r="904">
          <cell r="B904">
            <v>14683200000000</v>
          </cell>
          <cell r="C904" t="str">
            <v>TI ENGENHARIA COMERCIO E SERVIÇO DE INFO</v>
          </cell>
          <cell r="D904">
            <v>0</v>
          </cell>
          <cell r="E904">
            <v>0</v>
          </cell>
          <cell r="F904">
            <v>0</v>
          </cell>
          <cell r="G904">
            <v>0</v>
          </cell>
        </row>
        <row r="905">
          <cell r="B905">
            <v>32088200000000</v>
          </cell>
          <cell r="C905" t="str">
            <v>HICON ENGENHARIA LTDA</v>
          </cell>
          <cell r="D905">
            <v>0</v>
          </cell>
          <cell r="E905">
            <v>0</v>
          </cell>
          <cell r="F905">
            <v>0</v>
          </cell>
          <cell r="G905">
            <v>0</v>
          </cell>
        </row>
        <row r="906">
          <cell r="B906">
            <v>49738600000000</v>
          </cell>
          <cell r="C906" t="str">
            <v>INSTITUTO BRAS. DE ENGENHARIA DE CUSTOS</v>
          </cell>
          <cell r="D906">
            <v>0</v>
          </cell>
          <cell r="E906">
            <v>0</v>
          </cell>
          <cell r="F906">
            <v>0</v>
          </cell>
          <cell r="G906">
            <v>0</v>
          </cell>
        </row>
        <row r="907">
          <cell r="B907">
            <v>78954300000000</v>
          </cell>
          <cell r="C907" t="str">
            <v>GL EVENTSLIVE SA</v>
          </cell>
          <cell r="D907">
            <v>0</v>
          </cell>
          <cell r="E907">
            <v>0</v>
          </cell>
          <cell r="F907">
            <v>0</v>
          </cell>
          <cell r="G907">
            <v>0</v>
          </cell>
        </row>
        <row r="908">
          <cell r="B908">
            <v>8418170000000</v>
          </cell>
          <cell r="C908" t="str">
            <v>SAUDE E GINASTICA LABORAL</v>
          </cell>
          <cell r="D908">
            <v>0</v>
          </cell>
          <cell r="E908">
            <v>0</v>
          </cell>
          <cell r="F908">
            <v>0</v>
          </cell>
          <cell r="G908">
            <v>0</v>
          </cell>
        </row>
        <row r="909">
          <cell r="B909">
            <v>31206500000000</v>
          </cell>
          <cell r="C909" t="str">
            <v>GS TELECOM COMÉRCIO DE INFORMÁTICA LTDA</v>
          </cell>
          <cell r="D909">
            <v>0</v>
          </cell>
          <cell r="E909">
            <v>0</v>
          </cell>
          <cell r="F909">
            <v>0</v>
          </cell>
          <cell r="G909">
            <v>0</v>
          </cell>
        </row>
        <row r="910">
          <cell r="B910">
            <v>27214900000000</v>
          </cell>
          <cell r="C910" t="str">
            <v>INSTITUTO DE ARQUEOLOGIA BRASILEIRA</v>
          </cell>
          <cell r="D910">
            <v>0</v>
          </cell>
          <cell r="E910">
            <v>0</v>
          </cell>
          <cell r="F910">
            <v>0</v>
          </cell>
          <cell r="G910">
            <v>0</v>
          </cell>
        </row>
        <row r="911">
          <cell r="B911">
            <v>11168200000000</v>
          </cell>
          <cell r="C911" t="str">
            <v>HITSS DO BRASIL SERV. TECNOLOGICOS LTDA</v>
          </cell>
          <cell r="D911">
            <v>0</v>
          </cell>
          <cell r="E911">
            <v>0</v>
          </cell>
          <cell r="F911">
            <v>0</v>
          </cell>
          <cell r="G911">
            <v>0</v>
          </cell>
        </row>
        <row r="912">
          <cell r="B912">
            <v>9967850000000</v>
          </cell>
          <cell r="C912" t="str">
            <v>HOTELARIA ACCOR BRASIL</v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</row>
        <row r="913">
          <cell r="B913">
            <v>24158700000000</v>
          </cell>
          <cell r="C913" t="str">
            <v>FRG EVENTOS DO BRASIL LTDA</v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</row>
        <row r="914">
          <cell r="B914">
            <v>9656610000000</v>
          </cell>
          <cell r="C914" t="str">
            <v>M&amp;W COMUN. INTEGRADA LTDA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</row>
        <row r="915">
          <cell r="B915">
            <v>7868100000000</v>
          </cell>
          <cell r="C915" t="str">
            <v>CIRILO CABOS IMPORTAÇÃO EXPORTAÇÃO LTDA</v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</row>
        <row r="916">
          <cell r="B916">
            <v>8763640000000</v>
          </cell>
          <cell r="C916" t="str">
            <v>PRINTCOM ASSESSORIA DE COMUNICAÇÃO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</row>
        <row r="917">
          <cell r="B917">
            <v>776574000000</v>
          </cell>
          <cell r="C917" t="str">
            <v>B2W COMPANHIA DIGITAL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</row>
        <row r="918">
          <cell r="B918">
            <v>3989370000000</v>
          </cell>
          <cell r="C918" t="str">
            <v>SUPERCOMMERCE LTDA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</row>
        <row r="919">
          <cell r="B919">
            <v>5809980000000</v>
          </cell>
          <cell r="C919" t="str">
            <v>CAFÉ BRASIL EDITORIAL LTDA</v>
          </cell>
          <cell r="D919">
            <v>0</v>
          </cell>
          <cell r="E919">
            <v>0</v>
          </cell>
          <cell r="F919">
            <v>0</v>
          </cell>
          <cell r="G919">
            <v>0</v>
          </cell>
        </row>
        <row r="920">
          <cell r="B920">
            <v>8752570000000</v>
          </cell>
          <cell r="C920" t="str">
            <v>INSTITUTO PIATAM</v>
          </cell>
          <cell r="D920">
            <v>0</v>
          </cell>
          <cell r="E920">
            <v>0</v>
          </cell>
          <cell r="F920">
            <v>0</v>
          </cell>
          <cell r="G920">
            <v>0</v>
          </cell>
        </row>
        <row r="921">
          <cell r="B921">
            <v>79942600000000</v>
          </cell>
          <cell r="C921" t="str">
            <v>REIVAX S.A AUTOMAÇÃO E CONTROLE</v>
          </cell>
          <cell r="D921">
            <v>0</v>
          </cell>
          <cell r="E921">
            <v>0</v>
          </cell>
          <cell r="F921">
            <v>0</v>
          </cell>
          <cell r="G921">
            <v>0</v>
          </cell>
        </row>
        <row r="922">
          <cell r="B922">
            <v>42356800000000</v>
          </cell>
          <cell r="C922" t="str">
            <v>EBSCO BRASIL LTDA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</row>
        <row r="923">
          <cell r="B923">
            <v>19238100000000</v>
          </cell>
          <cell r="C923" t="str">
            <v>INSTITUTO NACIONAL DE QUALIDADE DE VIDA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</row>
        <row r="924">
          <cell r="B924">
            <v>30636900000000</v>
          </cell>
          <cell r="C924" t="str">
            <v>TS1 IT SOLUTIONS</v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</row>
        <row r="925">
          <cell r="B925">
            <v>14186300000000</v>
          </cell>
          <cell r="C925" t="str">
            <v>HVNA DESIGN PROJETOS E CONSULTORIA LTDA</v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</row>
        <row r="926">
          <cell r="B926">
            <v>24875200000000</v>
          </cell>
          <cell r="C926" t="str">
            <v>GAF EVENTOS SPE LTDA</v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</row>
        <row r="927">
          <cell r="B927">
            <v>12929300000000</v>
          </cell>
          <cell r="C927" t="str">
            <v>MR PROMOÇÕES E EVENTOS</v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</row>
        <row r="928">
          <cell r="B928">
            <v>26986600000000</v>
          </cell>
          <cell r="C928" t="str">
            <v>KONO IT CONSULTORIA E TECNOLOGIA EIRELI</v>
          </cell>
          <cell r="D928">
            <v>0</v>
          </cell>
          <cell r="E928">
            <v>0</v>
          </cell>
          <cell r="F928">
            <v>0</v>
          </cell>
          <cell r="G928">
            <v>0</v>
          </cell>
        </row>
        <row r="929">
          <cell r="B929">
            <v>57988900000000</v>
          </cell>
          <cell r="C929" t="str">
            <v>PLANUS INFORMÁTICA E TECNOLOGIA LTDA</v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</row>
        <row r="930">
          <cell r="B930">
            <v>2421420000000</v>
          </cell>
          <cell r="C930" t="str">
            <v>TIM S.A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</row>
        <row r="931">
          <cell r="B931">
            <v>4524240000000</v>
          </cell>
          <cell r="C931" t="str">
            <v>REDE BRAS. PARA DESENV. METROLOGIA E TEC</v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</row>
        <row r="932">
          <cell r="B932">
            <v>10348300000000</v>
          </cell>
          <cell r="C932" t="str">
            <v>WINDSOR ADM. DE HOTÉIS E SERVIÇOS</v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</row>
        <row r="933">
          <cell r="B933">
            <v>3498010000000</v>
          </cell>
          <cell r="C933" t="str">
            <v>CONTROL C. COOP E TRANSPORTES LTDA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</row>
        <row r="934">
          <cell r="B934">
            <v>7731740000000</v>
          </cell>
          <cell r="C934" t="str">
            <v>BRIGHTNETWORKS COM. E SERV. TELECOMUN.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</row>
        <row r="935">
          <cell r="B935">
            <v>11749700000000</v>
          </cell>
          <cell r="C935" t="str">
            <v>TREINAMENTO MÍDIA E DESEN.PROFISSIONAL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</row>
        <row r="936">
          <cell r="B936">
            <v>16457800000000</v>
          </cell>
          <cell r="C936" t="str">
            <v>LEC EDITORA  ORGANIZAÇÃO DE EVENTOS LTDA</v>
          </cell>
          <cell r="D936">
            <v>0</v>
          </cell>
          <cell r="E936">
            <v>0</v>
          </cell>
          <cell r="F936">
            <v>0</v>
          </cell>
          <cell r="G936">
            <v>0</v>
          </cell>
        </row>
        <row r="937">
          <cell r="B937">
            <v>12391000000000</v>
          </cell>
          <cell r="C937" t="str">
            <v>ZETECH MAN. SERV. EM ENERGIA LTDA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</row>
        <row r="938">
          <cell r="B938">
            <v>7803000000000</v>
          </cell>
          <cell r="C938" t="str">
            <v>MULTPAINEL SOL CORP VID DEC LTDA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</row>
        <row r="939">
          <cell r="B939">
            <v>8896750000000</v>
          </cell>
          <cell r="C939" t="str">
            <v>IHS INFORMAÇÕES E INSIGHTS LTDA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</row>
        <row r="940">
          <cell r="B940">
            <v>43942400000000</v>
          </cell>
          <cell r="C940" t="str">
            <v>FIPE FUNDAÇÃO INST.PESQUISAS ECONOMICAS</v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</row>
        <row r="941">
          <cell r="B941">
            <v>28542000000000</v>
          </cell>
          <cell r="C941" t="str">
            <v>IMPRENSA OF. DO ESTADO DO RIO DE JANEIRO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</row>
        <row r="942">
          <cell r="B942">
            <v>3282070000000</v>
          </cell>
          <cell r="C942" t="str">
            <v>CASTELO DE PAIVA VIDROS E FERRAGENS</v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</row>
        <row r="943">
          <cell r="B943">
            <v>2114755</v>
          </cell>
          <cell r="C943" t="str">
            <v>HOMER ENERGY</v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</row>
        <row r="944">
          <cell r="B944">
            <v>2114756</v>
          </cell>
          <cell r="C944" t="str">
            <v>EMERSON PROCESS MANAGEMENT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</row>
        <row r="945">
          <cell r="B945">
            <v>2114757</v>
          </cell>
          <cell r="C945" t="str">
            <v>VENTANA SYSTEMS</v>
          </cell>
          <cell r="D945">
            <v>0</v>
          </cell>
          <cell r="E945">
            <v>0</v>
          </cell>
          <cell r="F945">
            <v>0</v>
          </cell>
          <cell r="G945">
            <v>0</v>
          </cell>
        </row>
        <row r="946">
          <cell r="B946">
            <v>22891500000000</v>
          </cell>
          <cell r="C946" t="str">
            <v>A4A SOLUÇÕES E SERVIÇOS EIRELI</v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</row>
        <row r="947">
          <cell r="B947">
            <v>3589090000000</v>
          </cell>
          <cell r="C947" t="str">
            <v>MFC CONSULTORIA E ASS. EMPRESARIAL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</row>
        <row r="948">
          <cell r="B948">
            <v>13399000000000</v>
          </cell>
          <cell r="C948" t="str">
            <v>WORK TEMPORARY SERV. EMPRESARIAIS</v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</row>
        <row r="949">
          <cell r="B949">
            <v>23458500000000</v>
          </cell>
          <cell r="C949" t="str">
            <v>4E FOR ECONOMICS CONSULTORIA LTDA</v>
          </cell>
          <cell r="D949">
            <v>-12666.67</v>
          </cell>
          <cell r="E949">
            <v>12666.67</v>
          </cell>
          <cell r="F949">
            <v>0</v>
          </cell>
          <cell r="G949">
            <v>0</v>
          </cell>
        </row>
        <row r="950">
          <cell r="B950">
            <v>5888810000000</v>
          </cell>
          <cell r="C950" t="str">
            <v>INFOJET COMÉRCIO E SERVIÇOS DE INFORMÁTI</v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</row>
        <row r="951">
          <cell r="B951">
            <v>3659170000000</v>
          </cell>
          <cell r="C951" t="str">
            <v>INST.BRAS.DO MEIO AMBIENTE IBAMA</v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</row>
        <row r="952">
          <cell r="B952">
            <v>10939400000000</v>
          </cell>
          <cell r="C952" t="str">
            <v>FRAMAR CONTABILIDADE LTDA</v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</row>
        <row r="953">
          <cell r="B953">
            <v>89237900000000</v>
          </cell>
          <cell r="C953" t="str">
            <v>GLOBAL DISTRIBUIÇÃO DE BENS DE CONSUMO</v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</row>
        <row r="954">
          <cell r="B954">
            <v>11311300000000</v>
          </cell>
          <cell r="C954" t="str">
            <v>EUNICE MARIA GONÇALVES DE OLIVEIRA - EPP</v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</row>
        <row r="955">
          <cell r="B955">
            <v>18704000000000</v>
          </cell>
          <cell r="C955" t="str">
            <v>CORUJET IMPORTAÇÃO E EXPORTAÇÃO LTDA ME</v>
          </cell>
          <cell r="D955">
            <v>0</v>
          </cell>
          <cell r="E955">
            <v>0</v>
          </cell>
          <cell r="F955">
            <v>0</v>
          </cell>
          <cell r="G955">
            <v>0</v>
          </cell>
        </row>
        <row r="956">
          <cell r="B956">
            <v>1590730000000</v>
          </cell>
          <cell r="C956" t="str">
            <v>MICROTECNICA INFORMATICA LTDA</v>
          </cell>
          <cell r="D956">
            <v>0</v>
          </cell>
          <cell r="E956">
            <v>0</v>
          </cell>
          <cell r="F956">
            <v>0</v>
          </cell>
          <cell r="G956">
            <v>0</v>
          </cell>
        </row>
        <row r="957">
          <cell r="B957">
            <v>4602790000000</v>
          </cell>
          <cell r="C957" t="str">
            <v>DATEN TECNOLOGIA LTDA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</row>
        <row r="958">
          <cell r="B958">
            <v>8139870000000</v>
          </cell>
          <cell r="C958" t="str">
            <v>UBM BRAZIL FEIRAS E EVENTOS LTDA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</row>
        <row r="959">
          <cell r="B959">
            <v>779548000000</v>
          </cell>
          <cell r="C959" t="str">
            <v>ACQUA AIR MICROBIOLÓGICA ANÁLISES AMBIEN</v>
          </cell>
          <cell r="D959">
            <v>0</v>
          </cell>
          <cell r="E959">
            <v>0</v>
          </cell>
          <cell r="F959">
            <v>0</v>
          </cell>
          <cell r="G959">
            <v>0</v>
          </cell>
        </row>
        <row r="960">
          <cell r="B960">
            <v>9364570000000</v>
          </cell>
          <cell r="C960" t="str">
            <v>SANDECH CONSULTORIA EM ENGENHARIA E GEST</v>
          </cell>
          <cell r="D960">
            <v>0</v>
          </cell>
          <cell r="E960">
            <v>0</v>
          </cell>
          <cell r="F960">
            <v>0</v>
          </cell>
          <cell r="G960">
            <v>0</v>
          </cell>
        </row>
        <row r="961">
          <cell r="B961">
            <v>22108400000000</v>
          </cell>
          <cell r="C961" t="str">
            <v>MORENO BOOKSTORE LIVRARIA LTDA</v>
          </cell>
          <cell r="D961">
            <v>0</v>
          </cell>
          <cell r="E961">
            <v>0</v>
          </cell>
          <cell r="F961">
            <v>0</v>
          </cell>
          <cell r="G961">
            <v>0</v>
          </cell>
        </row>
        <row r="962">
          <cell r="B962">
            <v>31328300000000</v>
          </cell>
          <cell r="C962" t="str">
            <v>TL COMÉRCIO DE MATERIAL DE INFORMÁTICA</v>
          </cell>
          <cell r="D962">
            <v>0</v>
          </cell>
          <cell r="E962">
            <v>0</v>
          </cell>
          <cell r="F962">
            <v>0</v>
          </cell>
          <cell r="G962">
            <v>0</v>
          </cell>
        </row>
        <row r="963">
          <cell r="B963">
            <v>21823200000000</v>
          </cell>
          <cell r="C963" t="str">
            <v>GLOBAL TTI SOLUCOES EM TECNOLOGIA LTDA</v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</row>
        <row r="964">
          <cell r="B964">
            <v>5953550000000</v>
          </cell>
          <cell r="C964" t="str">
            <v>PRINT GRAF GRÁFICA E EDITORA LTDA.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</row>
        <row r="965">
          <cell r="B965">
            <v>52618100000000</v>
          </cell>
          <cell r="C965" t="str">
            <v>GL ELETRO-ELETRONICOS LTDA</v>
          </cell>
          <cell r="D965">
            <v>0</v>
          </cell>
          <cell r="E965">
            <v>0</v>
          </cell>
          <cell r="F965">
            <v>-359</v>
          </cell>
          <cell r="G965">
            <v>359</v>
          </cell>
        </row>
        <row r="966">
          <cell r="B966">
            <v>61665200000000</v>
          </cell>
          <cell r="C966" t="str">
            <v>AEROGLASS BRASILEIRA SA FIBRAS DE VIDRO</v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</row>
        <row r="967">
          <cell r="B967">
            <v>62329000000000</v>
          </cell>
          <cell r="C967" t="str">
            <v>EDITORA IRACEMA LTDA-ME</v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</row>
        <row r="968">
          <cell r="B968">
            <v>33402900000000</v>
          </cell>
          <cell r="C968" t="str">
            <v>ASSOCIAÇÃO BRASILEIRA DE NORMAS TÉCNICAS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</row>
        <row r="969">
          <cell r="B969">
            <v>2593170000000</v>
          </cell>
          <cell r="C969" t="str">
            <v>GARTNER DO BRASIL SERVIÇOS DE PESQUISA L</v>
          </cell>
          <cell r="D969">
            <v>0</v>
          </cell>
          <cell r="E969">
            <v>46525</v>
          </cell>
          <cell r="F969">
            <v>-46525</v>
          </cell>
          <cell r="G969">
            <v>0</v>
          </cell>
        </row>
        <row r="970">
          <cell r="B970">
            <v>11662800000000</v>
          </cell>
          <cell r="C970" t="str">
            <v>R W REIS COMÉRCIO E SERVIÇOS LTDA-ME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</row>
        <row r="971">
          <cell r="B971">
            <v>14350700000000</v>
          </cell>
          <cell r="C971" t="str">
            <v>LIVRARIA STUDIUM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</row>
        <row r="972">
          <cell r="B972">
            <v>52168500000000</v>
          </cell>
          <cell r="C972" t="str">
            <v>SOCIEDADE BRASILEIRA DE ESPELEOLOGIA</v>
          </cell>
          <cell r="D972">
            <v>0</v>
          </cell>
          <cell r="E972">
            <v>0</v>
          </cell>
          <cell r="F972">
            <v>0</v>
          </cell>
          <cell r="G972">
            <v>0</v>
          </cell>
        </row>
        <row r="973">
          <cell r="B973">
            <v>4999510000000</v>
          </cell>
          <cell r="C973" t="str">
            <v>TAMANDUA PRESTADORA DE SERVIÇOS LTDA</v>
          </cell>
          <cell r="D973">
            <v>0</v>
          </cell>
          <cell r="E973">
            <v>0</v>
          </cell>
          <cell r="F973">
            <v>0</v>
          </cell>
          <cell r="G973">
            <v>0</v>
          </cell>
        </row>
        <row r="974">
          <cell r="B974">
            <v>8821750000000</v>
          </cell>
          <cell r="C974" t="str">
            <v>CERTSYS TECNOLOGIA DA INFORMAÇÃO LTDA</v>
          </cell>
          <cell r="D974">
            <v>0</v>
          </cell>
          <cell r="E974">
            <v>0</v>
          </cell>
          <cell r="F974">
            <v>0</v>
          </cell>
          <cell r="G974">
            <v>0</v>
          </cell>
        </row>
        <row r="975">
          <cell r="B975">
            <v>62044200000000</v>
          </cell>
          <cell r="C975" t="str">
            <v>AMERICAN CHAMBER OF COMMERCE FOR BRAZIL</v>
          </cell>
          <cell r="D975">
            <v>0</v>
          </cell>
          <cell r="E975">
            <v>0</v>
          </cell>
          <cell r="F975">
            <v>0</v>
          </cell>
          <cell r="G975">
            <v>0</v>
          </cell>
        </row>
        <row r="976">
          <cell r="B976">
            <v>31316300000000</v>
          </cell>
          <cell r="C976" t="str">
            <v>REFRIMEC REFRIGERAÇÃO LTDA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</row>
        <row r="977">
          <cell r="B977">
            <v>18534200000000</v>
          </cell>
          <cell r="C977" t="str">
            <v>NILZA ROGERIA DE ANDRADE NUNES</v>
          </cell>
          <cell r="D977">
            <v>0</v>
          </cell>
          <cell r="E977">
            <v>0</v>
          </cell>
          <cell r="F977">
            <v>0</v>
          </cell>
          <cell r="G977">
            <v>0</v>
          </cell>
        </row>
        <row r="978">
          <cell r="B978">
            <v>17781700000000</v>
          </cell>
          <cell r="C978" t="str">
            <v>PRESSCLIPPING PRODUÇÕES DE CLIPPING LTDA</v>
          </cell>
          <cell r="D978">
            <v>0</v>
          </cell>
          <cell r="E978">
            <v>0</v>
          </cell>
          <cell r="F978">
            <v>0</v>
          </cell>
          <cell r="G978">
            <v>0</v>
          </cell>
        </row>
        <row r="979">
          <cell r="B979">
            <v>258246000000</v>
          </cell>
          <cell r="C979" t="str">
            <v>SOLO NETWORK BRASIL S/A</v>
          </cell>
          <cell r="D979">
            <v>0</v>
          </cell>
          <cell r="E979">
            <v>0</v>
          </cell>
          <cell r="F979">
            <v>0</v>
          </cell>
          <cell r="G979">
            <v>0</v>
          </cell>
        </row>
        <row r="980">
          <cell r="B980">
            <v>13921100000000</v>
          </cell>
          <cell r="C980" t="str">
            <v>RIOMEGA SERVIÇOS GRAFICOS LTDA ME</v>
          </cell>
          <cell r="D980">
            <v>0</v>
          </cell>
          <cell r="E980">
            <v>0</v>
          </cell>
          <cell r="F980">
            <v>0</v>
          </cell>
          <cell r="G980">
            <v>0</v>
          </cell>
        </row>
        <row r="981">
          <cell r="B981">
            <v>30947600000000</v>
          </cell>
          <cell r="C981" t="str">
            <v>HM ROUPAS PROFISSIONAIS EIRELI</v>
          </cell>
          <cell r="D981">
            <v>0</v>
          </cell>
          <cell r="E981">
            <v>0</v>
          </cell>
          <cell r="F981">
            <v>0</v>
          </cell>
          <cell r="G981">
            <v>0</v>
          </cell>
        </row>
        <row r="982">
          <cell r="B982">
            <v>3598920000000</v>
          </cell>
          <cell r="C982" t="str">
            <v>ARANDA EVENTOS E CONGRESSOS LTDA</v>
          </cell>
          <cell r="D982">
            <v>0</v>
          </cell>
          <cell r="E982">
            <v>0</v>
          </cell>
          <cell r="F982">
            <v>0</v>
          </cell>
          <cell r="G982">
            <v>0</v>
          </cell>
        </row>
        <row r="983">
          <cell r="B983">
            <v>62642900000000</v>
          </cell>
          <cell r="C983" t="str">
            <v>ASSOCIAÇÃO BRASILEIRA INDÚSTRIA QUÍMICA</v>
          </cell>
          <cell r="D983">
            <v>0</v>
          </cell>
          <cell r="E983">
            <v>0</v>
          </cell>
          <cell r="F983">
            <v>0</v>
          </cell>
          <cell r="G983">
            <v>0</v>
          </cell>
        </row>
        <row r="984">
          <cell r="B984">
            <v>28861400000000</v>
          </cell>
          <cell r="C984" t="str">
            <v>ROTA 183 EVENTOS EIRELI</v>
          </cell>
          <cell r="D984">
            <v>0</v>
          </cell>
          <cell r="E984">
            <v>0</v>
          </cell>
          <cell r="F984">
            <v>0</v>
          </cell>
          <cell r="G984">
            <v>0</v>
          </cell>
        </row>
        <row r="985">
          <cell r="B985">
            <v>30526700000000</v>
          </cell>
          <cell r="C985" t="str">
            <v>IVAN LEONARDO MACHADO</v>
          </cell>
          <cell r="D985">
            <v>0</v>
          </cell>
          <cell r="E985">
            <v>0</v>
          </cell>
          <cell r="F985">
            <v>0</v>
          </cell>
          <cell r="G985">
            <v>0</v>
          </cell>
        </row>
        <row r="986">
          <cell r="B986">
            <v>460831000000</v>
          </cell>
          <cell r="C986" t="str">
            <v>INSTITUTO BRASILEIRO PRO-CIDADANIA</v>
          </cell>
          <cell r="D986">
            <v>0</v>
          </cell>
          <cell r="E986">
            <v>0</v>
          </cell>
          <cell r="F986">
            <v>0</v>
          </cell>
          <cell r="G986">
            <v>0</v>
          </cell>
        </row>
        <row r="987">
          <cell r="B987">
            <v>35794100000000</v>
          </cell>
          <cell r="C987" t="str">
            <v>COND. DO ED.CENTRO EMPRESARIAL RB1</v>
          </cell>
          <cell r="D987">
            <v>0</v>
          </cell>
          <cell r="E987">
            <v>0</v>
          </cell>
          <cell r="F987">
            <v>0</v>
          </cell>
          <cell r="G987">
            <v>0</v>
          </cell>
        </row>
        <row r="988">
          <cell r="B988">
            <v>5533020000000</v>
          </cell>
          <cell r="C988" t="str">
            <v>V OFFICE CONSULTORES ASSOCIADOS LTDA</v>
          </cell>
          <cell r="D988">
            <v>0</v>
          </cell>
          <cell r="E988">
            <v>0</v>
          </cell>
          <cell r="F988">
            <v>0</v>
          </cell>
          <cell r="G988">
            <v>0</v>
          </cell>
        </row>
        <row r="989">
          <cell r="B989">
            <v>4527230000000</v>
          </cell>
          <cell r="C989" t="str">
            <v>KA SOLUTION INFORMATICA LTDA</v>
          </cell>
          <cell r="D989">
            <v>0</v>
          </cell>
          <cell r="E989">
            <v>0</v>
          </cell>
          <cell r="F989">
            <v>0</v>
          </cell>
          <cell r="G989">
            <v>0</v>
          </cell>
        </row>
        <row r="990">
          <cell r="B990">
            <v>46359900000000</v>
          </cell>
          <cell r="C990" t="str">
            <v>FUNDAÇÃO INST PESQ CONT ATUARIAIS E FINA</v>
          </cell>
          <cell r="D990">
            <v>0</v>
          </cell>
          <cell r="E990">
            <v>0</v>
          </cell>
          <cell r="F990">
            <v>0</v>
          </cell>
          <cell r="G990">
            <v>0</v>
          </cell>
        </row>
        <row r="991">
          <cell r="B991">
            <v>30980300000000</v>
          </cell>
          <cell r="C991" t="str">
            <v>TRUE SERV E CONSULTORIA EM ENERGIA LTDA</v>
          </cell>
          <cell r="D991">
            <v>0</v>
          </cell>
          <cell r="E991">
            <v>0</v>
          </cell>
          <cell r="F991">
            <v>0</v>
          </cell>
          <cell r="G991">
            <v>0</v>
          </cell>
        </row>
        <row r="992">
          <cell r="B992">
            <v>13992600000000</v>
          </cell>
          <cell r="C992" t="str">
            <v>DCIDE LTDA EPP</v>
          </cell>
          <cell r="D992">
            <v>0</v>
          </cell>
          <cell r="E992">
            <v>0</v>
          </cell>
          <cell r="F992">
            <v>0</v>
          </cell>
          <cell r="G992">
            <v>0</v>
          </cell>
        </row>
        <row r="993">
          <cell r="B993">
            <v>10499000000000</v>
          </cell>
          <cell r="C993" t="str">
            <v>INST NEGÓCIOS PÚBLICOS DO BRASIL -FILIAL</v>
          </cell>
          <cell r="D993">
            <v>0</v>
          </cell>
          <cell r="E993">
            <v>0</v>
          </cell>
          <cell r="F993">
            <v>0</v>
          </cell>
          <cell r="G993">
            <v>0</v>
          </cell>
        </row>
        <row r="994">
          <cell r="B994">
            <v>8257350000000</v>
          </cell>
          <cell r="C994" t="str">
            <v>DPI COMERCIO DE ELETRO EIRELI</v>
          </cell>
          <cell r="D994">
            <v>0</v>
          </cell>
          <cell r="E994">
            <v>0</v>
          </cell>
          <cell r="F994">
            <v>0</v>
          </cell>
          <cell r="G994">
            <v>0</v>
          </cell>
        </row>
        <row r="995">
          <cell r="B995">
            <v>29508700000000</v>
          </cell>
          <cell r="C995" t="str">
            <v>REFINITIV BRASIL SERVIÇOS ECONOMICOS LTD</v>
          </cell>
          <cell r="D995">
            <v>0</v>
          </cell>
          <cell r="E995">
            <v>0</v>
          </cell>
          <cell r="F995">
            <v>0</v>
          </cell>
          <cell r="G995">
            <v>0</v>
          </cell>
        </row>
        <row r="996">
          <cell r="B996">
            <v>29576800000000</v>
          </cell>
          <cell r="C996" t="str">
            <v>LR SOLUÇÕES LTDA</v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</row>
        <row r="997">
          <cell r="B997">
            <v>8703040000000</v>
          </cell>
          <cell r="C997" t="str">
            <v>RH CURSOS E TREINAMENTO EMPRESARIAL LTDA</v>
          </cell>
          <cell r="D997">
            <v>0</v>
          </cell>
          <cell r="E997">
            <v>0</v>
          </cell>
          <cell r="F997">
            <v>0</v>
          </cell>
          <cell r="G997">
            <v>0</v>
          </cell>
        </row>
        <row r="998">
          <cell r="B998">
            <v>56958000102</v>
          </cell>
          <cell r="C998" t="str">
            <v>IDEALLE EDITORA E PUBLICIDADE LTDA ME</v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</row>
        <row r="999">
          <cell r="B999">
            <v>2676310000000</v>
          </cell>
          <cell r="C999" t="str">
            <v>IDEIAS TURISMO EIRELI</v>
          </cell>
          <cell r="D999">
            <v>0</v>
          </cell>
          <cell r="E999">
            <v>113765.37</v>
          </cell>
          <cell r="F999">
            <v>-113765.37</v>
          </cell>
          <cell r="G999">
            <v>0</v>
          </cell>
        </row>
        <row r="1000">
          <cell r="B1000">
            <v>40181300000000</v>
          </cell>
          <cell r="C1000" t="str">
            <v>ASSOCIAÇÃO CULTURAL E DE PESQ NOEL ROSA</v>
          </cell>
          <cell r="D1000">
            <v>0</v>
          </cell>
          <cell r="E1000">
            <v>0</v>
          </cell>
          <cell r="F1000">
            <v>0</v>
          </cell>
          <cell r="G1000">
            <v>0</v>
          </cell>
        </row>
        <row r="1001">
          <cell r="B1001">
            <v>1959080000000</v>
          </cell>
          <cell r="C1001" t="str">
            <v>INSTITUTO PROMUNDO</v>
          </cell>
          <cell r="D1001">
            <v>0</v>
          </cell>
          <cell r="E1001">
            <v>0</v>
          </cell>
          <cell r="F1001">
            <v>0</v>
          </cell>
          <cell r="G1001">
            <v>0</v>
          </cell>
        </row>
        <row r="1002">
          <cell r="B1002">
            <v>14291000000000</v>
          </cell>
          <cell r="C1002" t="str">
            <v>JOSE RODRIGUES DE SOUZA NETO</v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</row>
        <row r="1003">
          <cell r="B1003">
            <v>10320400000000</v>
          </cell>
          <cell r="C1003" t="str">
            <v>MM DESENVOLVIMENTO LTDA</v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</row>
        <row r="1004">
          <cell r="B1004">
            <v>24725000000000</v>
          </cell>
          <cell r="C1004" t="str">
            <v>NORTE EDUCAÇÃO EXECUTIVA LTDA ME</v>
          </cell>
          <cell r="D1004">
            <v>0</v>
          </cell>
          <cell r="E1004">
            <v>0</v>
          </cell>
          <cell r="F1004">
            <v>0</v>
          </cell>
          <cell r="G1004">
            <v>0</v>
          </cell>
        </row>
        <row r="1005">
          <cell r="B1005">
            <v>21348200000000</v>
          </cell>
          <cell r="C1005" t="str">
            <v>VINICIUS JOSE EUGENIO - ME</v>
          </cell>
          <cell r="D1005">
            <v>0</v>
          </cell>
          <cell r="E1005">
            <v>0</v>
          </cell>
          <cell r="F1005">
            <v>0</v>
          </cell>
          <cell r="G1005">
            <v>0</v>
          </cell>
        </row>
        <row r="1006">
          <cell r="B1006">
            <v>5025590000000</v>
          </cell>
          <cell r="C1006" t="str">
            <v>ENE TREINAMENTOS CURSOS E EVENTOS EIRELI</v>
          </cell>
          <cell r="D1006">
            <v>0</v>
          </cell>
          <cell r="E1006">
            <v>0</v>
          </cell>
          <cell r="F1006">
            <v>0</v>
          </cell>
          <cell r="G1006">
            <v>0</v>
          </cell>
        </row>
        <row r="1007">
          <cell r="B1007">
            <v>29969200000000</v>
          </cell>
          <cell r="C1007" t="str">
            <v>ASS BRASILEIRA DE RECURSOS HIDRICOS</v>
          </cell>
          <cell r="D1007">
            <v>0</v>
          </cell>
          <cell r="E1007">
            <v>0</v>
          </cell>
          <cell r="F1007">
            <v>0</v>
          </cell>
          <cell r="G1007">
            <v>0</v>
          </cell>
        </row>
        <row r="1008">
          <cell r="B1008">
            <v>32452600000000</v>
          </cell>
          <cell r="C1008" t="str">
            <v>UNITIZA CONSULTORIA EM ENERGIA LTDA</v>
          </cell>
          <cell r="D1008">
            <v>0</v>
          </cell>
          <cell r="E1008">
            <v>0</v>
          </cell>
          <cell r="F1008">
            <v>0</v>
          </cell>
          <cell r="G1008">
            <v>0</v>
          </cell>
        </row>
        <row r="1009">
          <cell r="B1009">
            <v>7808210000000</v>
          </cell>
          <cell r="C1009" t="str">
            <v>CEDIN-CENTRO DE ESTUDOS EM DIR E NEG LTD</v>
          </cell>
          <cell r="D1009">
            <v>0</v>
          </cell>
          <cell r="E1009">
            <v>0</v>
          </cell>
          <cell r="F1009">
            <v>0</v>
          </cell>
          <cell r="G1009">
            <v>0</v>
          </cell>
        </row>
        <row r="1010">
          <cell r="B1010">
            <v>26644400000000</v>
          </cell>
          <cell r="C1010" t="str">
            <v>LAUDOS ENGENHARIA LTDA</v>
          </cell>
          <cell r="D1010">
            <v>0</v>
          </cell>
          <cell r="E1010">
            <v>0</v>
          </cell>
          <cell r="F1010">
            <v>0</v>
          </cell>
          <cell r="G1010">
            <v>0</v>
          </cell>
        </row>
        <row r="1011">
          <cell r="B1011">
            <v>14016900000000</v>
          </cell>
          <cell r="C1011" t="str">
            <v>FL SOLUCOES COORPORATIVAS INTELIGENTES L</v>
          </cell>
          <cell r="D1011">
            <v>0</v>
          </cell>
          <cell r="E1011">
            <v>0</v>
          </cell>
          <cell r="F1011">
            <v>0</v>
          </cell>
          <cell r="G1011">
            <v>0</v>
          </cell>
        </row>
        <row r="1012">
          <cell r="B1012">
            <v>27039900000000</v>
          </cell>
          <cell r="C1012" t="str">
            <v>AL NETTO COMERCIAL E SERVIÇOS EIRELI ME</v>
          </cell>
          <cell r="D1012">
            <v>0</v>
          </cell>
          <cell r="E1012">
            <v>0</v>
          </cell>
          <cell r="F1012">
            <v>0</v>
          </cell>
          <cell r="G1012">
            <v>0</v>
          </cell>
        </row>
        <row r="1013">
          <cell r="B1013">
            <v>8706550000000</v>
          </cell>
          <cell r="C1013" t="str">
            <v>O2 SOLUÇÕES EM TECNOLOGIA DIGITAL LTDA</v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</row>
        <row r="1014">
          <cell r="B1014">
            <v>30040600000000</v>
          </cell>
          <cell r="C1014" t="str">
            <v>AGBT TRADUCOES LTDA</v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</row>
        <row r="1015">
          <cell r="B1015">
            <v>30780700000000</v>
          </cell>
          <cell r="C1015" t="str">
            <v>LVD SOLUÇÕES EM INFORMÁTICA EIRELI</v>
          </cell>
          <cell r="D1015">
            <v>0</v>
          </cell>
          <cell r="E1015">
            <v>0</v>
          </cell>
          <cell r="F1015">
            <v>0</v>
          </cell>
          <cell r="G1015">
            <v>0</v>
          </cell>
        </row>
        <row r="1016">
          <cell r="B1016">
            <v>15267100000000</v>
          </cell>
          <cell r="C1016" t="str">
            <v>TIKINET EDICAO LTDA</v>
          </cell>
          <cell r="D1016">
            <v>0</v>
          </cell>
          <cell r="E1016">
            <v>0</v>
          </cell>
          <cell r="F1016">
            <v>0</v>
          </cell>
          <cell r="G1016">
            <v>0</v>
          </cell>
        </row>
        <row r="1017">
          <cell r="B1017">
            <v>8747230000000</v>
          </cell>
          <cell r="C1017" t="str">
            <v>ARQUITETURA PROCESSUAL INTELIGENTE</v>
          </cell>
          <cell r="D1017">
            <v>0</v>
          </cell>
          <cell r="E1017">
            <v>0</v>
          </cell>
          <cell r="F1017">
            <v>0</v>
          </cell>
          <cell r="G1017">
            <v>0</v>
          </cell>
        </row>
        <row r="1018">
          <cell r="B1018">
            <v>2939150000000</v>
          </cell>
          <cell r="C1018" t="str">
            <v>AC ARQUITETURA E CONSULTORIA</v>
          </cell>
          <cell r="D1018">
            <v>0</v>
          </cell>
          <cell r="E1018">
            <v>0</v>
          </cell>
          <cell r="F1018">
            <v>0</v>
          </cell>
          <cell r="G1018">
            <v>0</v>
          </cell>
        </row>
        <row r="1019">
          <cell r="B1019">
            <v>9274820000000</v>
          </cell>
          <cell r="C1019" t="str">
            <v>SUPER ACESSO INFORMAÇÃO LTDA ME</v>
          </cell>
          <cell r="D1019">
            <v>0</v>
          </cell>
          <cell r="E1019">
            <v>0</v>
          </cell>
          <cell r="F1019">
            <v>0</v>
          </cell>
          <cell r="G1019">
            <v>0</v>
          </cell>
        </row>
        <row r="1020">
          <cell r="B1020">
            <v>20306500000000</v>
          </cell>
          <cell r="C1020" t="str">
            <v>EFICAZ GESTÃO EM SAUDE LTDA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</row>
        <row r="1021">
          <cell r="B1021">
            <v>7341420000000</v>
          </cell>
          <cell r="C1021" t="str">
            <v>IHS MARKIT AGRIBUSINESS BRAZIL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</row>
        <row r="1022">
          <cell r="B1022">
            <v>14031100000000</v>
          </cell>
          <cell r="C1022" t="str">
            <v>COND. ED. MARQUES DOS REIS</v>
          </cell>
          <cell r="D1022">
            <v>0</v>
          </cell>
          <cell r="E1022">
            <v>137380.79</v>
          </cell>
          <cell r="F1022">
            <v>-137380.79</v>
          </cell>
          <cell r="G1022">
            <v>0</v>
          </cell>
        </row>
        <row r="1023">
          <cell r="B1023">
            <v>20129600000000</v>
          </cell>
          <cell r="C1023" t="str">
            <v>NP TREINAMENTOS E CURSOS LTDA</v>
          </cell>
          <cell r="D1023">
            <v>0</v>
          </cell>
          <cell r="E1023">
            <v>0</v>
          </cell>
          <cell r="F1023">
            <v>0</v>
          </cell>
          <cell r="G1023">
            <v>0</v>
          </cell>
        </row>
        <row r="1024">
          <cell r="B1024">
            <v>58932600000000</v>
          </cell>
          <cell r="C1024" t="str">
            <v>AUTODATA EDITORA E EVENTOS LTDA</v>
          </cell>
          <cell r="D1024">
            <v>0</v>
          </cell>
          <cell r="E1024">
            <v>0</v>
          </cell>
          <cell r="F1024">
            <v>0</v>
          </cell>
          <cell r="G1024">
            <v>0</v>
          </cell>
        </row>
        <row r="1025">
          <cell r="B1025">
            <v>35816200000000</v>
          </cell>
          <cell r="C1025" t="str">
            <v>HOLLANDA LOPES IMUNIZAÇÃO E VACINAÇÃO</v>
          </cell>
          <cell r="D1025">
            <v>0</v>
          </cell>
          <cell r="E1025">
            <v>0</v>
          </cell>
          <cell r="F1025">
            <v>0</v>
          </cell>
          <cell r="G1025">
            <v>0</v>
          </cell>
        </row>
        <row r="1026">
          <cell r="B1026">
            <v>62070100000000</v>
          </cell>
          <cell r="C1026" t="str">
            <v>INSTITUTO DOS AUDITORES INTERNOS BRASIL</v>
          </cell>
          <cell r="D1026">
            <v>0</v>
          </cell>
          <cell r="E1026">
            <v>0</v>
          </cell>
          <cell r="F1026">
            <v>0</v>
          </cell>
          <cell r="G1026">
            <v>0</v>
          </cell>
        </row>
        <row r="1027">
          <cell r="B1027">
            <v>5486290000000</v>
          </cell>
          <cell r="C1027" t="str">
            <v>INSTITUTO NACIONAL DE CAPACITAÇÃO EPP</v>
          </cell>
          <cell r="D1027">
            <v>0</v>
          </cell>
          <cell r="E1027">
            <v>0</v>
          </cell>
          <cell r="F1027">
            <v>0</v>
          </cell>
          <cell r="G1027">
            <v>0</v>
          </cell>
        </row>
        <row r="1028">
          <cell r="B1028">
            <v>1082330000000</v>
          </cell>
          <cell r="C1028" t="str">
            <v>IBGC - INST BRAS DE GOVERNANÇA CORP</v>
          </cell>
          <cell r="D1028">
            <v>0</v>
          </cell>
          <cell r="E1028">
            <v>0</v>
          </cell>
          <cell r="F1028">
            <v>0</v>
          </cell>
          <cell r="G1028">
            <v>0</v>
          </cell>
        </row>
        <row r="1029">
          <cell r="B1029">
            <v>4236620000000</v>
          </cell>
          <cell r="C1029" t="str">
            <v>REAL PROTECT INFORMÁTICA LTDA ME</v>
          </cell>
          <cell r="D1029">
            <v>0</v>
          </cell>
          <cell r="E1029">
            <v>0</v>
          </cell>
          <cell r="F1029">
            <v>0</v>
          </cell>
          <cell r="G1029">
            <v>0</v>
          </cell>
        </row>
        <row r="1030">
          <cell r="B1030">
            <v>21449300000000</v>
          </cell>
          <cell r="C1030" t="str">
            <v>BERKAN AUDITORES INDEPENDENTES S.S</v>
          </cell>
          <cell r="D1030">
            <v>0</v>
          </cell>
          <cell r="E1030">
            <v>0</v>
          </cell>
          <cell r="F1030">
            <v>0</v>
          </cell>
          <cell r="G1030">
            <v>0</v>
          </cell>
        </row>
        <row r="1031">
          <cell r="B1031">
            <v>11825800000000</v>
          </cell>
          <cell r="C1031" t="str">
            <v>INSTITUTO FENACON</v>
          </cell>
          <cell r="D1031">
            <v>0</v>
          </cell>
          <cell r="E1031">
            <v>0</v>
          </cell>
          <cell r="F1031">
            <v>0</v>
          </cell>
          <cell r="G1031">
            <v>0</v>
          </cell>
        </row>
        <row r="1032">
          <cell r="B1032">
            <v>14087600000000</v>
          </cell>
          <cell r="C1032" t="str">
            <v>MMP CURSOS CAP. E TREINAMENTO LTDA</v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</row>
        <row r="1033">
          <cell r="B1033">
            <v>23316000000000</v>
          </cell>
          <cell r="C1033" t="str">
            <v>M2P ENGENHARIA LTDA</v>
          </cell>
          <cell r="D1033">
            <v>0</v>
          </cell>
          <cell r="E1033">
            <v>0</v>
          </cell>
          <cell r="F1033">
            <v>0</v>
          </cell>
          <cell r="G1033">
            <v>0</v>
          </cell>
        </row>
        <row r="1034">
          <cell r="B1034">
            <v>74336600000000</v>
          </cell>
          <cell r="C1034" t="str">
            <v>ELETROMAGNETICS TEC. E INF. LTDA</v>
          </cell>
          <cell r="D1034">
            <v>0</v>
          </cell>
          <cell r="E1034">
            <v>0</v>
          </cell>
          <cell r="F1034">
            <v>0</v>
          </cell>
          <cell r="G1034">
            <v>0</v>
          </cell>
        </row>
        <row r="1035">
          <cell r="B1035">
            <v>67634000000000</v>
          </cell>
          <cell r="C1035" t="str">
            <v>QSP - CENTRO DE Q. SEG. E PROD. P/BR E A</v>
          </cell>
          <cell r="D1035">
            <v>0</v>
          </cell>
          <cell r="E1035">
            <v>0</v>
          </cell>
          <cell r="F1035">
            <v>0</v>
          </cell>
          <cell r="G1035">
            <v>0</v>
          </cell>
        </row>
        <row r="1036">
          <cell r="B1036">
            <v>26410300000000</v>
          </cell>
          <cell r="C1036" t="str">
            <v>TRAINSEC SEGURANCA EIRELI</v>
          </cell>
          <cell r="D1036">
            <v>0</v>
          </cell>
          <cell r="E1036">
            <v>0</v>
          </cell>
          <cell r="F1036">
            <v>0</v>
          </cell>
          <cell r="G1036">
            <v>0</v>
          </cell>
        </row>
        <row r="1037">
          <cell r="B1037">
            <v>10618200000000</v>
          </cell>
          <cell r="C1037" t="str">
            <v>MAGNOPLAN GERENCIAMENTO DE PROJETOS LTDA</v>
          </cell>
          <cell r="D1037">
            <v>0</v>
          </cell>
          <cell r="E1037">
            <v>0</v>
          </cell>
          <cell r="F1037">
            <v>0</v>
          </cell>
          <cell r="G1037">
            <v>0</v>
          </cell>
        </row>
        <row r="1038">
          <cell r="B1038">
            <v>3784680000000</v>
          </cell>
          <cell r="C1038" t="str">
            <v>SENAI RN</v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</row>
        <row r="1039">
          <cell r="B1039">
            <v>29493500000000</v>
          </cell>
          <cell r="C1039" t="str">
            <v>ROBERTO FERREIRA DOS SANTOS</v>
          </cell>
          <cell r="D1039">
            <v>0</v>
          </cell>
          <cell r="E1039">
            <v>0</v>
          </cell>
          <cell r="F1039">
            <v>0</v>
          </cell>
          <cell r="G1039">
            <v>0</v>
          </cell>
        </row>
        <row r="1040">
          <cell r="B1040">
            <v>35851500000000</v>
          </cell>
          <cell r="C1040" t="str">
            <v>ECOAMB CONSULTORIA ECONOMICA</v>
          </cell>
          <cell r="D1040">
            <v>0</v>
          </cell>
          <cell r="E1040">
            <v>0</v>
          </cell>
          <cell r="F1040">
            <v>0</v>
          </cell>
          <cell r="G1040">
            <v>0</v>
          </cell>
        </row>
        <row r="1041">
          <cell r="B1041">
            <v>8817860000000</v>
          </cell>
          <cell r="C1041" t="str">
            <v>ASSOCIAÇÃO BRASILEIRA DE ENERGIA SOLAR</v>
          </cell>
          <cell r="D1041">
            <v>0</v>
          </cell>
          <cell r="E1041">
            <v>0</v>
          </cell>
          <cell r="F1041">
            <v>0</v>
          </cell>
          <cell r="G1041">
            <v>0</v>
          </cell>
        </row>
        <row r="1042">
          <cell r="B1042">
            <v>37748800000000</v>
          </cell>
          <cell r="C1042" t="str">
            <v>AP12 FILMES E PRODUÇÕES LTDA</v>
          </cell>
          <cell r="D1042">
            <v>0</v>
          </cell>
          <cell r="E1042">
            <v>0</v>
          </cell>
          <cell r="F1042">
            <v>0</v>
          </cell>
          <cell r="G1042">
            <v>0</v>
          </cell>
        </row>
        <row r="1043">
          <cell r="B1043">
            <v>5569970000000</v>
          </cell>
          <cell r="C1043" t="str">
            <v>UNIEDUCAR INTELIGÊNCIA EDUCACIONAL LTDA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</row>
        <row r="1044">
          <cell r="B1044">
            <v>8865620000000</v>
          </cell>
          <cell r="C1044" t="str">
            <v>WORKING ASSOCIAÇÃO DE INTEGRAÇÃO PROFIS</v>
          </cell>
          <cell r="D1044">
            <v>0</v>
          </cell>
          <cell r="E1044">
            <v>0</v>
          </cell>
          <cell r="F1044">
            <v>0</v>
          </cell>
          <cell r="G1044">
            <v>0</v>
          </cell>
        </row>
        <row r="1045">
          <cell r="B1045">
            <v>7192480000000</v>
          </cell>
          <cell r="C1045" t="str">
            <v>AMM TECNOLOGIA E SERV. INF. LTDA</v>
          </cell>
          <cell r="D1045">
            <v>0</v>
          </cell>
          <cell r="E1045">
            <v>0</v>
          </cell>
          <cell r="F1045">
            <v>0</v>
          </cell>
          <cell r="G1045">
            <v>0</v>
          </cell>
        </row>
        <row r="1046">
          <cell r="B1046">
            <v>49607300000000</v>
          </cell>
          <cell r="C1046" t="str">
            <v>FUNCAMP - FUND. DE DES. DA UNICAMP</v>
          </cell>
          <cell r="D1046">
            <v>0</v>
          </cell>
          <cell r="E1046">
            <v>0</v>
          </cell>
          <cell r="F1046">
            <v>0</v>
          </cell>
          <cell r="G1046">
            <v>0</v>
          </cell>
        </row>
        <row r="1047">
          <cell r="B1047">
            <v>13529500000000</v>
          </cell>
          <cell r="C1047" t="str">
            <v>ALPHA &amp; OMEGA TRANSCRIÇÕES</v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</row>
        <row r="1048">
          <cell r="B1048">
            <v>10237100000000</v>
          </cell>
          <cell r="C1048" t="str">
            <v>AF FIGUEIREDO - PALESTRAS, CURSOS E CONGR.</v>
          </cell>
          <cell r="D1048">
            <v>0</v>
          </cell>
          <cell r="E1048">
            <v>0</v>
          </cell>
          <cell r="F1048">
            <v>0</v>
          </cell>
          <cell r="G1048">
            <v>0</v>
          </cell>
        </row>
        <row r="1049">
          <cell r="B1049">
            <v>13517600000000</v>
          </cell>
          <cell r="C1049" t="str">
            <v>IQUALI - INST. DE QUALIFICAÇÃO PROFISSIONAL</v>
          </cell>
          <cell r="D1049">
            <v>0</v>
          </cell>
          <cell r="E1049">
            <v>0</v>
          </cell>
          <cell r="F1049">
            <v>0</v>
          </cell>
          <cell r="G1049">
            <v>0</v>
          </cell>
        </row>
        <row r="1050">
          <cell r="B1050">
            <v>33175200000000</v>
          </cell>
          <cell r="C1050" t="str">
            <v>JAIRO ADELINO DOS SANTOS</v>
          </cell>
          <cell r="D1050">
            <v>0</v>
          </cell>
          <cell r="E1050">
            <v>0</v>
          </cell>
          <cell r="F1050">
            <v>0</v>
          </cell>
          <cell r="G1050">
            <v>0</v>
          </cell>
        </row>
        <row r="1051">
          <cell r="B1051">
            <v>24736100000000</v>
          </cell>
          <cell r="C1051" t="str">
            <v>TREINAR CAPACITAÇÃO E DESENVOLVIMENTO</v>
          </cell>
          <cell r="D1051">
            <v>0</v>
          </cell>
          <cell r="E1051">
            <v>0</v>
          </cell>
          <cell r="F1051">
            <v>0</v>
          </cell>
          <cell r="G1051">
            <v>0</v>
          </cell>
        </row>
        <row r="1052">
          <cell r="B1052">
            <v>28066300000000</v>
          </cell>
          <cell r="C1052" t="str">
            <v>LEANDRO NOBREGA GULLO</v>
          </cell>
          <cell r="D1052">
            <v>0</v>
          </cell>
          <cell r="E1052">
            <v>0</v>
          </cell>
          <cell r="F1052">
            <v>0</v>
          </cell>
          <cell r="G1052">
            <v>0</v>
          </cell>
        </row>
        <row r="1053">
          <cell r="B1053">
            <v>7929380000000</v>
          </cell>
          <cell r="C1053" t="str">
            <v>NELISE CARDOSO DOS SANTOS WALDER ME</v>
          </cell>
          <cell r="D1053">
            <v>0</v>
          </cell>
          <cell r="E1053">
            <v>0</v>
          </cell>
          <cell r="F1053">
            <v>0</v>
          </cell>
          <cell r="G1053">
            <v>0</v>
          </cell>
        </row>
        <row r="1054">
          <cell r="B1054">
            <v>36984100000000</v>
          </cell>
          <cell r="C1054" t="str">
            <v>BRAZIL IT SOLUÇÕES EM INFORMÁTICA</v>
          </cell>
          <cell r="D1054">
            <v>0</v>
          </cell>
          <cell r="E1054">
            <v>0</v>
          </cell>
          <cell r="F1054">
            <v>0</v>
          </cell>
          <cell r="G1054">
            <v>0</v>
          </cell>
        </row>
        <row r="1055">
          <cell r="B1055">
            <v>32319700000000</v>
          </cell>
          <cell r="C1055" t="str">
            <v>CLINICARE MEDICINA E SEGURANÇA</v>
          </cell>
          <cell r="D1055">
            <v>0</v>
          </cell>
          <cell r="E1055">
            <v>0</v>
          </cell>
          <cell r="F1055">
            <v>0</v>
          </cell>
          <cell r="G1055">
            <v>0</v>
          </cell>
        </row>
        <row r="1056">
          <cell r="B1056">
            <v>38010500000000</v>
          </cell>
          <cell r="C1056" t="str">
            <v>PROPULSÃO SERVIÇOS DE TRANSPORTE</v>
          </cell>
          <cell r="D1056">
            <v>0</v>
          </cell>
          <cell r="E1056">
            <v>0</v>
          </cell>
          <cell r="F1056">
            <v>0</v>
          </cell>
          <cell r="G1056">
            <v>0</v>
          </cell>
        </row>
        <row r="1057">
          <cell r="B1057">
            <v>11522000000000</v>
          </cell>
          <cell r="C1057" t="str">
            <v>AUSTRAL SEGURADORA S.A.</v>
          </cell>
          <cell r="D1057">
            <v>0</v>
          </cell>
          <cell r="E1057">
            <v>0</v>
          </cell>
          <cell r="F1057">
            <v>0</v>
          </cell>
          <cell r="G1057">
            <v>0</v>
          </cell>
        </row>
        <row r="1058">
          <cell r="B1058">
            <v>64909700000000</v>
          </cell>
          <cell r="C1058" t="str">
            <v>FIGENER ENGENHEIROS ASSOCIADOS LTDA</v>
          </cell>
          <cell r="D1058">
            <v>0</v>
          </cell>
          <cell r="E1058">
            <v>0</v>
          </cell>
          <cell r="F1058">
            <v>-29980</v>
          </cell>
          <cell r="G1058">
            <v>29980</v>
          </cell>
        </row>
        <row r="1059">
          <cell r="B1059">
            <v>35791400000000</v>
          </cell>
          <cell r="C1059" t="str">
            <v>QUALITY SOFTWARE S/A</v>
          </cell>
          <cell r="D1059">
            <v>0</v>
          </cell>
          <cell r="E1059">
            <v>0</v>
          </cell>
          <cell r="F1059">
            <v>0</v>
          </cell>
          <cell r="G1059">
            <v>0</v>
          </cell>
        </row>
        <row r="1060">
          <cell r="B1060">
            <v>15610500000000</v>
          </cell>
          <cell r="C1060" t="str">
            <v>JUMP SERVICOS GRAFICOS LTDA</v>
          </cell>
          <cell r="D1060">
            <v>0</v>
          </cell>
          <cell r="E1060">
            <v>0</v>
          </cell>
          <cell r="F1060">
            <v>0</v>
          </cell>
          <cell r="G1060">
            <v>0</v>
          </cell>
        </row>
        <row r="1061">
          <cell r="B1061">
            <v>11204400000000</v>
          </cell>
          <cell r="C1061" t="str">
            <v>TECHDOC SERVICOS TECNOLOGICOS LTDA</v>
          </cell>
          <cell r="D1061">
            <v>0</v>
          </cell>
          <cell r="E1061">
            <v>0</v>
          </cell>
          <cell r="F1061">
            <v>0</v>
          </cell>
          <cell r="G1061">
            <v>0</v>
          </cell>
        </row>
        <row r="1062">
          <cell r="B1062">
            <v>29775800000000</v>
          </cell>
          <cell r="C1062" t="str">
            <v>SOLUTIAL SOLUCOES E ANALISE DE DADOS LTDA</v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</row>
        <row r="1063">
          <cell r="B1063">
            <v>15011200000000</v>
          </cell>
          <cell r="C1063" t="str">
            <v>ESTATER TECNOLOGIA E SERVICOS LTDA</v>
          </cell>
          <cell r="D1063">
            <v>0</v>
          </cell>
          <cell r="E1063">
            <v>792</v>
          </cell>
          <cell r="F1063">
            <v>-792</v>
          </cell>
          <cell r="G1063">
            <v>0</v>
          </cell>
        </row>
        <row r="1064">
          <cell r="B1064">
            <v>13157600000000</v>
          </cell>
          <cell r="C1064" t="str">
            <v>LEONARDO AGUIAR MARTIN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</row>
        <row r="1065">
          <cell r="B1065">
            <v>2081860000000</v>
          </cell>
          <cell r="C1065" t="str">
            <v>GFARIAS EDUCAÇÃO LTDA</v>
          </cell>
          <cell r="D1065">
            <v>0</v>
          </cell>
          <cell r="E1065">
            <v>0</v>
          </cell>
          <cell r="F1065">
            <v>0</v>
          </cell>
          <cell r="G1065">
            <v>0</v>
          </cell>
        </row>
        <row r="1066">
          <cell r="B1066">
            <v>36826500000000</v>
          </cell>
          <cell r="C1066" t="str">
            <v>MARIA DAS NEVES FERREIRA PINTO VIEIRA</v>
          </cell>
          <cell r="D1066">
            <v>0</v>
          </cell>
          <cell r="E1066">
            <v>0</v>
          </cell>
          <cell r="F1066">
            <v>0</v>
          </cell>
          <cell r="G1066">
            <v>0</v>
          </cell>
        </row>
        <row r="1067">
          <cell r="B1067">
            <v>5246000000000</v>
          </cell>
          <cell r="C1067" t="str">
            <v>PROSA DO MUNDO SERV. EDITORIAS</v>
          </cell>
          <cell r="D1067">
            <v>0</v>
          </cell>
          <cell r="E1067">
            <v>0</v>
          </cell>
          <cell r="F1067">
            <v>0</v>
          </cell>
          <cell r="G1067">
            <v>0</v>
          </cell>
        </row>
        <row r="1068">
          <cell r="B1068">
            <v>3364280000000</v>
          </cell>
          <cell r="C1068" t="str">
            <v>AUTODATA SEMINARIOS E EDITORA LTDA</v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</row>
        <row r="1069">
          <cell r="B1069">
            <v>188111000000</v>
          </cell>
          <cell r="C1069" t="str">
            <v>R PEOTTA ENGENHARIA E CONSULTORIA</v>
          </cell>
          <cell r="D1069">
            <v>0</v>
          </cell>
          <cell r="E1069">
            <v>0</v>
          </cell>
          <cell r="F1069">
            <v>0</v>
          </cell>
          <cell r="G1069">
            <v>0</v>
          </cell>
        </row>
        <row r="1070">
          <cell r="B1070">
            <v>21728300000000</v>
          </cell>
          <cell r="C1070" t="str">
            <v>JSM SOLUÇÕES LOGÍSTICAS E TRANSPORTE</v>
          </cell>
          <cell r="D1070">
            <v>0</v>
          </cell>
          <cell r="E1070">
            <v>0</v>
          </cell>
          <cell r="F1070">
            <v>0</v>
          </cell>
          <cell r="G1070">
            <v>0</v>
          </cell>
        </row>
        <row r="1071">
          <cell r="B1071">
            <v>82429600000000</v>
          </cell>
          <cell r="C1071" t="str">
            <v>CENOFISCO EDIT. DE PUBLICAÇÕES TRIBUTÁRIAS</v>
          </cell>
          <cell r="D1071">
            <v>0</v>
          </cell>
          <cell r="E1071">
            <v>0</v>
          </cell>
          <cell r="F1071">
            <v>0</v>
          </cell>
          <cell r="G1071">
            <v>0</v>
          </cell>
        </row>
        <row r="1072">
          <cell r="B1072">
            <v>3861430000000</v>
          </cell>
          <cell r="C1072" t="str">
            <v>CHÁ COM NOZES PROPAGANDA LTDA</v>
          </cell>
          <cell r="D1072">
            <v>0</v>
          </cell>
          <cell r="E1072">
            <v>0</v>
          </cell>
          <cell r="F1072">
            <v>0</v>
          </cell>
          <cell r="G1072">
            <v>0</v>
          </cell>
        </row>
        <row r="1073">
          <cell r="B1073">
            <v>7718940000000</v>
          </cell>
          <cell r="C1073" t="str">
            <v>ZILMA WAVGENCZAK ME.</v>
          </cell>
          <cell r="D1073">
            <v>0</v>
          </cell>
          <cell r="E1073">
            <v>140</v>
          </cell>
          <cell r="F1073">
            <v>-140</v>
          </cell>
          <cell r="G1073">
            <v>0</v>
          </cell>
        </row>
        <row r="1074">
          <cell r="B1074">
            <v>9474730000000</v>
          </cell>
          <cell r="C1074" t="str">
            <v>SINAPSIS INOVACAO EM ENERGIA S/S LTDA</v>
          </cell>
          <cell r="D1074">
            <v>0</v>
          </cell>
          <cell r="E1074">
            <v>0</v>
          </cell>
          <cell r="F1074">
            <v>0</v>
          </cell>
          <cell r="G1074">
            <v>0</v>
          </cell>
        </row>
        <row r="1075">
          <cell r="B1075">
            <v>6923780000000</v>
          </cell>
          <cell r="C1075" t="str">
            <v>MIRIAN ISABEL SAY - MEI</v>
          </cell>
          <cell r="D1075">
            <v>0</v>
          </cell>
          <cell r="E1075">
            <v>0</v>
          </cell>
          <cell r="F1075">
            <v>0</v>
          </cell>
          <cell r="G1075">
            <v>0</v>
          </cell>
        </row>
        <row r="1076">
          <cell r="B1076">
            <v>20666900000000</v>
          </cell>
          <cell r="C1076" t="str">
            <v>M&amp;D CURSOS E TREINAMENTOS</v>
          </cell>
          <cell r="D1076">
            <v>0</v>
          </cell>
          <cell r="E1076">
            <v>0</v>
          </cell>
          <cell r="F1076">
            <v>0</v>
          </cell>
          <cell r="G1076">
            <v>0</v>
          </cell>
        </row>
        <row r="1077">
          <cell r="B1077">
            <v>42521100000000</v>
          </cell>
          <cell r="C1077" t="str">
            <v>INSTITUTO NACIONAL DA PROPRIEDADE INDUSTRIAL</v>
          </cell>
          <cell r="D1077">
            <v>0</v>
          </cell>
          <cell r="E1077">
            <v>0</v>
          </cell>
          <cell r="F1077">
            <v>0</v>
          </cell>
          <cell r="G1077">
            <v>0</v>
          </cell>
        </row>
        <row r="1078">
          <cell r="B1078">
            <v>18133000000000</v>
          </cell>
          <cell r="C1078" t="str">
            <v>CAPACITY TREINAMENTO E APERFEIÇOAMENTO</v>
          </cell>
          <cell r="D1078">
            <v>0</v>
          </cell>
          <cell r="E1078">
            <v>0</v>
          </cell>
          <cell r="F1078">
            <v>0</v>
          </cell>
          <cell r="G1078">
            <v>0</v>
          </cell>
        </row>
        <row r="1079">
          <cell r="B1079">
            <v>9079570000000</v>
          </cell>
          <cell r="C1079" t="str">
            <v>TOTAL LIFE ASSISTENCIA A VIDA LTDA</v>
          </cell>
          <cell r="D1079">
            <v>-2093.46</v>
          </cell>
          <cell r="E1079">
            <v>4093.46</v>
          </cell>
          <cell r="F1079">
            <v>-2000</v>
          </cell>
          <cell r="G1079">
            <v>0</v>
          </cell>
        </row>
        <row r="1080">
          <cell r="B1080">
            <v>23880600000000</v>
          </cell>
          <cell r="C1080" t="str">
            <v>WETALK TECNOLOGIA DA INFORMAÇÃO</v>
          </cell>
          <cell r="D1080">
            <v>0</v>
          </cell>
          <cell r="E1080">
            <v>0</v>
          </cell>
          <cell r="F1080">
            <v>0</v>
          </cell>
          <cell r="G1080">
            <v>0</v>
          </cell>
        </row>
        <row r="1081">
          <cell r="B1081">
            <v>15394700000000</v>
          </cell>
          <cell r="C1081" t="str">
            <v>GET CLEAN HIGIENIZACAO EIRELI</v>
          </cell>
          <cell r="D1081">
            <v>0</v>
          </cell>
          <cell r="E1081">
            <v>0</v>
          </cell>
          <cell r="F1081">
            <v>0</v>
          </cell>
          <cell r="G1081">
            <v>0</v>
          </cell>
        </row>
        <row r="1082">
          <cell r="B1082">
            <v>6070150000000</v>
          </cell>
          <cell r="C1082" t="str">
            <v>INSPER INST. DE ENSINO E PESQUISA</v>
          </cell>
          <cell r="D1082">
            <v>0</v>
          </cell>
          <cell r="E1082">
            <v>0</v>
          </cell>
          <cell r="F1082">
            <v>0</v>
          </cell>
          <cell r="G1082">
            <v>0</v>
          </cell>
        </row>
        <row r="1083">
          <cell r="B1083">
            <v>6097870000000</v>
          </cell>
          <cell r="C1083" t="str">
            <v>UNIVET SERVIÇOS ESPECIALIZADOS DE DESINSETIZAÇAO LTDA</v>
          </cell>
          <cell r="D1083">
            <v>0</v>
          </cell>
          <cell r="E1083">
            <v>0</v>
          </cell>
          <cell r="F1083">
            <v>0</v>
          </cell>
          <cell r="G1083">
            <v>0</v>
          </cell>
        </row>
        <row r="1084">
          <cell r="B1084">
            <v>54207700000000</v>
          </cell>
          <cell r="C1084" t="str">
            <v>AEA ASSOCIAÇÃO BRAS. DE ENGENHARIA AUTOMOTIVA</v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</row>
        <row r="1085">
          <cell r="B1085">
            <v>8537930000000</v>
          </cell>
          <cell r="C1085" t="str">
            <v>SISTAB TEC-COMERCIO E SERVIÇOS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</row>
        <row r="1086">
          <cell r="B1086">
            <v>38405100000000</v>
          </cell>
          <cell r="C1086" t="str">
            <v>VACIVITTA IMUNIZAÇÃO HUMANA</v>
          </cell>
          <cell r="D1086">
            <v>0</v>
          </cell>
          <cell r="E1086">
            <v>0</v>
          </cell>
          <cell r="F1086">
            <v>0</v>
          </cell>
          <cell r="G1086">
            <v>0</v>
          </cell>
        </row>
        <row r="1087">
          <cell r="B1087">
            <v>39545600000000</v>
          </cell>
          <cell r="C1087" t="str">
            <v>CVE EVENTOS LTDA</v>
          </cell>
          <cell r="D1087">
            <v>0</v>
          </cell>
          <cell r="E1087">
            <v>0</v>
          </cell>
          <cell r="F1087">
            <v>0</v>
          </cell>
          <cell r="G1087">
            <v>0</v>
          </cell>
        </row>
        <row r="1088">
          <cell r="B1088">
            <v>19088600000000</v>
          </cell>
          <cell r="C1088" t="str">
            <v>MGS CLEAN SOLUÇÕES E SERVIÇOS</v>
          </cell>
          <cell r="D1088">
            <v>-60000</v>
          </cell>
          <cell r="E1088">
            <v>89455.46</v>
          </cell>
          <cell r="F1088">
            <v>-89455.46</v>
          </cell>
          <cell r="G1088">
            <v>60000</v>
          </cell>
        </row>
        <row r="1089">
          <cell r="B1089">
            <v>23392000000000</v>
          </cell>
          <cell r="C1089" t="str">
            <v>JARDEL BECK PALESTRAS MAGICAS EIRELI</v>
          </cell>
          <cell r="D1089">
            <v>0</v>
          </cell>
          <cell r="E1089">
            <v>0</v>
          </cell>
          <cell r="F1089">
            <v>0</v>
          </cell>
          <cell r="G1089">
            <v>0</v>
          </cell>
        </row>
        <row r="1090">
          <cell r="B1090">
            <v>31455700000000</v>
          </cell>
          <cell r="C1090" t="str">
            <v>OFFICELESS EMPREENDEDORISMO E CONSULTORIA</v>
          </cell>
          <cell r="D1090">
            <v>0</v>
          </cell>
          <cell r="E1090">
            <v>0</v>
          </cell>
          <cell r="F1090">
            <v>0</v>
          </cell>
          <cell r="G1090">
            <v>0</v>
          </cell>
        </row>
        <row r="1091">
          <cell r="B1091">
            <v>398099000000</v>
          </cell>
          <cell r="C1091" t="str">
            <v>ASSOCIAÇÃO BRASILEIRA DE ORÇAMENTO PÚBLICO</v>
          </cell>
          <cell r="D1091">
            <v>0</v>
          </cell>
          <cell r="E1091">
            <v>0</v>
          </cell>
          <cell r="F1091">
            <v>0</v>
          </cell>
          <cell r="G1091">
            <v>0</v>
          </cell>
        </row>
        <row r="1092">
          <cell r="B1092">
            <v>10242700000000</v>
          </cell>
          <cell r="C1092" t="str">
            <v>BUYSOFT DO BRASIL LTDA</v>
          </cell>
          <cell r="D1092">
            <v>0</v>
          </cell>
          <cell r="E1092">
            <v>0</v>
          </cell>
          <cell r="F1092">
            <v>0</v>
          </cell>
          <cell r="G1092">
            <v>0</v>
          </cell>
        </row>
        <row r="1093">
          <cell r="B1093">
            <v>34036200000000</v>
          </cell>
          <cell r="C1093" t="str">
            <v>TIME MULTISSERVIÇOS LTDA</v>
          </cell>
          <cell r="D1093">
            <v>-60000</v>
          </cell>
          <cell r="E1093">
            <v>128688.98</v>
          </cell>
          <cell r="F1093">
            <v>-128688.98</v>
          </cell>
          <cell r="G1093">
            <v>60000</v>
          </cell>
        </row>
        <row r="1094">
          <cell r="B1094">
            <v>36813600000000</v>
          </cell>
          <cell r="C1094" t="str">
            <v>GESTÃO QUANTUM CENTRO DE PROC CONTÁBIL</v>
          </cell>
          <cell r="D1094">
            <v>-12833.33</v>
          </cell>
          <cell r="E1094">
            <v>12833.33</v>
          </cell>
          <cell r="F1094">
            <v>-12833.33</v>
          </cell>
          <cell r="G1094">
            <v>12833.33</v>
          </cell>
        </row>
        <row r="1095">
          <cell r="B1095">
            <v>29500300000000</v>
          </cell>
          <cell r="C1095" t="str">
            <v>LSF COM. E SERV. DE IMPRESSAO EIRELLI-EPP</v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</row>
        <row r="1096">
          <cell r="B1096">
            <v>8984710000000</v>
          </cell>
          <cell r="C1096" t="str">
            <v>CONPROVE TECNOLOGIA E PESQUISAS LTDA - EPP</v>
          </cell>
          <cell r="D1096">
            <v>0</v>
          </cell>
          <cell r="E1096">
            <v>0</v>
          </cell>
          <cell r="F1096">
            <v>0</v>
          </cell>
          <cell r="G1096">
            <v>0</v>
          </cell>
        </row>
        <row r="1097">
          <cell r="B1097">
            <v>34746200000000</v>
          </cell>
          <cell r="C1097" t="str">
            <v>POTENCIA DIVERSA CONSULTORIA</v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</row>
        <row r="1098">
          <cell r="B1098">
            <v>191477000000</v>
          </cell>
          <cell r="C1098" t="str">
            <v>INFORMA MARKETS LTDA</v>
          </cell>
          <cell r="D1098">
            <v>0</v>
          </cell>
          <cell r="E1098">
            <v>0</v>
          </cell>
          <cell r="F1098">
            <v>0</v>
          </cell>
          <cell r="G1098">
            <v>0</v>
          </cell>
        </row>
        <row r="1099">
          <cell r="B1099">
            <v>127155000000</v>
          </cell>
          <cell r="C1099" t="str">
            <v>SOCIEDADE BRASILEIRA DE ECONOMIA ECOLOGICA</v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</row>
        <row r="1100">
          <cell r="B1100">
            <v>8294690000000</v>
          </cell>
          <cell r="C1100" t="str">
            <v>WAYCARBON SOLUCOES AMBIENTAIS E PROJETOS DE CARBONO LT</v>
          </cell>
          <cell r="D1100">
            <v>0</v>
          </cell>
          <cell r="E1100">
            <v>60000</v>
          </cell>
          <cell r="F1100">
            <v>-60000</v>
          </cell>
          <cell r="G1100">
            <v>0</v>
          </cell>
        </row>
        <row r="1101">
          <cell r="B1101">
            <v>2971570000000</v>
          </cell>
          <cell r="C1101" t="str">
            <v>BSD CONSULTORIA LTDA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</row>
        <row r="1102">
          <cell r="B1102">
            <v>5045200000000</v>
          </cell>
          <cell r="C1102" t="str">
            <v>ASSOCIAÇÃO BRASILEIRA DE GERADORAS TERMELETRICAS ABRAG</v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</row>
        <row r="1103">
          <cell r="B1103">
            <v>9187216795</v>
          </cell>
          <cell r="C1103" t="str">
            <v>NAYANA AGNI LOURENÇO MARINS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</row>
        <row r="1104">
          <cell r="B1104">
            <v>16586600000000</v>
          </cell>
          <cell r="C1104" t="str">
            <v>DIEGO MARCELO F. TRAVEZ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</row>
        <row r="1105">
          <cell r="B1105">
            <v>5506560000000</v>
          </cell>
          <cell r="C1105" t="str">
            <v>NÚCLEO DE INFORMAÇÃO E COORDENAÇÃO DO PONTO BR - NIC.BR</v>
          </cell>
          <cell r="D1105">
            <v>0</v>
          </cell>
          <cell r="E1105">
            <v>0</v>
          </cell>
          <cell r="F1105">
            <v>0</v>
          </cell>
          <cell r="G1105">
            <v>0</v>
          </cell>
        </row>
        <row r="1106">
          <cell r="B1106">
            <v>11772400000000</v>
          </cell>
          <cell r="C1106" t="str">
            <v>RAPHAEL DIAS XAVIER</v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</row>
        <row r="1107">
          <cell r="B1107">
            <v>3657350000000</v>
          </cell>
          <cell r="C1107" t="str">
            <v>ASSOCIAÇÃO BRASILEIRA DE AGENCIAS DE REGULAÇÃO - ABAR</v>
          </cell>
          <cell r="D1107">
            <v>0</v>
          </cell>
          <cell r="E1107">
            <v>0</v>
          </cell>
          <cell r="F1107">
            <v>0</v>
          </cell>
          <cell r="G1107">
            <v>0</v>
          </cell>
        </row>
        <row r="1108">
          <cell r="B1108" t="str">
            <v>000000004906-95</v>
          </cell>
          <cell r="C1108" t="str">
            <v>BANCO DO BRASIL S/A</v>
          </cell>
          <cell r="D1108">
            <v>0</v>
          </cell>
          <cell r="E1108">
            <v>0</v>
          </cell>
          <cell r="F1108">
            <v>0</v>
          </cell>
          <cell r="G1108">
            <v>0</v>
          </cell>
        </row>
        <row r="1109">
          <cell r="B1109">
            <v>39271400000000</v>
          </cell>
          <cell r="C1109" t="str">
            <v>X VOTE SISTEMAS DE VOTACAO ELETRONICA LTDA</v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</row>
        <row r="1110">
          <cell r="B1110">
            <v>36692300000000</v>
          </cell>
          <cell r="C1110" t="str">
            <v>SINERGYA TREINAMENTOS LTDA</v>
          </cell>
          <cell r="D1110">
            <v>0</v>
          </cell>
          <cell r="E1110">
            <v>0</v>
          </cell>
          <cell r="F1110">
            <v>0</v>
          </cell>
          <cell r="G1110">
            <v>0</v>
          </cell>
        </row>
        <row r="1111">
          <cell r="B1111">
            <v>33736300000000</v>
          </cell>
          <cell r="C1111" t="str">
            <v>DM CRIACAO E DISTRIBUICAO DE CONTEUDO EIRELI</v>
          </cell>
          <cell r="D1111">
            <v>0</v>
          </cell>
          <cell r="E1111">
            <v>0</v>
          </cell>
          <cell r="F1111">
            <v>0</v>
          </cell>
          <cell r="G1111">
            <v>0</v>
          </cell>
        </row>
        <row r="1112">
          <cell r="B1112">
            <v>34977900000000</v>
          </cell>
          <cell r="C1112" t="str">
            <v>RMA ENGENHARIA LTDA</v>
          </cell>
          <cell r="D1112">
            <v>-1400</v>
          </cell>
          <cell r="E1112">
            <v>1400</v>
          </cell>
          <cell r="F1112">
            <v>0</v>
          </cell>
          <cell r="G1112">
            <v>0</v>
          </cell>
        </row>
        <row r="1113">
          <cell r="B1113">
            <v>40949200000000</v>
          </cell>
          <cell r="C1113" t="str">
            <v>DIANA BONAR SACILOTTI CURRIE DESENVOLVIMENTO</v>
          </cell>
          <cell r="D1113">
            <v>0</v>
          </cell>
          <cell r="E1113">
            <v>0</v>
          </cell>
          <cell r="F1113">
            <v>0</v>
          </cell>
          <cell r="G1113">
            <v>0</v>
          </cell>
        </row>
        <row r="1114">
          <cell r="B1114">
            <v>2279910000000</v>
          </cell>
          <cell r="C1114" t="str">
            <v>DAIMON ENGENHARIA E SISTEMAS S/S LTDA</v>
          </cell>
          <cell r="D1114">
            <v>0</v>
          </cell>
          <cell r="E1114">
            <v>0</v>
          </cell>
          <cell r="F1114">
            <v>0</v>
          </cell>
          <cell r="G1114">
            <v>0</v>
          </cell>
        </row>
        <row r="1115">
          <cell r="B1115">
            <v>8789660000000</v>
          </cell>
          <cell r="C1115" t="str">
            <v>FREE JOBS DESENVOLVIMENTO DE SOFTWARE LTDA</v>
          </cell>
          <cell r="D1115">
            <v>0</v>
          </cell>
          <cell r="E1115">
            <v>0</v>
          </cell>
          <cell r="F1115">
            <v>0</v>
          </cell>
          <cell r="G1115">
            <v>0</v>
          </cell>
        </row>
        <row r="1116">
          <cell r="B1116">
            <v>25131900000000</v>
          </cell>
          <cell r="C1116" t="str">
            <v>MOBIX ORGANIZACAO E PRODUCAO DE EVENTOS LTDA</v>
          </cell>
          <cell r="D1116">
            <v>0</v>
          </cell>
          <cell r="E1116">
            <v>0</v>
          </cell>
          <cell r="F1116">
            <v>0</v>
          </cell>
          <cell r="G1116">
            <v>0</v>
          </cell>
        </row>
        <row r="1117">
          <cell r="B1117">
            <v>33267100000000</v>
          </cell>
          <cell r="C1117" t="str">
            <v>KANELS VAREJO ESPECIALIZADO EM EQUIPAMENTOS DE AUDIO E VIDEO EIRELI</v>
          </cell>
          <cell r="D1117">
            <v>0</v>
          </cell>
          <cell r="E1117">
            <v>0</v>
          </cell>
          <cell r="F1117">
            <v>0</v>
          </cell>
          <cell r="G1117">
            <v>0</v>
          </cell>
        </row>
        <row r="1118">
          <cell r="B1118">
            <v>33198300000000</v>
          </cell>
          <cell r="C1118" t="str">
            <v>REFRIGERACAO IV CENTENARIO EIRELI</v>
          </cell>
          <cell r="D1118">
            <v>0</v>
          </cell>
          <cell r="E1118">
            <v>499.6</v>
          </cell>
          <cell r="F1118">
            <v>-499.6</v>
          </cell>
          <cell r="G1118">
            <v>0</v>
          </cell>
        </row>
        <row r="1119">
          <cell r="B1119">
            <v>26543900000000</v>
          </cell>
          <cell r="C1119" t="str">
            <v>GRAPHIX COPIAS E IMPRESSOES EIRELI ME</v>
          </cell>
          <cell r="D1119">
            <v>0</v>
          </cell>
          <cell r="E1119">
            <v>0</v>
          </cell>
          <cell r="F1119">
            <v>0</v>
          </cell>
          <cell r="G1119">
            <v>0</v>
          </cell>
        </row>
        <row r="1120">
          <cell r="B1120">
            <v>41986100000000</v>
          </cell>
          <cell r="C1120" t="str">
            <v>PSYDEMY ENGENHARIA LTDA</v>
          </cell>
          <cell r="D1120">
            <v>0</v>
          </cell>
          <cell r="E1120">
            <v>0</v>
          </cell>
          <cell r="F1120">
            <v>0</v>
          </cell>
          <cell r="G1120">
            <v>0</v>
          </cell>
        </row>
        <row r="1121">
          <cell r="B1121">
            <v>10740900000000</v>
          </cell>
          <cell r="C1121" t="str">
            <v>A &amp; A TRADUCOES E INTERPRETACOES LTDA</v>
          </cell>
          <cell r="D1121">
            <v>0</v>
          </cell>
          <cell r="E1121">
            <v>1392</v>
          </cell>
          <cell r="F1121">
            <v>-1392</v>
          </cell>
          <cell r="G1121">
            <v>0</v>
          </cell>
        </row>
        <row r="1122">
          <cell r="B1122">
            <v>26058300000000</v>
          </cell>
          <cell r="C1122" t="str">
            <v>CONQUER HOLDING EDUCACIONAL S.A.</v>
          </cell>
          <cell r="D1122">
            <v>0</v>
          </cell>
          <cell r="E1122">
            <v>0</v>
          </cell>
          <cell r="F1122">
            <v>0</v>
          </cell>
          <cell r="G1122">
            <v>0</v>
          </cell>
        </row>
        <row r="1123">
          <cell r="B1123">
            <v>28712100000000</v>
          </cell>
          <cell r="C1123" t="str">
            <v>MODULO SECURITY SOLUTIONS EM RECUPERACAO JUDICIAL</v>
          </cell>
          <cell r="D1123">
            <v>0</v>
          </cell>
          <cell r="E1123">
            <v>4500</v>
          </cell>
          <cell r="F1123">
            <v>-4500</v>
          </cell>
          <cell r="G1123">
            <v>0</v>
          </cell>
        </row>
        <row r="1124">
          <cell r="B1124">
            <v>30363400000000</v>
          </cell>
          <cell r="C1124" t="str">
            <v>KEILA AMORIM DE MELO</v>
          </cell>
          <cell r="D1124">
            <v>0</v>
          </cell>
          <cell r="E1124">
            <v>0</v>
          </cell>
          <cell r="F1124">
            <v>0</v>
          </cell>
          <cell r="G1124">
            <v>0</v>
          </cell>
        </row>
        <row r="1125">
          <cell r="B1125">
            <v>2189920000000</v>
          </cell>
          <cell r="C1125" t="str">
            <v>DELOITTE TOUCHE TOHMATSU CONSULTORES LTDA</v>
          </cell>
          <cell r="D1125">
            <v>0</v>
          </cell>
          <cell r="E1125">
            <v>0</v>
          </cell>
          <cell r="F1125">
            <v>0</v>
          </cell>
          <cell r="G1125">
            <v>0</v>
          </cell>
        </row>
        <row r="1126">
          <cell r="B1126">
            <v>10907000000000</v>
          </cell>
          <cell r="C1126" t="str">
            <v>APPROACH COMUNICAÇÃO INTEGRADA LTDA</v>
          </cell>
          <cell r="D1126">
            <v>0</v>
          </cell>
          <cell r="E1126">
            <v>0</v>
          </cell>
          <cell r="F1126">
            <v>0</v>
          </cell>
          <cell r="G1126">
            <v>0</v>
          </cell>
        </row>
        <row r="1127">
          <cell r="B1127">
            <v>37165100000000</v>
          </cell>
          <cell r="C1127" t="str">
            <v>GD TREINAMENTOS LTDA</v>
          </cell>
          <cell r="D1127">
            <v>0</v>
          </cell>
          <cell r="E1127">
            <v>0</v>
          </cell>
          <cell r="F1127">
            <v>0</v>
          </cell>
          <cell r="G1127">
            <v>0</v>
          </cell>
        </row>
        <row r="1128">
          <cell r="B1128">
            <v>1406620000000</v>
          </cell>
          <cell r="C1128" t="str">
            <v>AGENCIA DE INTEGRAÇÃO ESCOLA LTDA</v>
          </cell>
          <cell r="D1128">
            <v>0</v>
          </cell>
          <cell r="E1128">
            <v>44388.68</v>
          </cell>
          <cell r="F1128">
            <v>-44388.68</v>
          </cell>
          <cell r="G1128">
            <v>0</v>
          </cell>
        </row>
        <row r="1129">
          <cell r="B1129">
            <v>12499500000000</v>
          </cell>
          <cell r="C1129" t="str">
            <v>CLICKSIGN GESTAO DE DOCUMENTOS S/A</v>
          </cell>
          <cell r="D1129">
            <v>0</v>
          </cell>
          <cell r="E1129">
            <v>118.8</v>
          </cell>
          <cell r="F1129">
            <v>-118.8</v>
          </cell>
          <cell r="G1129">
            <v>0</v>
          </cell>
        </row>
        <row r="1130">
          <cell r="B1130">
            <v>38538400000000</v>
          </cell>
          <cell r="C1130" t="str">
            <v>THIAGO PINTO MARTINS</v>
          </cell>
          <cell r="D1130">
            <v>0</v>
          </cell>
          <cell r="E1130">
            <v>0</v>
          </cell>
          <cell r="F1130">
            <v>0</v>
          </cell>
          <cell r="G1130">
            <v>0</v>
          </cell>
        </row>
        <row r="1131">
          <cell r="B1131">
            <v>29973800000000</v>
          </cell>
          <cell r="C1131" t="str">
            <v>CALESMON ENGENHARIA LTDA</v>
          </cell>
          <cell r="D1131">
            <v>0</v>
          </cell>
          <cell r="E1131">
            <v>0</v>
          </cell>
          <cell r="F1131">
            <v>0</v>
          </cell>
          <cell r="G1131">
            <v>0</v>
          </cell>
        </row>
        <row r="1132">
          <cell r="B1132">
            <v>17079200000000</v>
          </cell>
          <cell r="C1132" t="str">
            <v>THYMOS ENERGIA ENGENHARIA E CONSULTORIA LTDA</v>
          </cell>
          <cell r="D1132">
            <v>0</v>
          </cell>
          <cell r="E1132">
            <v>0</v>
          </cell>
          <cell r="F1132">
            <v>0</v>
          </cell>
          <cell r="G1132">
            <v>0</v>
          </cell>
        </row>
        <row r="1133">
          <cell r="B1133">
            <v>789920000000</v>
          </cell>
          <cell r="C1133" t="str">
            <v>DRIKA INDUSTRIA E COMERCIO DE PRODUTOS PROMOCIONAIS EIRELI</v>
          </cell>
          <cell r="D1133">
            <v>0</v>
          </cell>
          <cell r="E1133">
            <v>0</v>
          </cell>
          <cell r="F1133">
            <v>0</v>
          </cell>
          <cell r="G1133">
            <v>0</v>
          </cell>
        </row>
        <row r="1134">
          <cell r="B1134">
            <v>7843950000000</v>
          </cell>
          <cell r="C1134" t="str">
            <v>CHESTNUT GLOBAL PARTNERS DO BRASIL LTDA</v>
          </cell>
          <cell r="D1134">
            <v>0</v>
          </cell>
          <cell r="E1134">
            <v>2750</v>
          </cell>
          <cell r="F1134">
            <v>-2750</v>
          </cell>
          <cell r="G1134">
            <v>0</v>
          </cell>
        </row>
        <row r="1135">
          <cell r="B1135">
            <v>6977750000000</v>
          </cell>
          <cell r="C1135" t="str">
            <v>FUNCIONAL MOVEIS DE AÇO LTDA</v>
          </cell>
          <cell r="D1135">
            <v>0</v>
          </cell>
          <cell r="E1135">
            <v>0</v>
          </cell>
          <cell r="F1135">
            <v>0</v>
          </cell>
          <cell r="G1135">
            <v>0</v>
          </cell>
        </row>
        <row r="1136">
          <cell r="B1136">
            <v>72061000000000</v>
          </cell>
          <cell r="C1136" t="str">
            <v>FUNDACAO COORDENACAO DE PROJETOS PESQUISAS E ESTUDOS</v>
          </cell>
          <cell r="D1136">
            <v>0</v>
          </cell>
          <cell r="E1136">
            <v>82934.789999999994</v>
          </cell>
          <cell r="F1136">
            <v>-82934.789999999994</v>
          </cell>
          <cell r="G1136">
            <v>0</v>
          </cell>
        </row>
        <row r="1137">
          <cell r="B1137">
            <v>24091600000000</v>
          </cell>
          <cell r="C1137" t="str">
            <v>INOVE TREINAMENTOS LTDA-ME</v>
          </cell>
          <cell r="D1137">
            <v>0</v>
          </cell>
          <cell r="E1137">
            <v>0</v>
          </cell>
          <cell r="F1137">
            <v>0</v>
          </cell>
          <cell r="G1137">
            <v>0</v>
          </cell>
        </row>
        <row r="1138">
          <cell r="B1138">
            <v>35419400000000</v>
          </cell>
          <cell r="C1138" t="str">
            <v>HIGH SERVICOS DE COMPLIANCE LTDA</v>
          </cell>
          <cell r="D1138">
            <v>0</v>
          </cell>
          <cell r="E1138">
            <v>0</v>
          </cell>
          <cell r="F1138">
            <v>-1291.67</v>
          </cell>
          <cell r="G1138">
            <v>1291.67</v>
          </cell>
        </row>
        <row r="1139">
          <cell r="B1139">
            <v>81188500000000</v>
          </cell>
          <cell r="C1139" t="str">
            <v>STCP - ENGENHARIA DE PROJETOS LTDA</v>
          </cell>
          <cell r="D1139">
            <v>0</v>
          </cell>
          <cell r="E1139">
            <v>0</v>
          </cell>
          <cell r="F1139">
            <v>0</v>
          </cell>
          <cell r="G1139">
            <v>0</v>
          </cell>
        </row>
        <row r="1140">
          <cell r="B1140">
            <v>12979000000000</v>
          </cell>
          <cell r="C1140" t="str">
            <v>T &amp; S LOCACAO DE MAO DE OBRA EM GERAL EIRELI</v>
          </cell>
          <cell r="D1140">
            <v>0</v>
          </cell>
          <cell r="E1140">
            <v>3607.95</v>
          </cell>
          <cell r="F1140">
            <v>-32799.519999999997</v>
          </cell>
          <cell r="G1140">
            <v>29191.57</v>
          </cell>
        </row>
        <row r="1141">
          <cell r="B1141">
            <v>23689400000000</v>
          </cell>
          <cell r="C1141" t="str">
            <v>SPUTNIK CURSOS LTDA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</row>
        <row r="1142">
          <cell r="B1142">
            <v>38056400000000</v>
          </cell>
          <cell r="C1142" t="str">
            <v>IOS INFORMATICA, ORGANIZACAO E SISTEMAS LTDA</v>
          </cell>
          <cell r="D1142">
            <v>-32699.97</v>
          </cell>
          <cell r="E1142">
            <v>36873.129999999997</v>
          </cell>
          <cell r="F1142">
            <v>-32225.23</v>
          </cell>
          <cell r="G1142">
            <v>28052.07</v>
          </cell>
        </row>
        <row r="1143">
          <cell r="B1143">
            <v>15809100000000</v>
          </cell>
          <cell r="C1143" t="str">
            <v>SHIELD SEGURANÇA DA INFORMAÇÃO E CONSULTORIA LTDA</v>
          </cell>
          <cell r="D1143">
            <v>0</v>
          </cell>
          <cell r="E1143">
            <v>0</v>
          </cell>
          <cell r="F1143">
            <v>0</v>
          </cell>
          <cell r="G1143">
            <v>0</v>
          </cell>
        </row>
        <row r="1144">
          <cell r="B1144">
            <v>30135800000000</v>
          </cell>
          <cell r="C1144" t="str">
            <v>GLEICE DE SOUZA SILVA</v>
          </cell>
          <cell r="D1144">
            <v>0</v>
          </cell>
          <cell r="E1144">
            <v>0</v>
          </cell>
          <cell r="F1144">
            <v>0</v>
          </cell>
          <cell r="G1144">
            <v>0</v>
          </cell>
        </row>
        <row r="1145">
          <cell r="B1145">
            <v>14113000000000</v>
          </cell>
          <cell r="C1145" t="str">
            <v>DIVERSA CONSULTORIA E PLANEJAMENTO EM SUSTENTABILIDADE</v>
          </cell>
          <cell r="D1145">
            <v>0</v>
          </cell>
          <cell r="E1145">
            <v>0</v>
          </cell>
          <cell r="F1145">
            <v>0</v>
          </cell>
          <cell r="G1145">
            <v>0</v>
          </cell>
        </row>
        <row r="1146">
          <cell r="B1146">
            <v>43213800000000</v>
          </cell>
          <cell r="C1146" t="str">
            <v>EMERSON PROCESS MANAGEMENT LTDA</v>
          </cell>
          <cell r="D1146">
            <v>0</v>
          </cell>
          <cell r="E1146">
            <v>0</v>
          </cell>
          <cell r="F1146">
            <v>0</v>
          </cell>
          <cell r="G1146">
            <v>0</v>
          </cell>
        </row>
        <row r="1147">
          <cell r="B1147">
            <v>45078200000000</v>
          </cell>
          <cell r="C1147" t="str">
            <v>CARLOS EDUARDO ALVES DE ABREU</v>
          </cell>
          <cell r="D1147">
            <v>-44940</v>
          </cell>
          <cell r="E1147">
            <v>44940</v>
          </cell>
          <cell r="F1147">
            <v>0</v>
          </cell>
          <cell r="G1147">
            <v>0</v>
          </cell>
        </row>
        <row r="1148">
          <cell r="B1148">
            <v>7857620000000</v>
          </cell>
          <cell r="C1148" t="str">
            <v>MENEZES NIEBUHR SOCIEDADE DE ADVOGADOS</v>
          </cell>
          <cell r="D1148">
            <v>0</v>
          </cell>
          <cell r="E1148">
            <v>60000</v>
          </cell>
          <cell r="F1148">
            <v>-60000</v>
          </cell>
          <cell r="G1148">
            <v>0</v>
          </cell>
        </row>
        <row r="1149">
          <cell r="B1149">
            <v>1708170000000</v>
          </cell>
          <cell r="C1149" t="str">
            <v>KPMG CONSULTORIA LTDA</v>
          </cell>
          <cell r="D1149">
            <v>0</v>
          </cell>
          <cell r="E1149">
            <v>37728.9</v>
          </cell>
          <cell r="F1149">
            <v>-37728.9</v>
          </cell>
          <cell r="G1149">
            <v>0</v>
          </cell>
        </row>
        <row r="1150">
          <cell r="B1150">
            <v>6220430000000</v>
          </cell>
          <cell r="C1150" t="str">
            <v>FUNDAÇÃO DE APOIO AO DESENVOLVIMENTO DA COMPUTAÇÃO</v>
          </cell>
          <cell r="D1150">
            <v>0</v>
          </cell>
          <cell r="E1150">
            <v>0</v>
          </cell>
          <cell r="F1150">
            <v>-15000</v>
          </cell>
          <cell r="G1150">
            <v>15000</v>
          </cell>
        </row>
        <row r="1151">
          <cell r="B1151">
            <v>18310800000000</v>
          </cell>
          <cell r="C1151" t="str">
            <v>OBRA RIO REFORMAS REPAROS E COMERCIO LTDA</v>
          </cell>
          <cell r="D1151">
            <v>0</v>
          </cell>
          <cell r="E1151">
            <v>0</v>
          </cell>
          <cell r="F1151">
            <v>0</v>
          </cell>
          <cell r="G1151">
            <v>0</v>
          </cell>
        </row>
        <row r="1152">
          <cell r="B1152" t="str">
            <v>01707536/000104</v>
          </cell>
          <cell r="C1152" t="str">
            <v>ISH TECNOLOGIA S/A</v>
          </cell>
          <cell r="D1152">
            <v>0</v>
          </cell>
          <cell r="E1152">
            <v>0</v>
          </cell>
          <cell r="F1152">
            <v>0</v>
          </cell>
          <cell r="G1152">
            <v>0</v>
          </cell>
        </row>
        <row r="1153">
          <cell r="B1153">
            <v>2114998</v>
          </cell>
          <cell r="C1153" t="str">
            <v>Fornecedores a Classificar</v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</row>
        <row r="1154">
          <cell r="B1154">
            <v>2114999</v>
          </cell>
          <cell r="C1154" t="str">
            <v>Provisão de Fornecedores</v>
          </cell>
          <cell r="D1154">
            <v>0</v>
          </cell>
          <cell r="E1154">
            <v>0</v>
          </cell>
          <cell r="F1154">
            <v>0</v>
          </cell>
          <cell r="G1154">
            <v>0</v>
          </cell>
        </row>
        <row r="1155">
          <cell r="B1155">
            <v>2115</v>
          </cell>
          <cell r="C1155" t="str">
            <v>Fornecedores Estrangeiros</v>
          </cell>
          <cell r="D1155">
            <v>0</v>
          </cell>
          <cell r="E1155">
            <v>0</v>
          </cell>
          <cell r="F1155">
            <v>0</v>
          </cell>
          <cell r="G1155">
            <v>0</v>
          </cell>
        </row>
        <row r="1156">
          <cell r="B1156">
            <v>2115999</v>
          </cell>
          <cell r="C1156" t="str">
            <v>Fornecedores de Materiais e Serviços</v>
          </cell>
          <cell r="D1156">
            <v>0</v>
          </cell>
          <cell r="E1156">
            <v>0</v>
          </cell>
          <cell r="F1156">
            <v>0</v>
          </cell>
          <cell r="G1156">
            <v>0</v>
          </cell>
        </row>
        <row r="1157">
          <cell r="B1157">
            <v>2116</v>
          </cell>
          <cell r="C1157" t="str">
            <v>Obrigações Fiscais</v>
          </cell>
          <cell r="D1157">
            <v>-689647.67</v>
          </cell>
          <cell r="E1157">
            <v>689647.67</v>
          </cell>
          <cell r="F1157">
            <v>-4156.25</v>
          </cell>
          <cell r="G1157">
            <v>4156.25</v>
          </cell>
        </row>
        <row r="1158">
          <cell r="B1158">
            <v>21161</v>
          </cell>
          <cell r="C1158" t="str">
            <v>IRPJ a Recolher</v>
          </cell>
          <cell r="D1158">
            <v>-253821.66</v>
          </cell>
          <cell r="E1158">
            <v>253821.66</v>
          </cell>
          <cell r="F1158">
            <v>0</v>
          </cell>
          <cell r="G1158">
            <v>0</v>
          </cell>
        </row>
        <row r="1159">
          <cell r="B1159">
            <v>21162</v>
          </cell>
          <cell r="C1159" t="str">
            <v>PASEP a Recolher</v>
          </cell>
          <cell r="D1159">
            <v>-58853.54</v>
          </cell>
          <cell r="E1159">
            <v>58853.54</v>
          </cell>
          <cell r="F1159">
            <v>-580.98</v>
          </cell>
          <cell r="G1159">
            <v>580.98</v>
          </cell>
        </row>
        <row r="1160">
          <cell r="B1160">
            <v>21163</v>
          </cell>
          <cell r="C1160" t="str">
            <v>COFINS a Recolher</v>
          </cell>
          <cell r="D1160">
            <v>-275610.15000000002</v>
          </cell>
          <cell r="E1160">
            <v>275610.15000000002</v>
          </cell>
          <cell r="F1160">
            <v>-3575.27</v>
          </cell>
          <cell r="G1160">
            <v>3575.27</v>
          </cell>
        </row>
        <row r="1161">
          <cell r="B1161">
            <v>21164</v>
          </cell>
          <cell r="C1161" t="str">
            <v>ICMS a Recolher</v>
          </cell>
          <cell r="D1161">
            <v>0</v>
          </cell>
          <cell r="E1161">
            <v>0</v>
          </cell>
          <cell r="F1161">
            <v>0</v>
          </cell>
          <cell r="G1161">
            <v>0</v>
          </cell>
        </row>
        <row r="1162">
          <cell r="B1162">
            <v>21165</v>
          </cell>
          <cell r="C1162" t="str">
            <v>ISS a Recolher</v>
          </cell>
          <cell r="D1162">
            <v>0</v>
          </cell>
          <cell r="E1162">
            <v>0</v>
          </cell>
          <cell r="F1162">
            <v>0</v>
          </cell>
          <cell r="G1162">
            <v>0</v>
          </cell>
        </row>
        <row r="1163">
          <cell r="B1163">
            <v>21166</v>
          </cell>
          <cell r="C1163" t="str">
            <v>IPTU a Recolher</v>
          </cell>
          <cell r="D1163">
            <v>0</v>
          </cell>
          <cell r="E1163">
            <v>0</v>
          </cell>
          <cell r="F1163">
            <v>0</v>
          </cell>
          <cell r="G1163">
            <v>0</v>
          </cell>
        </row>
        <row r="1164">
          <cell r="B1164">
            <v>21167</v>
          </cell>
          <cell r="C1164" t="str">
            <v>CSLL a Recolher</v>
          </cell>
          <cell r="D1164">
            <v>-101362.32</v>
          </cell>
          <cell r="E1164">
            <v>101362.32</v>
          </cell>
          <cell r="F1164">
            <v>0</v>
          </cell>
          <cell r="G1164">
            <v>0</v>
          </cell>
        </row>
        <row r="1165">
          <cell r="B1165">
            <v>21168</v>
          </cell>
          <cell r="C1165" t="str">
            <v>CIDE s/Remessas p/ o exterior a Recolher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</row>
        <row r="1166">
          <cell r="B1166">
            <v>21169</v>
          </cell>
          <cell r="C1166" t="str">
            <v>Tributos a Recolher - Exerc Ant</v>
          </cell>
          <cell r="D1166">
            <v>0</v>
          </cell>
          <cell r="E1166">
            <v>0</v>
          </cell>
          <cell r="F1166">
            <v>0</v>
          </cell>
          <cell r="G1166">
            <v>0</v>
          </cell>
        </row>
        <row r="1167">
          <cell r="B1167">
            <v>2117</v>
          </cell>
          <cell r="C1167" t="str">
            <v>Retenções Tributárias</v>
          </cell>
          <cell r="D1167">
            <v>-766871.6</v>
          </cell>
          <cell r="E1167">
            <v>879061.99</v>
          </cell>
          <cell r="F1167">
            <v>-845823.6</v>
          </cell>
          <cell r="G1167">
            <v>733633.21</v>
          </cell>
        </row>
        <row r="1168">
          <cell r="B1168">
            <v>561</v>
          </cell>
          <cell r="C1168" t="str">
            <v>IRRF a Recolher de Empregados</v>
          </cell>
          <cell r="D1168">
            <v>-753572.77</v>
          </cell>
          <cell r="E1168">
            <v>801477.34</v>
          </cell>
          <cell r="F1168">
            <v>-767974.03</v>
          </cell>
          <cell r="G1168">
            <v>720069.46</v>
          </cell>
        </row>
        <row r="1169">
          <cell r="B1169">
            <v>21172</v>
          </cell>
          <cell r="C1169" t="str">
            <v>IRRF a Recolher de Terceiros</v>
          </cell>
          <cell r="D1169">
            <v>0</v>
          </cell>
          <cell r="E1169">
            <v>0</v>
          </cell>
          <cell r="F1169">
            <v>0</v>
          </cell>
          <cell r="G1169">
            <v>0</v>
          </cell>
        </row>
        <row r="1170">
          <cell r="B1170" t="str">
            <v>INSS</v>
          </cell>
          <cell r="C1170" t="str">
            <v>INSS DE TERCEIROS</v>
          </cell>
          <cell r="D1170">
            <v>-13298.83</v>
          </cell>
          <cell r="E1170">
            <v>14443.34</v>
          </cell>
          <cell r="F1170">
            <v>-14708.26</v>
          </cell>
          <cell r="G1170">
            <v>13563.75</v>
          </cell>
        </row>
        <row r="1171">
          <cell r="B1171" t="str">
            <v>PIS</v>
          </cell>
          <cell r="C1171" t="str">
            <v>PIS/PASEP de Terceiros</v>
          </cell>
          <cell r="D1171">
            <v>0</v>
          </cell>
          <cell r="E1171">
            <v>0</v>
          </cell>
          <cell r="F1171">
            <v>0</v>
          </cell>
          <cell r="G1171">
            <v>0</v>
          </cell>
        </row>
        <row r="1172">
          <cell r="B1172" t="str">
            <v>COFINS</v>
          </cell>
          <cell r="C1172" t="str">
            <v>COFINS de Terceiros</v>
          </cell>
          <cell r="D1172">
            <v>0</v>
          </cell>
          <cell r="E1172">
            <v>0</v>
          </cell>
          <cell r="F1172">
            <v>0</v>
          </cell>
          <cell r="G1172">
            <v>0</v>
          </cell>
        </row>
        <row r="1173">
          <cell r="B1173">
            <v>21176</v>
          </cell>
          <cell r="C1173" t="str">
            <v>CSLL de Terceiros</v>
          </cell>
          <cell r="D1173">
            <v>0</v>
          </cell>
          <cell r="E1173">
            <v>0</v>
          </cell>
          <cell r="F1173">
            <v>0</v>
          </cell>
          <cell r="G1173">
            <v>0</v>
          </cell>
        </row>
        <row r="1174">
          <cell r="B1174">
            <v>21177</v>
          </cell>
          <cell r="C1174" t="str">
            <v>IRPJ de Terceiros</v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</row>
        <row r="1175">
          <cell r="B1175">
            <v>6147</v>
          </cell>
          <cell r="C1175" t="str">
            <v>Ret IN 539/05 - IR/CS/PIS/COFINS - 5,85%</v>
          </cell>
          <cell r="D1175">
            <v>0</v>
          </cell>
          <cell r="E1175">
            <v>2853.72</v>
          </cell>
          <cell r="F1175">
            <v>-2853.72</v>
          </cell>
          <cell r="G1175">
            <v>0</v>
          </cell>
        </row>
        <row r="1176">
          <cell r="B1176">
            <v>6190</v>
          </cell>
          <cell r="C1176" t="str">
            <v>Ret IN 539/05 - IR/CS/PIS/COFINS - 9,45%</v>
          </cell>
          <cell r="D1176">
            <v>0</v>
          </cell>
          <cell r="E1176">
            <v>50873.54</v>
          </cell>
          <cell r="F1176">
            <v>-50873.54</v>
          </cell>
          <cell r="G1176">
            <v>0</v>
          </cell>
        </row>
        <row r="1177">
          <cell r="B1177">
            <v>6175</v>
          </cell>
          <cell r="C1177" t="str">
            <v>Ret IN 539/05 - IR/CS/PIS/COFINS - 7,05%</v>
          </cell>
          <cell r="D1177">
            <v>0</v>
          </cell>
          <cell r="E1177">
            <v>4941.3</v>
          </cell>
          <cell r="F1177">
            <v>-4941.3</v>
          </cell>
          <cell r="G1177">
            <v>0</v>
          </cell>
        </row>
        <row r="1178">
          <cell r="B1178">
            <v>211711</v>
          </cell>
          <cell r="C1178" t="str">
            <v>Ret IN 539/05 - IR/CS/PIS/COFINS - 2,20%</v>
          </cell>
          <cell r="D1178">
            <v>0</v>
          </cell>
          <cell r="E1178">
            <v>0</v>
          </cell>
          <cell r="F1178">
            <v>0</v>
          </cell>
          <cell r="G1178">
            <v>0</v>
          </cell>
        </row>
        <row r="1179">
          <cell r="B1179">
            <v>211712</v>
          </cell>
          <cell r="C1179" t="str">
            <v>Ret IN 539/05 - IR/CS/PIS/COFINS - 4,89%</v>
          </cell>
          <cell r="D1179">
            <v>0</v>
          </cell>
          <cell r="E1179">
            <v>0</v>
          </cell>
          <cell r="F1179">
            <v>0</v>
          </cell>
          <cell r="G1179">
            <v>0</v>
          </cell>
        </row>
        <row r="1180">
          <cell r="B1180">
            <v>211713</v>
          </cell>
          <cell r="C1180" t="str">
            <v>Ret IN 539/05 - IR/CS/PIS/COFINS - 3,40%</v>
          </cell>
          <cell r="D1180">
            <v>0</v>
          </cell>
          <cell r="E1180">
            <v>0</v>
          </cell>
          <cell r="F1180">
            <v>0</v>
          </cell>
          <cell r="G1180">
            <v>0</v>
          </cell>
        </row>
        <row r="1181">
          <cell r="B1181">
            <v>211714</v>
          </cell>
          <cell r="C1181" t="str">
            <v>IRRF Pessoa Física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</row>
        <row r="1182">
          <cell r="B1182" t="str">
            <v>ISS</v>
          </cell>
          <cell r="C1182" t="str">
            <v>ISS de Terceiros</v>
          </cell>
          <cell r="D1182">
            <v>0</v>
          </cell>
          <cell r="E1182">
            <v>4472.75</v>
          </cell>
          <cell r="F1182">
            <v>-4472.75</v>
          </cell>
          <cell r="G1182">
            <v>0</v>
          </cell>
        </row>
        <row r="1183">
          <cell r="B1183">
            <v>211716</v>
          </cell>
          <cell r="C1183" t="str">
            <v>Ret  IR e Contrib. 6147 Conv. 035</v>
          </cell>
          <cell r="D1183">
            <v>0</v>
          </cell>
          <cell r="E1183">
            <v>0</v>
          </cell>
          <cell r="F1183">
            <v>0</v>
          </cell>
          <cell r="G1183">
            <v>0</v>
          </cell>
        </row>
        <row r="1184">
          <cell r="B1184">
            <v>211717</v>
          </cell>
          <cell r="C1184" t="str">
            <v>Ret IR e Contrib. 6147 Conv. 039</v>
          </cell>
          <cell r="D1184">
            <v>0</v>
          </cell>
          <cell r="E1184">
            <v>0</v>
          </cell>
          <cell r="F1184">
            <v>0</v>
          </cell>
          <cell r="G1184">
            <v>0</v>
          </cell>
        </row>
        <row r="1185">
          <cell r="B1185">
            <v>211718</v>
          </cell>
          <cell r="C1185" t="str">
            <v>Ret IR e Contrib. 6190 Conv. 032</v>
          </cell>
          <cell r="D1185">
            <v>0</v>
          </cell>
          <cell r="E1185">
            <v>0</v>
          </cell>
          <cell r="F1185">
            <v>0</v>
          </cell>
          <cell r="G1185">
            <v>0</v>
          </cell>
        </row>
        <row r="1186">
          <cell r="B1186">
            <v>211719</v>
          </cell>
          <cell r="C1186" t="str">
            <v>Ret IR e Contrib. 6190 Conv. 034</v>
          </cell>
          <cell r="D1186">
            <v>0</v>
          </cell>
          <cell r="E1186">
            <v>0</v>
          </cell>
          <cell r="F1186">
            <v>0</v>
          </cell>
          <cell r="G1186">
            <v>0</v>
          </cell>
        </row>
        <row r="1187">
          <cell r="B1187">
            <v>211720</v>
          </cell>
          <cell r="C1187" t="str">
            <v>Ret. ISS de Terceiros Conv. 013</v>
          </cell>
          <cell r="D1187">
            <v>0</v>
          </cell>
          <cell r="E1187">
            <v>0</v>
          </cell>
          <cell r="F1187">
            <v>0</v>
          </cell>
          <cell r="G1187">
            <v>0</v>
          </cell>
        </row>
        <row r="1188">
          <cell r="B1188">
            <v>211721</v>
          </cell>
          <cell r="C1188" t="str">
            <v>Ret. ISS de Terceiros Conv. 039</v>
          </cell>
          <cell r="D1188">
            <v>0</v>
          </cell>
          <cell r="E1188">
            <v>0</v>
          </cell>
          <cell r="F1188">
            <v>0</v>
          </cell>
          <cell r="G1188">
            <v>0</v>
          </cell>
        </row>
        <row r="1189">
          <cell r="B1189">
            <v>211722</v>
          </cell>
          <cell r="C1189" t="str">
            <v>Ret. INSS de Terceiros Conv. 013</v>
          </cell>
          <cell r="D1189">
            <v>0</v>
          </cell>
          <cell r="E1189">
            <v>0</v>
          </cell>
          <cell r="F1189">
            <v>0</v>
          </cell>
          <cell r="G1189">
            <v>0</v>
          </cell>
        </row>
        <row r="1190">
          <cell r="B1190">
            <v>211723</v>
          </cell>
          <cell r="C1190" t="str">
            <v>Ret. INSS de Terceiros Conv. 039</v>
          </cell>
          <cell r="D1190">
            <v>0</v>
          </cell>
          <cell r="E1190">
            <v>0</v>
          </cell>
          <cell r="F1190">
            <v>0</v>
          </cell>
          <cell r="G1190">
            <v>0</v>
          </cell>
        </row>
        <row r="1191">
          <cell r="B1191">
            <v>211724</v>
          </cell>
          <cell r="C1191" t="str">
            <v>Ret  IR e Contrib. 6147 Conv. 022</v>
          </cell>
          <cell r="D1191">
            <v>0</v>
          </cell>
          <cell r="E1191">
            <v>0</v>
          </cell>
          <cell r="F1191">
            <v>0</v>
          </cell>
          <cell r="G1191">
            <v>0</v>
          </cell>
        </row>
        <row r="1192">
          <cell r="B1192">
            <v>211725</v>
          </cell>
          <cell r="C1192" t="str">
            <v>Ret  IR e Contrib. 6190 Conv. 022</v>
          </cell>
          <cell r="D1192">
            <v>0</v>
          </cell>
          <cell r="E1192">
            <v>0</v>
          </cell>
          <cell r="F1192">
            <v>0</v>
          </cell>
          <cell r="G1192">
            <v>0</v>
          </cell>
        </row>
        <row r="1193">
          <cell r="B1193">
            <v>211726</v>
          </cell>
          <cell r="C1193" t="str">
            <v>Ret  IR e Contrib. 6190 Conv. 013</v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</row>
        <row r="1194">
          <cell r="B1194">
            <v>211727</v>
          </cell>
          <cell r="C1194" t="str">
            <v>Ret  IR e Contrib. 6147 Conv. 029</v>
          </cell>
          <cell r="D1194">
            <v>0</v>
          </cell>
          <cell r="E1194">
            <v>0</v>
          </cell>
          <cell r="F1194">
            <v>0</v>
          </cell>
          <cell r="G1194">
            <v>0</v>
          </cell>
        </row>
        <row r="1195">
          <cell r="B1195">
            <v>211728</v>
          </cell>
          <cell r="C1195" t="str">
            <v>Ret  IR e Contrib. 6190 Conv. 029</v>
          </cell>
          <cell r="D1195">
            <v>0</v>
          </cell>
          <cell r="E1195">
            <v>0</v>
          </cell>
          <cell r="F1195">
            <v>0</v>
          </cell>
          <cell r="G1195">
            <v>0</v>
          </cell>
        </row>
        <row r="1196">
          <cell r="B1196">
            <v>211729</v>
          </cell>
          <cell r="C1196" t="str">
            <v>Ret  IR e Contrib. 6147 Conv. 013</v>
          </cell>
          <cell r="D1196">
            <v>0</v>
          </cell>
          <cell r="E1196">
            <v>0</v>
          </cell>
          <cell r="F1196">
            <v>0</v>
          </cell>
          <cell r="G1196">
            <v>0</v>
          </cell>
        </row>
        <row r="1197">
          <cell r="B1197">
            <v>211730</v>
          </cell>
          <cell r="C1197" t="str">
            <v>Ret  IR e Contrib. 6175 Conv. 034</v>
          </cell>
          <cell r="D1197">
            <v>0</v>
          </cell>
          <cell r="E1197">
            <v>0</v>
          </cell>
          <cell r="F1197">
            <v>0</v>
          </cell>
          <cell r="G1197">
            <v>0</v>
          </cell>
        </row>
        <row r="1198">
          <cell r="B1198">
            <v>211731</v>
          </cell>
          <cell r="C1198" t="str">
            <v>Ret  IR e Contrib. 6175 Conv. 035</v>
          </cell>
          <cell r="D1198">
            <v>0</v>
          </cell>
          <cell r="E1198">
            <v>0</v>
          </cell>
          <cell r="F1198">
            <v>0</v>
          </cell>
          <cell r="G1198">
            <v>0</v>
          </cell>
        </row>
        <row r="1199">
          <cell r="B1199">
            <v>211732</v>
          </cell>
          <cell r="C1199" t="str">
            <v>Ret  IR e Contrib. 6175 Conv. 013</v>
          </cell>
          <cell r="D1199">
            <v>0</v>
          </cell>
          <cell r="E1199">
            <v>0</v>
          </cell>
          <cell r="F1199">
            <v>0</v>
          </cell>
          <cell r="G1199">
            <v>0</v>
          </cell>
        </row>
        <row r="1200">
          <cell r="B1200">
            <v>211733</v>
          </cell>
          <cell r="C1200" t="str">
            <v>Ret  IR e Contrib. 6190 Conv. 039</v>
          </cell>
          <cell r="D1200">
            <v>0</v>
          </cell>
          <cell r="E1200">
            <v>0</v>
          </cell>
          <cell r="F1200">
            <v>0</v>
          </cell>
          <cell r="G1200">
            <v>0</v>
          </cell>
        </row>
        <row r="1201">
          <cell r="B1201">
            <v>211734</v>
          </cell>
          <cell r="C1201" t="str">
            <v>Ret  IR e Contrib. 6175 Conv. 039</v>
          </cell>
          <cell r="D1201">
            <v>0</v>
          </cell>
          <cell r="E1201">
            <v>0</v>
          </cell>
          <cell r="F1201">
            <v>0</v>
          </cell>
          <cell r="G1201">
            <v>0</v>
          </cell>
        </row>
        <row r="1202">
          <cell r="B1202">
            <v>211735</v>
          </cell>
          <cell r="C1202" t="str">
            <v>Ret  IR e Contrib. 6175 Conv. 029</v>
          </cell>
          <cell r="D1202">
            <v>0</v>
          </cell>
          <cell r="E1202">
            <v>0</v>
          </cell>
          <cell r="F1202">
            <v>0</v>
          </cell>
          <cell r="G1202">
            <v>0</v>
          </cell>
        </row>
        <row r="1203">
          <cell r="B1203">
            <v>211736</v>
          </cell>
          <cell r="C1203" t="str">
            <v>Ret  IR e Contrib. 6190 Conv. 031</v>
          </cell>
          <cell r="D1203">
            <v>0</v>
          </cell>
          <cell r="E1203">
            <v>0</v>
          </cell>
          <cell r="F1203">
            <v>0</v>
          </cell>
          <cell r="G1203">
            <v>0</v>
          </cell>
        </row>
        <row r="1204">
          <cell r="B1204">
            <v>211737</v>
          </cell>
          <cell r="C1204" t="str">
            <v>Ret  IR e Contrib. 6190 Conv. 030</v>
          </cell>
          <cell r="D1204">
            <v>0</v>
          </cell>
          <cell r="E1204">
            <v>0</v>
          </cell>
          <cell r="F1204">
            <v>0</v>
          </cell>
          <cell r="G1204">
            <v>0</v>
          </cell>
        </row>
        <row r="1205">
          <cell r="B1205">
            <v>211738</v>
          </cell>
          <cell r="C1205" t="str">
            <v>Ret  IR e Contrib. 6190 Conv. 033</v>
          </cell>
          <cell r="D1205">
            <v>0</v>
          </cell>
          <cell r="E1205">
            <v>0</v>
          </cell>
          <cell r="F1205">
            <v>0</v>
          </cell>
          <cell r="G1205">
            <v>0</v>
          </cell>
        </row>
        <row r="1206">
          <cell r="B1206">
            <v>211739</v>
          </cell>
          <cell r="C1206" t="str">
            <v>Ret  IR e Contrib. 6175 Conv. 033</v>
          </cell>
          <cell r="D1206">
            <v>0</v>
          </cell>
          <cell r="E1206">
            <v>0</v>
          </cell>
          <cell r="F1206">
            <v>0</v>
          </cell>
          <cell r="G1206">
            <v>0</v>
          </cell>
        </row>
        <row r="1207">
          <cell r="B1207">
            <v>211740</v>
          </cell>
          <cell r="C1207" t="str">
            <v>Ret. INSS de Terceiros Conv. 022</v>
          </cell>
          <cell r="D1207">
            <v>0</v>
          </cell>
          <cell r="E1207">
            <v>0</v>
          </cell>
          <cell r="F1207">
            <v>0</v>
          </cell>
          <cell r="G1207">
            <v>0</v>
          </cell>
        </row>
        <row r="1208">
          <cell r="B1208">
            <v>211741</v>
          </cell>
          <cell r="C1208" t="str">
            <v>Ret  IR e Contrib. 6190 Conv. 025</v>
          </cell>
          <cell r="D1208">
            <v>0</v>
          </cell>
          <cell r="E1208">
            <v>0</v>
          </cell>
          <cell r="F1208">
            <v>0</v>
          </cell>
          <cell r="G1208">
            <v>0</v>
          </cell>
        </row>
        <row r="1209">
          <cell r="B1209">
            <v>211742</v>
          </cell>
          <cell r="C1209" t="str">
            <v>Ret  IR e Contrib. 6190 Conv. 035</v>
          </cell>
          <cell r="D1209">
            <v>0</v>
          </cell>
          <cell r="E1209">
            <v>0</v>
          </cell>
          <cell r="F1209">
            <v>0</v>
          </cell>
          <cell r="G1209">
            <v>0</v>
          </cell>
        </row>
        <row r="1210">
          <cell r="B1210">
            <v>211743</v>
          </cell>
          <cell r="C1210" t="str">
            <v>Ret  IR e Contrib. 6190 Conv. 023</v>
          </cell>
          <cell r="D1210">
            <v>0</v>
          </cell>
          <cell r="E1210">
            <v>0</v>
          </cell>
          <cell r="F1210">
            <v>0</v>
          </cell>
          <cell r="G1210">
            <v>0</v>
          </cell>
        </row>
        <row r="1211">
          <cell r="B1211">
            <v>211744</v>
          </cell>
          <cell r="C1211" t="str">
            <v>Ret  IR e Contrib. 6175 Conv. 032</v>
          </cell>
          <cell r="D1211">
            <v>0</v>
          </cell>
          <cell r="E1211">
            <v>0</v>
          </cell>
          <cell r="F1211">
            <v>0</v>
          </cell>
          <cell r="G1211">
            <v>0</v>
          </cell>
        </row>
        <row r="1212">
          <cell r="B1212">
            <v>211745</v>
          </cell>
          <cell r="C1212" t="str">
            <v>Ret  IR e Contrib. 6190 Conv. 026</v>
          </cell>
          <cell r="D1212">
            <v>0</v>
          </cell>
          <cell r="E1212">
            <v>0</v>
          </cell>
          <cell r="F1212">
            <v>0</v>
          </cell>
          <cell r="G1212">
            <v>0</v>
          </cell>
        </row>
        <row r="1213">
          <cell r="B1213">
            <v>211746</v>
          </cell>
          <cell r="C1213" t="str">
            <v>IRRF a Recolher de Terceiros Conv. 026</v>
          </cell>
          <cell r="D1213">
            <v>0</v>
          </cell>
          <cell r="E1213">
            <v>0</v>
          </cell>
          <cell r="F1213">
            <v>0</v>
          </cell>
          <cell r="G1213">
            <v>0</v>
          </cell>
        </row>
        <row r="1214">
          <cell r="B1214">
            <v>211747</v>
          </cell>
          <cell r="C1214" t="str">
            <v>PIS/PASEP de Terceiros Conv. 026</v>
          </cell>
          <cell r="D1214">
            <v>0</v>
          </cell>
          <cell r="E1214">
            <v>0</v>
          </cell>
          <cell r="F1214">
            <v>0</v>
          </cell>
          <cell r="G1214">
            <v>0</v>
          </cell>
        </row>
        <row r="1215">
          <cell r="B1215">
            <v>211748</v>
          </cell>
          <cell r="C1215" t="str">
            <v>CSLL de Terceiros Conv. 026</v>
          </cell>
          <cell r="D1215">
            <v>0</v>
          </cell>
          <cell r="E1215">
            <v>0</v>
          </cell>
          <cell r="F1215">
            <v>0</v>
          </cell>
          <cell r="G1215">
            <v>0</v>
          </cell>
        </row>
        <row r="1216">
          <cell r="B1216">
            <v>211749</v>
          </cell>
          <cell r="C1216" t="str">
            <v>Ret  IR e Contrib. 6175 Conv. 025</v>
          </cell>
          <cell r="D1216">
            <v>0</v>
          </cell>
          <cell r="E1216">
            <v>0</v>
          </cell>
          <cell r="F1216">
            <v>0</v>
          </cell>
          <cell r="G1216">
            <v>0</v>
          </cell>
        </row>
        <row r="1217">
          <cell r="B1217">
            <v>211750</v>
          </cell>
          <cell r="C1217" t="str">
            <v>Ret  IR e Contrib. 6175 Conv. 028</v>
          </cell>
          <cell r="D1217">
            <v>0</v>
          </cell>
          <cell r="E1217">
            <v>0</v>
          </cell>
          <cell r="F1217">
            <v>0</v>
          </cell>
          <cell r="G1217">
            <v>0</v>
          </cell>
        </row>
        <row r="1218">
          <cell r="B1218">
            <v>211751</v>
          </cell>
          <cell r="C1218" t="str">
            <v>Ret. ISS de Terceiros Conv. 032</v>
          </cell>
          <cell r="D1218">
            <v>0</v>
          </cell>
          <cell r="E1218">
            <v>0</v>
          </cell>
          <cell r="F1218">
            <v>0</v>
          </cell>
          <cell r="G1218">
            <v>0</v>
          </cell>
        </row>
        <row r="1219">
          <cell r="B1219">
            <v>211752</v>
          </cell>
          <cell r="C1219" t="str">
            <v>Ret. ISS de Terceiros Conv. 033</v>
          </cell>
          <cell r="D1219">
            <v>0</v>
          </cell>
          <cell r="E1219">
            <v>0</v>
          </cell>
          <cell r="F1219">
            <v>0</v>
          </cell>
          <cell r="G1219">
            <v>0</v>
          </cell>
        </row>
        <row r="1220">
          <cell r="B1220">
            <v>211753</v>
          </cell>
          <cell r="C1220" t="str">
            <v>Ret. ISS de Terceiros Conv. 034</v>
          </cell>
          <cell r="D1220">
            <v>0</v>
          </cell>
          <cell r="E1220">
            <v>0</v>
          </cell>
          <cell r="F1220">
            <v>0</v>
          </cell>
          <cell r="G1220">
            <v>0</v>
          </cell>
        </row>
        <row r="1221">
          <cell r="B1221">
            <v>211754</v>
          </cell>
          <cell r="C1221" t="str">
            <v>Ret. ISS de Terceiros Conv. 029</v>
          </cell>
          <cell r="D1221">
            <v>0</v>
          </cell>
          <cell r="E1221">
            <v>0</v>
          </cell>
          <cell r="F1221">
            <v>0</v>
          </cell>
          <cell r="G1221">
            <v>0</v>
          </cell>
        </row>
        <row r="1222">
          <cell r="B1222">
            <v>211755</v>
          </cell>
          <cell r="C1222" t="str">
            <v>Ret  IR e Contrib. 6175 Conv. 023</v>
          </cell>
          <cell r="D1222">
            <v>0</v>
          </cell>
          <cell r="E1222">
            <v>0</v>
          </cell>
          <cell r="F1222">
            <v>0</v>
          </cell>
          <cell r="G1222">
            <v>0</v>
          </cell>
        </row>
        <row r="1223">
          <cell r="B1223">
            <v>211756</v>
          </cell>
          <cell r="C1223" t="str">
            <v>Ret  IR e Contrib. 6175 Conv. 030</v>
          </cell>
          <cell r="D1223">
            <v>0</v>
          </cell>
          <cell r="E1223">
            <v>0</v>
          </cell>
          <cell r="F1223">
            <v>0</v>
          </cell>
          <cell r="G1223">
            <v>0</v>
          </cell>
        </row>
        <row r="1224">
          <cell r="B1224">
            <v>211757</v>
          </cell>
          <cell r="C1224" t="str">
            <v>Ret  IR e Contrib. 6175 Conv. 031</v>
          </cell>
          <cell r="D1224">
            <v>0</v>
          </cell>
          <cell r="E1224">
            <v>0</v>
          </cell>
          <cell r="F1224">
            <v>0</v>
          </cell>
          <cell r="G1224">
            <v>0</v>
          </cell>
        </row>
        <row r="1225">
          <cell r="B1225">
            <v>211758</v>
          </cell>
          <cell r="C1225" t="str">
            <v>Ret. ISS de Terceiros Conv. 035</v>
          </cell>
          <cell r="D1225">
            <v>0</v>
          </cell>
          <cell r="E1225">
            <v>0</v>
          </cell>
          <cell r="F1225">
            <v>0</v>
          </cell>
          <cell r="G1225">
            <v>0</v>
          </cell>
        </row>
        <row r="1226">
          <cell r="B1226">
            <v>211759</v>
          </cell>
          <cell r="C1226" t="str">
            <v>Ret. INSS de Terceiros Conv. 030</v>
          </cell>
          <cell r="D1226">
            <v>0</v>
          </cell>
          <cell r="E1226">
            <v>0</v>
          </cell>
          <cell r="F1226">
            <v>0</v>
          </cell>
          <cell r="G1226">
            <v>0</v>
          </cell>
        </row>
        <row r="1227">
          <cell r="B1227">
            <v>211760</v>
          </cell>
          <cell r="C1227" t="str">
            <v>Ret. ISS de Terceiros Conv. 025</v>
          </cell>
          <cell r="D1227">
            <v>0</v>
          </cell>
          <cell r="E1227">
            <v>0</v>
          </cell>
          <cell r="F1227">
            <v>0</v>
          </cell>
          <cell r="G1227">
            <v>0</v>
          </cell>
        </row>
        <row r="1228">
          <cell r="B1228">
            <v>211761</v>
          </cell>
          <cell r="C1228" t="str">
            <v>Ret. ISS de Terceiros Conv. 022</v>
          </cell>
          <cell r="D1228">
            <v>0</v>
          </cell>
          <cell r="E1228">
            <v>0</v>
          </cell>
          <cell r="F1228">
            <v>0</v>
          </cell>
          <cell r="G1228">
            <v>0</v>
          </cell>
        </row>
        <row r="1229">
          <cell r="B1229">
            <v>211762</v>
          </cell>
          <cell r="C1229" t="str">
            <v>Ret. ISS de Terceiros Conv. 030</v>
          </cell>
          <cell r="D1229">
            <v>0</v>
          </cell>
          <cell r="E1229">
            <v>0</v>
          </cell>
          <cell r="F1229">
            <v>0</v>
          </cell>
          <cell r="G1229">
            <v>0</v>
          </cell>
        </row>
        <row r="1230">
          <cell r="B1230">
            <v>211763</v>
          </cell>
          <cell r="C1230" t="str">
            <v>Ret  IR e Contrib. 6175 Conv. 022</v>
          </cell>
          <cell r="D1230">
            <v>0</v>
          </cell>
          <cell r="E1230">
            <v>0</v>
          </cell>
          <cell r="F1230">
            <v>0</v>
          </cell>
          <cell r="G1230">
            <v>0</v>
          </cell>
        </row>
        <row r="1231">
          <cell r="B1231">
            <v>211764</v>
          </cell>
          <cell r="C1231" t="str">
            <v>Ret  IR e Contrib. 6175 Conv. 026</v>
          </cell>
          <cell r="D1231">
            <v>0</v>
          </cell>
          <cell r="E1231">
            <v>0</v>
          </cell>
          <cell r="F1231">
            <v>0</v>
          </cell>
          <cell r="G1231">
            <v>0</v>
          </cell>
        </row>
        <row r="1232">
          <cell r="B1232">
            <v>211765</v>
          </cell>
          <cell r="C1232" t="str">
            <v>Ret  IR e Contrib. 6175 Conv. 027</v>
          </cell>
          <cell r="D1232">
            <v>0</v>
          </cell>
          <cell r="E1232">
            <v>0</v>
          </cell>
          <cell r="F1232">
            <v>0</v>
          </cell>
          <cell r="G1232">
            <v>0</v>
          </cell>
        </row>
        <row r="1233">
          <cell r="B1233">
            <v>211766</v>
          </cell>
          <cell r="C1233" t="str">
            <v>Ret  IR e Contrib. 6190 Conv. 034</v>
          </cell>
          <cell r="D1233">
            <v>0</v>
          </cell>
          <cell r="E1233">
            <v>0</v>
          </cell>
          <cell r="F1233">
            <v>0</v>
          </cell>
          <cell r="G1233">
            <v>0</v>
          </cell>
        </row>
        <row r="1234">
          <cell r="B1234">
            <v>211767</v>
          </cell>
          <cell r="C1234" t="str">
            <v>Ret  IR e Contrib. 6147 Conv. 026</v>
          </cell>
          <cell r="D1234">
            <v>0</v>
          </cell>
          <cell r="E1234">
            <v>0</v>
          </cell>
          <cell r="F1234">
            <v>0</v>
          </cell>
          <cell r="G1234">
            <v>0</v>
          </cell>
        </row>
        <row r="1235">
          <cell r="B1235">
            <v>211768</v>
          </cell>
          <cell r="C1235" t="str">
            <v>Retenção IN 480/2004 - IRPJ</v>
          </cell>
          <cell r="D1235">
            <v>0</v>
          </cell>
          <cell r="E1235">
            <v>0</v>
          </cell>
          <cell r="F1235">
            <v>0</v>
          </cell>
          <cell r="G1235">
            <v>0</v>
          </cell>
        </row>
        <row r="1236">
          <cell r="B1236">
            <v>211769</v>
          </cell>
          <cell r="C1236" t="str">
            <v>Retenção IN 480/2004 - CSLL</v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</row>
        <row r="1237">
          <cell r="B1237">
            <v>211770</v>
          </cell>
          <cell r="C1237" t="str">
            <v>Retenção IN 480/2004 - COFINS</v>
          </cell>
          <cell r="D1237">
            <v>0</v>
          </cell>
          <cell r="E1237">
            <v>0</v>
          </cell>
          <cell r="F1237">
            <v>0</v>
          </cell>
          <cell r="G1237">
            <v>0</v>
          </cell>
        </row>
        <row r="1238">
          <cell r="B1238">
            <v>211771</v>
          </cell>
          <cell r="C1238" t="str">
            <v>Retenção IN 480/2004 - PIS</v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</row>
        <row r="1239">
          <cell r="B1239">
            <v>211772</v>
          </cell>
          <cell r="C1239" t="str">
            <v>IRRF - ALUGUEL PF</v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</row>
        <row r="1240">
          <cell r="B1240">
            <v>2117999</v>
          </cell>
          <cell r="C1240" t="str">
            <v>A Classificar</v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</row>
        <row r="1241">
          <cell r="B1241">
            <v>2118</v>
          </cell>
          <cell r="C1241" t="str">
            <v>Obrigações Trabalhistas e Sociais</v>
          </cell>
          <cell r="D1241">
            <v>-14374172.109999999</v>
          </cell>
          <cell r="E1241">
            <v>6777359.79</v>
          </cell>
          <cell r="F1241">
            <v>-7312160.7599999998</v>
          </cell>
          <cell r="G1241">
            <v>14908973.08</v>
          </cell>
        </row>
        <row r="1242">
          <cell r="B1242">
            <v>21181</v>
          </cell>
          <cell r="C1242" t="str">
            <v>Salários a Pagar</v>
          </cell>
          <cell r="D1242">
            <v>-2875569.79</v>
          </cell>
          <cell r="E1242">
            <v>4596303.32</v>
          </cell>
          <cell r="F1242">
            <v>-4592165.1399999997</v>
          </cell>
          <cell r="G1242">
            <v>2871431.61</v>
          </cell>
        </row>
        <row r="1243">
          <cell r="B1243">
            <v>21182</v>
          </cell>
          <cell r="C1243" t="str">
            <v>13º Salário a Pagar</v>
          </cell>
          <cell r="D1243">
            <v>-1341930.48</v>
          </cell>
          <cell r="E1243">
            <v>0</v>
          </cell>
          <cell r="F1243">
            <v>-332327.28999999998</v>
          </cell>
          <cell r="G1243">
            <v>1674257.77</v>
          </cell>
        </row>
        <row r="1244">
          <cell r="B1244">
            <v>21183</v>
          </cell>
          <cell r="C1244" t="str">
            <v>Férias a Pagar</v>
          </cell>
          <cell r="D1244">
            <v>-6251061.6699999999</v>
          </cell>
          <cell r="E1244">
            <v>323254.67</v>
          </cell>
          <cell r="F1244">
            <v>-447350.8</v>
          </cell>
          <cell r="G1244">
            <v>6375157.7999999998</v>
          </cell>
        </row>
        <row r="1245">
          <cell r="B1245">
            <v>21184</v>
          </cell>
          <cell r="C1245" t="str">
            <v>INSS a Recolher</v>
          </cell>
          <cell r="D1245">
            <v>-1063186.01</v>
          </cell>
          <cell r="E1245">
            <v>1070707.23</v>
          </cell>
          <cell r="F1245">
            <v>-1076331.1100000001</v>
          </cell>
          <cell r="G1245">
            <v>1068809.8899999999</v>
          </cell>
        </row>
        <row r="1246">
          <cell r="B1246">
            <v>21185</v>
          </cell>
          <cell r="C1246" t="str">
            <v>FGTS a Recolher</v>
          </cell>
          <cell r="D1246">
            <v>-343548.61</v>
          </cell>
          <cell r="E1246">
            <v>343548.43</v>
          </cell>
          <cell r="F1246">
            <v>-343400.02</v>
          </cell>
          <cell r="G1246">
            <v>343400.2</v>
          </cell>
        </row>
        <row r="1247">
          <cell r="B1247">
            <v>21186</v>
          </cell>
          <cell r="C1247" t="str">
            <v>Contribuição Sindical a Pagar</v>
          </cell>
          <cell r="D1247">
            <v>0</v>
          </cell>
          <cell r="E1247">
            <v>145</v>
          </cell>
          <cell r="F1247">
            <v>-145</v>
          </cell>
          <cell r="G1247">
            <v>0</v>
          </cell>
        </row>
        <row r="1248">
          <cell r="B1248">
            <v>21187</v>
          </cell>
          <cell r="C1248" t="str">
            <v>Pensão Alimentícia</v>
          </cell>
          <cell r="D1248">
            <v>0</v>
          </cell>
          <cell r="E1248">
            <v>10838.4</v>
          </cell>
          <cell r="F1248">
            <v>-10838.4</v>
          </cell>
          <cell r="G1248">
            <v>0</v>
          </cell>
        </row>
        <row r="1249">
          <cell r="B1249">
            <v>21188</v>
          </cell>
          <cell r="C1249" t="str">
            <v>Rescisões a Pagar</v>
          </cell>
          <cell r="D1249">
            <v>-44424.78</v>
          </cell>
          <cell r="E1249">
            <v>44424.78</v>
          </cell>
          <cell r="F1249">
            <v>0</v>
          </cell>
          <cell r="G1249">
            <v>0</v>
          </cell>
        </row>
        <row r="1250">
          <cell r="B1250">
            <v>21189</v>
          </cell>
          <cell r="C1250" t="str">
            <v>Previdência Privada Complementar</v>
          </cell>
          <cell r="D1250">
            <v>-286450.21000000002</v>
          </cell>
          <cell r="E1250">
            <v>286450.21000000002</v>
          </cell>
          <cell r="F1250">
            <v>-284794.90000000002</v>
          </cell>
          <cell r="G1250">
            <v>284794.90000000002</v>
          </cell>
        </row>
        <row r="1251">
          <cell r="B1251">
            <v>211810</v>
          </cell>
          <cell r="C1251" t="str">
            <v>INSS s/ 13º Salario a Pagar</v>
          </cell>
          <cell r="D1251">
            <v>-280192.5</v>
          </cell>
          <cell r="E1251">
            <v>0</v>
          </cell>
          <cell r="F1251">
            <v>-69385.710000000006</v>
          </cell>
          <cell r="G1251">
            <v>349578.21</v>
          </cell>
        </row>
        <row r="1252">
          <cell r="B1252">
            <v>211811</v>
          </cell>
          <cell r="C1252" t="str">
            <v>FGTS s/ 13º Salario a Pagar</v>
          </cell>
          <cell r="D1252">
            <v>-60069.75</v>
          </cell>
          <cell r="E1252">
            <v>9363.2000000000007</v>
          </cell>
          <cell r="F1252">
            <v>-26432.57</v>
          </cell>
          <cell r="G1252">
            <v>77139.12</v>
          </cell>
        </row>
        <row r="1253">
          <cell r="B1253">
            <v>211812</v>
          </cell>
          <cell r="C1253" t="str">
            <v>INSS s/ Férias a Pagar</v>
          </cell>
          <cell r="D1253">
            <v>-1323534.9099999999</v>
          </cell>
          <cell r="E1253">
            <v>66855.72</v>
          </cell>
          <cell r="F1253">
            <v>-93406.34</v>
          </cell>
          <cell r="G1253">
            <v>1350085.53</v>
          </cell>
        </row>
        <row r="1254">
          <cell r="B1254">
            <v>211813</v>
          </cell>
          <cell r="C1254" t="str">
            <v>FGTS s/ Férias a Pagar</v>
          </cell>
          <cell r="D1254">
            <v>-504203.4</v>
          </cell>
          <cell r="E1254">
            <v>25468.83</v>
          </cell>
          <cell r="F1254">
            <v>-35583.480000000003</v>
          </cell>
          <cell r="G1254">
            <v>514318.05</v>
          </cell>
        </row>
        <row r="1255">
          <cell r="B1255">
            <v>211814</v>
          </cell>
          <cell r="C1255" t="str">
            <v>Empréstimo a funcionários</v>
          </cell>
          <cell r="D1255">
            <v>0</v>
          </cell>
          <cell r="E1255">
            <v>0</v>
          </cell>
          <cell r="F1255">
            <v>0</v>
          </cell>
          <cell r="G1255">
            <v>0</v>
          </cell>
        </row>
        <row r="1256">
          <cell r="B1256">
            <v>211815</v>
          </cell>
          <cell r="C1256" t="str">
            <v>Mensalidade AEPE</v>
          </cell>
          <cell r="D1256">
            <v>0</v>
          </cell>
          <cell r="E1256">
            <v>0</v>
          </cell>
          <cell r="F1256">
            <v>0</v>
          </cell>
          <cell r="G1256">
            <v>0</v>
          </cell>
        </row>
        <row r="1257">
          <cell r="B1257">
            <v>2119</v>
          </cell>
          <cell r="C1257" t="str">
            <v>Obrigações c/ Acionistas e Diretores</v>
          </cell>
          <cell r="D1257">
            <v>0</v>
          </cell>
          <cell r="E1257">
            <v>0</v>
          </cell>
          <cell r="F1257">
            <v>0</v>
          </cell>
          <cell r="G1257">
            <v>0</v>
          </cell>
        </row>
        <row r="1258">
          <cell r="B1258">
            <v>21191</v>
          </cell>
          <cell r="C1258" t="str">
            <v>Dividendos a Pagar</v>
          </cell>
          <cell r="D1258">
            <v>0</v>
          </cell>
          <cell r="E1258">
            <v>0</v>
          </cell>
          <cell r="F1258">
            <v>0</v>
          </cell>
          <cell r="G1258">
            <v>0</v>
          </cell>
        </row>
        <row r="1259">
          <cell r="B1259">
            <v>21192</v>
          </cell>
          <cell r="C1259" t="str">
            <v>Juros Sobre o Capital Próprio a Pagar</v>
          </cell>
          <cell r="D1259">
            <v>0</v>
          </cell>
          <cell r="E1259">
            <v>0</v>
          </cell>
          <cell r="F1259">
            <v>0</v>
          </cell>
          <cell r="G1259">
            <v>0</v>
          </cell>
        </row>
        <row r="1260">
          <cell r="B1260">
            <v>21193</v>
          </cell>
          <cell r="C1260" t="str">
            <v>Honorários da Diretoria</v>
          </cell>
          <cell r="D1260">
            <v>0</v>
          </cell>
          <cell r="E1260">
            <v>0</v>
          </cell>
          <cell r="F1260">
            <v>0</v>
          </cell>
          <cell r="G1260">
            <v>0</v>
          </cell>
        </row>
        <row r="1261">
          <cell r="B1261">
            <v>21194</v>
          </cell>
          <cell r="C1261" t="str">
            <v>Honorários dos Conselhos</v>
          </cell>
          <cell r="D1261">
            <v>0</v>
          </cell>
          <cell r="E1261">
            <v>0</v>
          </cell>
          <cell r="F1261">
            <v>0</v>
          </cell>
          <cell r="G1261">
            <v>0</v>
          </cell>
        </row>
        <row r="1262">
          <cell r="B1262">
            <v>21195</v>
          </cell>
          <cell r="C1262" t="str">
            <v>Dividendos Complementar a Pagar</v>
          </cell>
          <cell r="D1262">
            <v>0</v>
          </cell>
          <cell r="E1262">
            <v>0</v>
          </cell>
          <cell r="F1262">
            <v>0</v>
          </cell>
          <cell r="G1262">
            <v>0</v>
          </cell>
        </row>
        <row r="1263">
          <cell r="B1263">
            <v>21196</v>
          </cell>
          <cell r="C1263" t="str">
            <v>Juros s/ Dividendos a Pagar</v>
          </cell>
          <cell r="D1263">
            <v>0</v>
          </cell>
          <cell r="E1263">
            <v>0</v>
          </cell>
          <cell r="F1263">
            <v>0</v>
          </cell>
          <cell r="G1263">
            <v>0</v>
          </cell>
        </row>
        <row r="1264">
          <cell r="B1264">
            <v>21110</v>
          </cell>
          <cell r="C1264" t="str">
            <v>Provisões Societárias</v>
          </cell>
          <cell r="D1264">
            <v>0</v>
          </cell>
          <cell r="E1264">
            <v>0</v>
          </cell>
          <cell r="F1264">
            <v>0</v>
          </cell>
          <cell r="G1264">
            <v>0</v>
          </cell>
        </row>
        <row r="1265">
          <cell r="B1265">
            <v>211101</v>
          </cell>
          <cell r="C1265" t="str">
            <v>Dividendos Propostos</v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</row>
        <row r="1266">
          <cell r="B1266">
            <v>211102</v>
          </cell>
          <cell r="C1266" t="str">
            <v>Participações nos Lucros - Diretores</v>
          </cell>
          <cell r="D1266">
            <v>0</v>
          </cell>
          <cell r="E1266">
            <v>0</v>
          </cell>
          <cell r="F1266">
            <v>0</v>
          </cell>
          <cell r="G1266">
            <v>0</v>
          </cell>
        </row>
        <row r="1267">
          <cell r="B1267">
            <v>211103</v>
          </cell>
          <cell r="C1267" t="str">
            <v>Participações nos Lucros - Empregados</v>
          </cell>
          <cell r="D1267">
            <v>0</v>
          </cell>
          <cell r="E1267">
            <v>0</v>
          </cell>
          <cell r="F1267">
            <v>0</v>
          </cell>
          <cell r="G1267">
            <v>0</v>
          </cell>
        </row>
        <row r="1268">
          <cell r="B1268">
            <v>211110</v>
          </cell>
          <cell r="C1268" t="str">
            <v>Provisões p/ Contingências</v>
          </cell>
          <cell r="D1268">
            <v>-2718114.5</v>
          </cell>
          <cell r="E1268">
            <v>0</v>
          </cell>
          <cell r="F1268">
            <v>-4536.13</v>
          </cell>
          <cell r="G1268">
            <v>2722650.63</v>
          </cell>
        </row>
        <row r="1269">
          <cell r="B1269">
            <v>211111</v>
          </cell>
          <cell r="C1269" t="str">
            <v>Provisão p/ Contingências Trabalhistas</v>
          </cell>
          <cell r="D1269">
            <v>-2718114.5</v>
          </cell>
          <cell r="E1269">
            <v>0</v>
          </cell>
          <cell r="F1269">
            <v>-4536.13</v>
          </cell>
          <cell r="G1269">
            <v>2722650.63</v>
          </cell>
        </row>
        <row r="1270">
          <cell r="B1270">
            <v>211112</v>
          </cell>
          <cell r="C1270" t="str">
            <v>Provisão p/ Contingências Civeis</v>
          </cell>
          <cell r="D1270">
            <v>0</v>
          </cell>
          <cell r="E1270">
            <v>0</v>
          </cell>
          <cell r="F1270">
            <v>0</v>
          </cell>
          <cell r="G1270">
            <v>0</v>
          </cell>
        </row>
        <row r="1271">
          <cell r="B1271">
            <v>211113</v>
          </cell>
          <cell r="C1271" t="str">
            <v>Provisão p/ Contingências Fiscais</v>
          </cell>
          <cell r="D1271">
            <v>0</v>
          </cell>
          <cell r="E1271">
            <v>0</v>
          </cell>
          <cell r="F1271">
            <v>0</v>
          </cell>
          <cell r="G1271">
            <v>0</v>
          </cell>
        </row>
        <row r="1272">
          <cell r="B1272">
            <v>211012</v>
          </cell>
          <cell r="C1272" t="str">
            <v>Convênios</v>
          </cell>
          <cell r="D1272">
            <v>0</v>
          </cell>
          <cell r="E1272">
            <v>0</v>
          </cell>
          <cell r="F1272">
            <v>0</v>
          </cell>
          <cell r="G1272">
            <v>0</v>
          </cell>
        </row>
        <row r="1273">
          <cell r="B1273">
            <v>211121</v>
          </cell>
          <cell r="C1273" t="str">
            <v>Convênio 013 Bco. Brasil - 420.729-7</v>
          </cell>
          <cell r="D1273">
            <v>0</v>
          </cell>
          <cell r="E1273">
            <v>0</v>
          </cell>
          <cell r="F1273">
            <v>0</v>
          </cell>
          <cell r="G1273">
            <v>0</v>
          </cell>
        </row>
        <row r="1274">
          <cell r="B1274">
            <v>211122</v>
          </cell>
          <cell r="C1274" t="str">
            <v>Pagamentos por Conta de Convênios</v>
          </cell>
          <cell r="D1274">
            <v>0</v>
          </cell>
          <cell r="E1274">
            <v>0</v>
          </cell>
          <cell r="F1274">
            <v>0</v>
          </cell>
          <cell r="G1274">
            <v>0</v>
          </cell>
        </row>
        <row r="1275">
          <cell r="B1275">
            <v>211123</v>
          </cell>
          <cell r="C1275" t="str">
            <v>Convênio 022 Bco. Brasil - 420.712-2</v>
          </cell>
          <cell r="D1275">
            <v>0</v>
          </cell>
          <cell r="E1275">
            <v>0</v>
          </cell>
          <cell r="F1275">
            <v>0</v>
          </cell>
          <cell r="G1275">
            <v>0</v>
          </cell>
        </row>
        <row r="1276">
          <cell r="B1276">
            <v>211124</v>
          </cell>
          <cell r="C1276" t="str">
            <v>Convênio 023 Bco. Brasil - 420.713-0</v>
          </cell>
          <cell r="D1276">
            <v>0</v>
          </cell>
          <cell r="E1276">
            <v>0</v>
          </cell>
          <cell r="F1276">
            <v>0</v>
          </cell>
          <cell r="G1276">
            <v>0</v>
          </cell>
        </row>
        <row r="1277">
          <cell r="B1277">
            <v>211125</v>
          </cell>
          <cell r="C1277" t="str">
            <v>Convênio 024 Bco. Brasil - 420.714-9</v>
          </cell>
          <cell r="D1277">
            <v>0</v>
          </cell>
          <cell r="E1277">
            <v>0</v>
          </cell>
          <cell r="F1277">
            <v>0</v>
          </cell>
          <cell r="G1277">
            <v>0</v>
          </cell>
        </row>
        <row r="1278">
          <cell r="B1278">
            <v>211126</v>
          </cell>
          <cell r="C1278" t="str">
            <v>Convênio 025 Bco. Brasil - 420.715-7</v>
          </cell>
          <cell r="D1278">
            <v>0</v>
          </cell>
          <cell r="E1278">
            <v>0</v>
          </cell>
          <cell r="F1278">
            <v>0</v>
          </cell>
          <cell r="G1278">
            <v>0</v>
          </cell>
        </row>
        <row r="1279">
          <cell r="B1279">
            <v>211127</v>
          </cell>
          <cell r="C1279" t="str">
            <v>Convênio 026 Bco. Brasil - 420.716-5</v>
          </cell>
          <cell r="D1279">
            <v>0</v>
          </cell>
          <cell r="E1279">
            <v>0</v>
          </cell>
          <cell r="F1279">
            <v>0</v>
          </cell>
          <cell r="G1279">
            <v>0</v>
          </cell>
        </row>
        <row r="1280">
          <cell r="B1280">
            <v>211128</v>
          </cell>
          <cell r="C1280" t="str">
            <v>Convênio 027 Bco. Brasil - 420.718-1</v>
          </cell>
          <cell r="D1280">
            <v>0</v>
          </cell>
          <cell r="E1280">
            <v>0</v>
          </cell>
          <cell r="F1280">
            <v>0</v>
          </cell>
          <cell r="G1280">
            <v>0</v>
          </cell>
        </row>
        <row r="1281">
          <cell r="B1281">
            <v>211129</v>
          </cell>
          <cell r="C1281" t="str">
            <v>Convênio 028 Bco  Brasil - 420.717-3</v>
          </cell>
          <cell r="D1281">
            <v>0</v>
          </cell>
          <cell r="E1281">
            <v>0</v>
          </cell>
          <cell r="F1281">
            <v>0</v>
          </cell>
          <cell r="G1281">
            <v>0</v>
          </cell>
        </row>
        <row r="1282">
          <cell r="B1282">
            <v>2111210</v>
          </cell>
          <cell r="C1282" t="str">
            <v>Convênio 029 Bco. Brasil - 420.719-X</v>
          </cell>
          <cell r="D1282">
            <v>0</v>
          </cell>
          <cell r="E1282">
            <v>0</v>
          </cell>
          <cell r="F1282">
            <v>0</v>
          </cell>
          <cell r="G1282">
            <v>0</v>
          </cell>
        </row>
        <row r="1283">
          <cell r="B1283">
            <v>2111311</v>
          </cell>
          <cell r="C1283" t="str">
            <v>Convênio 030 Bco. Brasil - 420.720-3</v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</row>
        <row r="1284">
          <cell r="B1284">
            <v>2111212</v>
          </cell>
          <cell r="C1284" t="str">
            <v>Convênio 031 Bco. Brasil - 420.721-1</v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</row>
        <row r="1285">
          <cell r="B1285">
            <v>2111213</v>
          </cell>
          <cell r="C1285" t="str">
            <v>Convênio 032 Bco. Brasil - 420.722-X</v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</row>
        <row r="1286">
          <cell r="B1286">
            <v>2111214</v>
          </cell>
          <cell r="C1286" t="str">
            <v>Convênio 033 Bco. Brasil - 420.723-8</v>
          </cell>
          <cell r="D1286">
            <v>0</v>
          </cell>
          <cell r="E1286">
            <v>0</v>
          </cell>
          <cell r="F1286">
            <v>0</v>
          </cell>
          <cell r="G1286">
            <v>0</v>
          </cell>
        </row>
        <row r="1287">
          <cell r="B1287">
            <v>2111215</v>
          </cell>
          <cell r="C1287" t="str">
            <v>Convênio 034 Bco. Brasil - 420.724-6</v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</row>
        <row r="1288">
          <cell r="B1288">
            <v>2111216</v>
          </cell>
          <cell r="C1288" t="str">
            <v>Convênio 035 Bco. Brasil - 420.725-4</v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</row>
        <row r="1289">
          <cell r="B1289">
            <v>2111217</v>
          </cell>
          <cell r="C1289" t="str">
            <v>Convênio 036 Bco. Brasil - 420.726-2</v>
          </cell>
          <cell r="D1289">
            <v>0</v>
          </cell>
          <cell r="E1289">
            <v>0</v>
          </cell>
          <cell r="F1289">
            <v>0</v>
          </cell>
          <cell r="G1289">
            <v>0</v>
          </cell>
        </row>
        <row r="1290">
          <cell r="B1290">
            <v>2111218</v>
          </cell>
          <cell r="C1290" t="str">
            <v>Convênio 039 Bco. Brasil - 420.727-0</v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</row>
        <row r="1291">
          <cell r="B1291">
            <v>21113</v>
          </cell>
          <cell r="C1291" t="str">
            <v>Contratos</v>
          </cell>
          <cell r="D1291">
            <v>0</v>
          </cell>
          <cell r="E1291">
            <v>0</v>
          </cell>
          <cell r="F1291">
            <v>0</v>
          </cell>
          <cell r="G1291">
            <v>0</v>
          </cell>
        </row>
        <row r="1292">
          <cell r="B1292">
            <v>211131</v>
          </cell>
          <cell r="C1292" t="str">
            <v>Adiantamentos por Conta de Contratos</v>
          </cell>
          <cell r="D1292">
            <v>0</v>
          </cell>
          <cell r="E1292">
            <v>0</v>
          </cell>
          <cell r="F1292">
            <v>0</v>
          </cell>
          <cell r="G1292">
            <v>0</v>
          </cell>
        </row>
        <row r="1293">
          <cell r="B1293">
            <v>211132</v>
          </cell>
          <cell r="C1293" t="str">
            <v>RETENCÕES CONTRATUAIS</v>
          </cell>
          <cell r="D1293">
            <v>0</v>
          </cell>
          <cell r="E1293">
            <v>0</v>
          </cell>
          <cell r="F1293">
            <v>0</v>
          </cell>
          <cell r="G1293">
            <v>0</v>
          </cell>
        </row>
        <row r="1294">
          <cell r="B1294">
            <v>21114</v>
          </cell>
          <cell r="C1294" t="str">
            <v>Obrigações com a Cessão de Pessoal</v>
          </cell>
          <cell r="D1294">
            <v>-49137.51</v>
          </cell>
          <cell r="E1294">
            <v>35113.550000000003</v>
          </cell>
          <cell r="F1294">
            <v>-35864.99</v>
          </cell>
          <cell r="G1294">
            <v>49888.95</v>
          </cell>
        </row>
        <row r="1295">
          <cell r="B1295">
            <v>211141</v>
          </cell>
          <cell r="C1295" t="str">
            <v>Órgãos Públicos e Empresas Estatais</v>
          </cell>
          <cell r="D1295">
            <v>0</v>
          </cell>
          <cell r="E1295">
            <v>0</v>
          </cell>
          <cell r="F1295">
            <v>0</v>
          </cell>
          <cell r="G1295">
            <v>0</v>
          </cell>
        </row>
        <row r="1296">
          <cell r="B1296">
            <v>211142</v>
          </cell>
          <cell r="C1296" t="str">
            <v>Obrigações com a Petrobras</v>
          </cell>
          <cell r="D1296">
            <v>0</v>
          </cell>
          <cell r="E1296">
            <v>0</v>
          </cell>
          <cell r="F1296">
            <v>0</v>
          </cell>
          <cell r="G1296">
            <v>0</v>
          </cell>
        </row>
        <row r="1297">
          <cell r="B1297">
            <v>211143</v>
          </cell>
          <cell r="C1297" t="str">
            <v>Obrigações com Furnas</v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</row>
        <row r="1298">
          <cell r="B1298">
            <v>211144</v>
          </cell>
          <cell r="C1298" t="str">
            <v>Obrigações com a Cepel</v>
          </cell>
          <cell r="D1298">
            <v>0</v>
          </cell>
          <cell r="E1298">
            <v>0</v>
          </cell>
          <cell r="F1298">
            <v>0</v>
          </cell>
          <cell r="G1298">
            <v>0</v>
          </cell>
        </row>
        <row r="1299">
          <cell r="B1299">
            <v>211145</v>
          </cell>
          <cell r="C1299" t="str">
            <v>Obrigações com o STJ</v>
          </cell>
          <cell r="D1299">
            <v>-24403.53</v>
          </cell>
          <cell r="E1299">
            <v>24403.53</v>
          </cell>
          <cell r="F1299">
            <v>-24403.53</v>
          </cell>
          <cell r="G1299">
            <v>24403.53</v>
          </cell>
        </row>
        <row r="1300">
          <cell r="B1300">
            <v>211146</v>
          </cell>
          <cell r="C1300" t="str">
            <v>Obrigações com a SEDES</v>
          </cell>
          <cell r="D1300">
            <v>-10710.02</v>
          </cell>
          <cell r="E1300">
            <v>10710.02</v>
          </cell>
          <cell r="F1300">
            <v>0</v>
          </cell>
          <cell r="G1300">
            <v>0</v>
          </cell>
        </row>
        <row r="1301">
          <cell r="B1301">
            <v>211147</v>
          </cell>
          <cell r="C1301" t="str">
            <v>Obrigações com a USP</v>
          </cell>
          <cell r="D1301">
            <v>-14023.96</v>
          </cell>
          <cell r="E1301">
            <v>0</v>
          </cell>
          <cell r="F1301">
            <v>-11461.46</v>
          </cell>
          <cell r="G1301">
            <v>25485.42</v>
          </cell>
        </row>
        <row r="1302">
          <cell r="B1302">
            <v>21115</v>
          </cell>
          <cell r="C1302" t="str">
            <v>Previdência Privada Complementar</v>
          </cell>
          <cell r="D1302">
            <v>-282999.71000000002</v>
          </cell>
          <cell r="E1302">
            <v>282999.71000000002</v>
          </cell>
          <cell r="F1302">
            <v>-281344.40000000002</v>
          </cell>
          <cell r="G1302">
            <v>281344.40000000002</v>
          </cell>
        </row>
        <row r="1303">
          <cell r="B1303">
            <v>211151</v>
          </cell>
          <cell r="C1303" t="str">
            <v>Fundação ELETROS</v>
          </cell>
          <cell r="D1303">
            <v>-282999.71000000002</v>
          </cell>
          <cell r="E1303">
            <v>282999.71000000002</v>
          </cell>
          <cell r="F1303">
            <v>-281344.40000000002</v>
          </cell>
          <cell r="G1303">
            <v>281344.40000000002</v>
          </cell>
        </row>
        <row r="1304">
          <cell r="B1304">
            <v>21199</v>
          </cell>
          <cell r="C1304" t="str">
            <v>Outras Obrigações</v>
          </cell>
          <cell r="D1304">
            <v>0</v>
          </cell>
          <cell r="E1304">
            <v>0</v>
          </cell>
          <cell r="F1304">
            <v>0</v>
          </cell>
          <cell r="G1304">
            <v>0</v>
          </cell>
        </row>
        <row r="1305">
          <cell r="B1305">
            <v>211991</v>
          </cell>
          <cell r="C1305" t="str">
            <v>Adiantamento de Clientes</v>
          </cell>
          <cell r="D1305">
            <v>0</v>
          </cell>
          <cell r="E1305">
            <v>0</v>
          </cell>
          <cell r="F1305">
            <v>0</v>
          </cell>
          <cell r="G1305">
            <v>0</v>
          </cell>
        </row>
        <row r="1306">
          <cell r="B1306">
            <v>211992</v>
          </cell>
          <cell r="C1306" t="str">
            <v>Retenções Contratuais</v>
          </cell>
          <cell r="D1306">
            <v>0</v>
          </cell>
          <cell r="E1306">
            <v>0</v>
          </cell>
          <cell r="F1306">
            <v>0</v>
          </cell>
          <cell r="G1306">
            <v>0</v>
          </cell>
        </row>
        <row r="1307">
          <cell r="B1307">
            <v>211993</v>
          </cell>
          <cell r="C1307" t="str">
            <v>Cauções em Garantia e Concorrências</v>
          </cell>
          <cell r="D1307">
            <v>0</v>
          </cell>
          <cell r="E1307">
            <v>0</v>
          </cell>
          <cell r="F1307">
            <v>0</v>
          </cell>
          <cell r="G1307">
            <v>0</v>
          </cell>
        </row>
        <row r="1308">
          <cell r="B1308">
            <v>211994</v>
          </cell>
          <cell r="C1308" t="str">
            <v>Adiantamento p/ Seminários - Patrocínios</v>
          </cell>
          <cell r="D1308">
            <v>0</v>
          </cell>
          <cell r="E1308">
            <v>0</v>
          </cell>
          <cell r="F1308">
            <v>0</v>
          </cell>
          <cell r="G1308">
            <v>0</v>
          </cell>
        </row>
        <row r="1309">
          <cell r="B1309">
            <v>21199998</v>
          </cell>
          <cell r="C1309" t="str">
            <v>Serviços de Pessoa Física</v>
          </cell>
          <cell r="D1309">
            <v>0</v>
          </cell>
          <cell r="E1309">
            <v>0</v>
          </cell>
          <cell r="F1309">
            <v>0</v>
          </cell>
          <cell r="G1309">
            <v>0</v>
          </cell>
        </row>
        <row r="1310">
          <cell r="B1310">
            <v>21199999</v>
          </cell>
          <cell r="C1310" t="str">
            <v>Outras Contas a Pagar</v>
          </cell>
          <cell r="D1310">
            <v>0</v>
          </cell>
          <cell r="E1310">
            <v>0</v>
          </cell>
          <cell r="F1310">
            <v>0</v>
          </cell>
          <cell r="G1310">
            <v>0</v>
          </cell>
        </row>
        <row r="1311">
          <cell r="B1311">
            <v>22</v>
          </cell>
          <cell r="C1311" t="str">
            <v>Passivo Não Circulante</v>
          </cell>
          <cell r="D1311">
            <v>-6567492.0499999998</v>
          </cell>
          <cell r="E1311">
            <v>0</v>
          </cell>
          <cell r="F1311">
            <v>-85083.32</v>
          </cell>
          <cell r="G1311">
            <v>6652575.3700000001</v>
          </cell>
        </row>
        <row r="1312">
          <cell r="B1312">
            <v>221</v>
          </cell>
          <cell r="C1312" t="str">
            <v>Obrigações de Longo Prazo</v>
          </cell>
          <cell r="D1312">
            <v>-6567492.0499999998</v>
          </cell>
          <cell r="E1312">
            <v>0</v>
          </cell>
          <cell r="F1312">
            <v>-85083.32</v>
          </cell>
          <cell r="G1312">
            <v>6652575.3700000001</v>
          </cell>
        </row>
        <row r="1313">
          <cell r="B1313">
            <v>2211</v>
          </cell>
          <cell r="C1313" t="str">
            <v>Empréstimos e Financiamentos - Em Moeda</v>
          </cell>
          <cell r="D1313">
            <v>0</v>
          </cell>
          <cell r="E1313">
            <v>0</v>
          </cell>
          <cell r="F1313">
            <v>0</v>
          </cell>
          <cell r="G1313">
            <v>0</v>
          </cell>
        </row>
        <row r="1314">
          <cell r="B1314">
            <v>22111</v>
          </cell>
          <cell r="C1314" t="str">
            <v>Banco do Brasil - Empréstimos</v>
          </cell>
          <cell r="D1314">
            <v>0</v>
          </cell>
          <cell r="E1314">
            <v>0</v>
          </cell>
          <cell r="F1314">
            <v>0</v>
          </cell>
          <cell r="G1314">
            <v>0</v>
          </cell>
        </row>
        <row r="1315">
          <cell r="B1315">
            <v>22112</v>
          </cell>
          <cell r="C1315" t="str">
            <v>Banco do Brasil - Financ.de Bens e Serv.</v>
          </cell>
          <cell r="D1315">
            <v>0</v>
          </cell>
          <cell r="E1315">
            <v>0</v>
          </cell>
          <cell r="F1315">
            <v>0</v>
          </cell>
          <cell r="G1315">
            <v>0</v>
          </cell>
        </row>
        <row r="1316">
          <cell r="B1316">
            <v>2212</v>
          </cell>
          <cell r="C1316" t="str">
            <v>Empréstimos e Financiamentos - Em Moeda</v>
          </cell>
          <cell r="D1316">
            <v>0</v>
          </cell>
          <cell r="E1316">
            <v>0</v>
          </cell>
          <cell r="F1316">
            <v>0</v>
          </cell>
          <cell r="G1316">
            <v>0</v>
          </cell>
        </row>
        <row r="1317">
          <cell r="B1317">
            <v>22121</v>
          </cell>
          <cell r="C1317" t="str">
            <v>Conversíveis em Ações</v>
          </cell>
          <cell r="D1317">
            <v>0</v>
          </cell>
          <cell r="E1317">
            <v>0</v>
          </cell>
          <cell r="F1317">
            <v>0</v>
          </cell>
          <cell r="G1317">
            <v>0</v>
          </cell>
        </row>
        <row r="1318">
          <cell r="B1318">
            <v>22122</v>
          </cell>
          <cell r="C1318" t="str">
            <v>Não Conversíveis em Ações</v>
          </cell>
          <cell r="D1318">
            <v>0</v>
          </cell>
          <cell r="E1318">
            <v>0</v>
          </cell>
          <cell r="F1318">
            <v>0</v>
          </cell>
          <cell r="G1318">
            <v>0</v>
          </cell>
        </row>
        <row r="1319">
          <cell r="B1319">
            <v>2215</v>
          </cell>
          <cell r="C1319" t="str">
            <v>Provisões p/ Contingências</v>
          </cell>
          <cell r="D1319">
            <v>-6567492.0499999998</v>
          </cell>
          <cell r="E1319">
            <v>0</v>
          </cell>
          <cell r="F1319">
            <v>-85083.32</v>
          </cell>
          <cell r="G1319">
            <v>6652575.3700000001</v>
          </cell>
        </row>
        <row r="1320">
          <cell r="B1320">
            <v>22151</v>
          </cell>
          <cell r="C1320" t="str">
            <v>Provisão p/ Contingências Trabalhistas</v>
          </cell>
          <cell r="D1320">
            <v>-339917.27</v>
          </cell>
          <cell r="E1320">
            <v>0</v>
          </cell>
          <cell r="F1320">
            <v>-504.11</v>
          </cell>
          <cell r="G1320">
            <v>340421.38</v>
          </cell>
        </row>
        <row r="1321">
          <cell r="B1321">
            <v>22152</v>
          </cell>
          <cell r="C1321" t="str">
            <v>Provisão p/ Contingências Civeis</v>
          </cell>
          <cell r="D1321">
            <v>-1193.9000000000001</v>
          </cell>
          <cell r="E1321">
            <v>0</v>
          </cell>
          <cell r="F1321">
            <v>-42.29</v>
          </cell>
          <cell r="G1321">
            <v>1236.19</v>
          </cell>
        </row>
        <row r="1322">
          <cell r="B1322">
            <v>22153</v>
          </cell>
          <cell r="C1322" t="str">
            <v>Provisão p/ Contingências Fiscais</v>
          </cell>
          <cell r="D1322">
            <v>-6226380.8799999999</v>
          </cell>
          <cell r="E1322">
            <v>0</v>
          </cell>
          <cell r="F1322">
            <v>-84536.92</v>
          </cell>
          <cell r="G1322">
            <v>6310917.7999999998</v>
          </cell>
        </row>
        <row r="1323">
          <cell r="B1323">
            <v>2216</v>
          </cell>
          <cell r="C1323" t="str">
            <v>Previdência Privada Complementar</v>
          </cell>
          <cell r="D1323">
            <v>0</v>
          </cell>
          <cell r="E1323">
            <v>0</v>
          </cell>
          <cell r="F1323">
            <v>0</v>
          </cell>
          <cell r="G1323">
            <v>0</v>
          </cell>
        </row>
        <row r="1324">
          <cell r="B1324">
            <v>22161</v>
          </cell>
          <cell r="C1324" t="str">
            <v>Fundação ELETROS</v>
          </cell>
          <cell r="D1324">
            <v>0</v>
          </cell>
          <cell r="E1324">
            <v>0</v>
          </cell>
          <cell r="F1324">
            <v>0</v>
          </cell>
          <cell r="G1324">
            <v>0</v>
          </cell>
        </row>
        <row r="1325">
          <cell r="B1325">
            <v>2217</v>
          </cell>
          <cell r="C1325" t="str">
            <v>Adiantamento p/Futuro Aumento de Capital</v>
          </cell>
          <cell r="D1325">
            <v>0</v>
          </cell>
          <cell r="E1325">
            <v>0</v>
          </cell>
          <cell r="F1325">
            <v>0</v>
          </cell>
          <cell r="G1325">
            <v>0</v>
          </cell>
        </row>
        <row r="1326">
          <cell r="B1326">
            <v>22171</v>
          </cell>
          <cell r="C1326" t="str">
            <v>Adiantamento p/Futuro Aumento de Capital</v>
          </cell>
          <cell r="D1326">
            <v>0</v>
          </cell>
          <cell r="E1326">
            <v>0</v>
          </cell>
          <cell r="F1326">
            <v>0</v>
          </cell>
          <cell r="G1326">
            <v>0</v>
          </cell>
        </row>
        <row r="1327">
          <cell r="B1327">
            <v>22199</v>
          </cell>
          <cell r="C1327" t="str">
            <v>Outras Passivos Exigível a Longo Prazo</v>
          </cell>
          <cell r="D1327">
            <v>0</v>
          </cell>
          <cell r="E1327">
            <v>0</v>
          </cell>
          <cell r="F1327">
            <v>0</v>
          </cell>
          <cell r="G1327">
            <v>0</v>
          </cell>
        </row>
        <row r="1328">
          <cell r="B1328">
            <v>221991</v>
          </cell>
          <cell r="C1328" t="str">
            <v>IRPJ Diferido</v>
          </cell>
          <cell r="D1328">
            <v>0</v>
          </cell>
          <cell r="E1328">
            <v>0</v>
          </cell>
          <cell r="F1328">
            <v>0</v>
          </cell>
          <cell r="G1328">
            <v>0</v>
          </cell>
        </row>
        <row r="1329">
          <cell r="B1329">
            <v>221992</v>
          </cell>
          <cell r="C1329" t="str">
            <v>CSLL Diferido</v>
          </cell>
          <cell r="D1329">
            <v>0</v>
          </cell>
          <cell r="E1329">
            <v>0</v>
          </cell>
          <cell r="F1329">
            <v>0</v>
          </cell>
          <cell r="G1329">
            <v>0</v>
          </cell>
        </row>
        <row r="1330">
          <cell r="B1330" t="str">
            <v>PL</v>
          </cell>
          <cell r="C1330" t="str">
            <v>Patrimônio Líquido</v>
          </cell>
          <cell r="D1330">
            <v>-29150695.48</v>
          </cell>
          <cell r="E1330">
            <v>1382804.03</v>
          </cell>
          <cell r="F1330">
            <v>-56501.22</v>
          </cell>
          <cell r="G1330">
            <v>27824392.670000002</v>
          </cell>
        </row>
        <row r="1331">
          <cell r="B1331">
            <v>241</v>
          </cell>
          <cell r="C1331" t="str">
            <v>Capital Social</v>
          </cell>
          <cell r="D1331">
            <v>-28468909.870000001</v>
          </cell>
          <cell r="E1331">
            <v>0</v>
          </cell>
          <cell r="F1331">
            <v>0</v>
          </cell>
          <cell r="G1331">
            <v>28468909.870000001</v>
          </cell>
        </row>
        <row r="1332">
          <cell r="B1332">
            <v>2411</v>
          </cell>
          <cell r="C1332" t="str">
            <v>Capital Subscrito</v>
          </cell>
          <cell r="D1332">
            <v>-28468909.870000001</v>
          </cell>
          <cell r="E1332">
            <v>0</v>
          </cell>
          <cell r="F1332">
            <v>0</v>
          </cell>
          <cell r="G1332">
            <v>28468909.870000001</v>
          </cell>
        </row>
        <row r="1333">
          <cell r="B1333">
            <v>24111</v>
          </cell>
          <cell r="C1333" t="str">
            <v>Capital Subscrito</v>
          </cell>
          <cell r="D1333">
            <v>-28468909.870000001</v>
          </cell>
          <cell r="E1333">
            <v>0</v>
          </cell>
          <cell r="F1333">
            <v>0</v>
          </cell>
          <cell r="G1333">
            <v>28468909.870000001</v>
          </cell>
        </row>
        <row r="1334">
          <cell r="B1334">
            <v>2412</v>
          </cell>
          <cell r="C1334" t="str">
            <v>(-) Capital a Integralizar</v>
          </cell>
          <cell r="D1334">
            <v>0</v>
          </cell>
          <cell r="E1334">
            <v>0</v>
          </cell>
          <cell r="F1334">
            <v>0</v>
          </cell>
          <cell r="G1334">
            <v>0</v>
          </cell>
        </row>
        <row r="1335">
          <cell r="B1335">
            <v>24121</v>
          </cell>
          <cell r="C1335" t="str">
            <v>(-) Capital a Integralizar</v>
          </cell>
          <cell r="D1335">
            <v>0</v>
          </cell>
          <cell r="E1335">
            <v>0</v>
          </cell>
          <cell r="F1335">
            <v>0</v>
          </cell>
          <cell r="G1335">
            <v>0</v>
          </cell>
        </row>
        <row r="1336">
          <cell r="B1336">
            <v>242</v>
          </cell>
          <cell r="C1336" t="str">
            <v>Reservas de Lucros</v>
          </cell>
          <cell r="D1336">
            <v>0</v>
          </cell>
          <cell r="E1336">
            <v>0</v>
          </cell>
          <cell r="F1336">
            <v>0</v>
          </cell>
          <cell r="G1336">
            <v>0</v>
          </cell>
        </row>
        <row r="1337">
          <cell r="B1337">
            <v>2421</v>
          </cell>
          <cell r="C1337" t="str">
            <v>Reserva Legal</v>
          </cell>
          <cell r="D1337">
            <v>0</v>
          </cell>
          <cell r="E1337">
            <v>0</v>
          </cell>
          <cell r="F1337">
            <v>0</v>
          </cell>
          <cell r="G1337">
            <v>0</v>
          </cell>
        </row>
        <row r="1338">
          <cell r="B1338">
            <v>24211</v>
          </cell>
          <cell r="C1338" t="str">
            <v>Reserva Legal</v>
          </cell>
          <cell r="D1338">
            <v>0</v>
          </cell>
          <cell r="E1338">
            <v>0</v>
          </cell>
          <cell r="F1338">
            <v>0</v>
          </cell>
          <cell r="G1338">
            <v>0</v>
          </cell>
        </row>
        <row r="1339">
          <cell r="B1339">
            <v>2424</v>
          </cell>
          <cell r="C1339" t="str">
            <v>Reserva de Lucros para Investimento</v>
          </cell>
          <cell r="D1339">
            <v>0</v>
          </cell>
          <cell r="E1339">
            <v>0</v>
          </cell>
          <cell r="F1339">
            <v>0</v>
          </cell>
          <cell r="G1339">
            <v>0</v>
          </cell>
        </row>
        <row r="1340">
          <cell r="B1340">
            <v>24241</v>
          </cell>
          <cell r="C1340" t="str">
            <v>Reserva de Lucros para Investimento</v>
          </cell>
          <cell r="D1340">
            <v>0</v>
          </cell>
          <cell r="E1340">
            <v>0</v>
          </cell>
          <cell r="F1340">
            <v>0</v>
          </cell>
          <cell r="G1340">
            <v>0</v>
          </cell>
        </row>
        <row r="1341">
          <cell r="B1341">
            <v>2425</v>
          </cell>
          <cell r="C1341" t="str">
            <v>Dividendo Adicional Proposto</v>
          </cell>
          <cell r="D1341">
            <v>0</v>
          </cell>
          <cell r="E1341">
            <v>0</v>
          </cell>
          <cell r="F1341">
            <v>0</v>
          </cell>
          <cell r="G1341">
            <v>0</v>
          </cell>
        </row>
        <row r="1342">
          <cell r="B1342">
            <v>24251</v>
          </cell>
          <cell r="C1342" t="str">
            <v>Dividendo Adicional Proposto</v>
          </cell>
          <cell r="D1342">
            <v>0</v>
          </cell>
          <cell r="E1342">
            <v>0</v>
          </cell>
          <cell r="F1342">
            <v>0</v>
          </cell>
          <cell r="G1342">
            <v>0</v>
          </cell>
        </row>
        <row r="1343">
          <cell r="B1343">
            <v>2427</v>
          </cell>
          <cell r="C1343" t="str">
            <v>Reserva Especial p/ Dividendos</v>
          </cell>
          <cell r="D1343">
            <v>0</v>
          </cell>
          <cell r="E1343">
            <v>0</v>
          </cell>
          <cell r="F1343">
            <v>0</v>
          </cell>
          <cell r="G1343">
            <v>0</v>
          </cell>
        </row>
        <row r="1344">
          <cell r="B1344">
            <v>24271</v>
          </cell>
          <cell r="C1344" t="str">
            <v>Reserva Especial p/ Dividendos</v>
          </cell>
          <cell r="D1344">
            <v>0</v>
          </cell>
          <cell r="E1344">
            <v>0</v>
          </cell>
          <cell r="F1344">
            <v>0</v>
          </cell>
          <cell r="G1344">
            <v>0</v>
          </cell>
        </row>
        <row r="1345">
          <cell r="B1345">
            <v>243</v>
          </cell>
          <cell r="C1345" t="str">
            <v>Aj de av.patrimonial</v>
          </cell>
          <cell r="D1345">
            <v>-21.12</v>
          </cell>
          <cell r="E1345">
            <v>0</v>
          </cell>
          <cell r="F1345">
            <v>0</v>
          </cell>
          <cell r="G1345">
            <v>21.12</v>
          </cell>
        </row>
        <row r="1346">
          <cell r="B1346">
            <v>2431</v>
          </cell>
          <cell r="C1346" t="str">
            <v>Aj. de av. patrimonial</v>
          </cell>
          <cell r="D1346">
            <v>-21.12</v>
          </cell>
          <cell r="E1346">
            <v>0</v>
          </cell>
          <cell r="F1346">
            <v>0</v>
          </cell>
          <cell r="G1346">
            <v>21.12</v>
          </cell>
        </row>
        <row r="1347">
          <cell r="B1347">
            <v>24311</v>
          </cell>
          <cell r="C1347" t="str">
            <v>Aj.de av. patrimonial</v>
          </cell>
          <cell r="D1347">
            <v>-21.12</v>
          </cell>
          <cell r="E1347">
            <v>0</v>
          </cell>
          <cell r="F1347">
            <v>0</v>
          </cell>
          <cell r="G1347">
            <v>21.12</v>
          </cell>
        </row>
        <row r="1348">
          <cell r="B1348">
            <v>246</v>
          </cell>
          <cell r="C1348" t="str">
            <v>Lucros ou Prejuízos Acumulados</v>
          </cell>
          <cell r="D1348">
            <v>1055398.48</v>
          </cell>
          <cell r="E1348">
            <v>1382804.03</v>
          </cell>
          <cell r="F1348">
            <v>0</v>
          </cell>
          <cell r="G1348">
            <v>2438202.5099999998</v>
          </cell>
        </row>
        <row r="1349">
          <cell r="B1349">
            <v>24601</v>
          </cell>
          <cell r="C1349" t="str">
            <v>Lucros Acumulados</v>
          </cell>
          <cell r="D1349">
            <v>0</v>
          </cell>
          <cell r="E1349">
            <v>0</v>
          </cell>
          <cell r="F1349">
            <v>0</v>
          </cell>
          <cell r="G1349">
            <v>0</v>
          </cell>
        </row>
        <row r="1350">
          <cell r="B1350">
            <v>24611</v>
          </cell>
          <cell r="C1350" t="str">
            <v>Lucros Acumulados</v>
          </cell>
          <cell r="D1350">
            <v>0</v>
          </cell>
          <cell r="E1350">
            <v>0</v>
          </cell>
          <cell r="F1350">
            <v>0</v>
          </cell>
          <cell r="G1350">
            <v>0</v>
          </cell>
        </row>
        <row r="1351">
          <cell r="B1351">
            <v>24612</v>
          </cell>
          <cell r="C1351" t="str">
            <v>Lucros Acumulados - Ajust Exerc Ant</v>
          </cell>
          <cell r="D1351">
            <v>0</v>
          </cell>
          <cell r="E1351">
            <v>0</v>
          </cell>
          <cell r="F1351">
            <v>0</v>
          </cell>
          <cell r="G1351">
            <v>0</v>
          </cell>
        </row>
        <row r="1352">
          <cell r="B1352">
            <v>24613</v>
          </cell>
          <cell r="C1352" t="str">
            <v>Lucros Acumulados - DMO</v>
          </cell>
          <cell r="D1352">
            <v>0</v>
          </cell>
          <cell r="E1352">
            <v>0</v>
          </cell>
          <cell r="F1352">
            <v>0</v>
          </cell>
          <cell r="G1352">
            <v>0</v>
          </cell>
        </row>
        <row r="1353">
          <cell r="B1353">
            <v>2462</v>
          </cell>
          <cell r="C1353" t="str">
            <v>(-) Prejuízos Acumulados</v>
          </cell>
          <cell r="D1353">
            <v>3734189</v>
          </cell>
          <cell r="E1353">
            <v>0</v>
          </cell>
          <cell r="F1353">
            <v>0</v>
          </cell>
          <cell r="G1353">
            <v>3734189</v>
          </cell>
        </row>
        <row r="1354">
          <cell r="B1354">
            <v>24621</v>
          </cell>
          <cell r="C1354" t="str">
            <v>(-) Prejuízo Acumulado de 2005</v>
          </cell>
          <cell r="D1354">
            <v>0</v>
          </cell>
          <cell r="E1354">
            <v>0</v>
          </cell>
          <cell r="F1354">
            <v>0</v>
          </cell>
          <cell r="G1354">
            <v>0</v>
          </cell>
        </row>
        <row r="1355">
          <cell r="B1355">
            <v>24622</v>
          </cell>
          <cell r="C1355" t="str">
            <v>(-) Prejuízo Acumulado</v>
          </cell>
          <cell r="D1355">
            <v>3734189</v>
          </cell>
          <cell r="E1355">
            <v>0</v>
          </cell>
          <cell r="F1355">
            <v>0</v>
          </cell>
          <cell r="G1355">
            <v>3734189</v>
          </cell>
        </row>
        <row r="1356">
          <cell r="B1356">
            <v>24623</v>
          </cell>
          <cell r="C1356" t="str">
            <v>(-) Prejuízo Acumulado de 2009</v>
          </cell>
          <cell r="D1356">
            <v>0</v>
          </cell>
          <cell r="E1356">
            <v>0</v>
          </cell>
          <cell r="F1356">
            <v>0</v>
          </cell>
          <cell r="G1356">
            <v>0</v>
          </cell>
        </row>
        <row r="1357">
          <cell r="B1357">
            <v>24624</v>
          </cell>
          <cell r="C1357" t="str">
            <v>(-) Prejuízo Acumulado - Ajust Exerc Ant</v>
          </cell>
          <cell r="D1357">
            <v>0</v>
          </cell>
          <cell r="E1357">
            <v>0</v>
          </cell>
          <cell r="F1357">
            <v>0</v>
          </cell>
          <cell r="G1357">
            <v>0</v>
          </cell>
        </row>
        <row r="1358">
          <cell r="B1358">
            <v>2463</v>
          </cell>
          <cell r="C1358" t="str">
            <v>Ajustes de Exercícios Anteriores</v>
          </cell>
          <cell r="D1358">
            <v>0</v>
          </cell>
          <cell r="E1358">
            <v>0</v>
          </cell>
          <cell r="F1358">
            <v>0</v>
          </cell>
          <cell r="G1358">
            <v>0</v>
          </cell>
        </row>
        <row r="1359">
          <cell r="B1359">
            <v>24631</v>
          </cell>
          <cell r="C1359" t="str">
            <v>Lucros Acumulados Ajustes Exerc. Ant.</v>
          </cell>
          <cell r="D1359">
            <v>0</v>
          </cell>
          <cell r="E1359">
            <v>0</v>
          </cell>
          <cell r="F1359">
            <v>0</v>
          </cell>
          <cell r="G1359">
            <v>0</v>
          </cell>
        </row>
        <row r="1360">
          <cell r="B1360">
            <v>24632</v>
          </cell>
          <cell r="C1360" t="str">
            <v>Prejuízos Acumulados Ajustes Exerc. Ant.</v>
          </cell>
          <cell r="D1360">
            <v>0</v>
          </cell>
          <cell r="E1360">
            <v>0</v>
          </cell>
          <cell r="F1360">
            <v>0</v>
          </cell>
          <cell r="G1360">
            <v>0</v>
          </cell>
        </row>
        <row r="1361">
          <cell r="B1361">
            <v>24699</v>
          </cell>
          <cell r="C1361" t="str">
            <v>Resultado do Exercício</v>
          </cell>
          <cell r="D1361">
            <v>-2678790.52</v>
          </cell>
          <cell r="E1361">
            <v>1382804.03</v>
          </cell>
          <cell r="F1361">
            <v>0</v>
          </cell>
          <cell r="G1361">
            <v>1295986.49</v>
          </cell>
        </row>
        <row r="1362">
          <cell r="B1362">
            <v>246991</v>
          </cell>
          <cell r="C1362" t="str">
            <v>Resultado do Exercício</v>
          </cell>
          <cell r="D1362">
            <v>-2678790.52</v>
          </cell>
          <cell r="E1362">
            <v>1382804.03</v>
          </cell>
          <cell r="F1362">
            <v>0</v>
          </cell>
          <cell r="G1362">
            <v>1295986.49</v>
          </cell>
        </row>
        <row r="1363">
          <cell r="B1363">
            <v>247</v>
          </cell>
          <cell r="C1363" t="str">
            <v>Adiantamento p/Futuro Aumento de Capital</v>
          </cell>
          <cell r="D1363">
            <v>-1737162.97</v>
          </cell>
          <cell r="E1363">
            <v>0</v>
          </cell>
          <cell r="F1363">
            <v>-56501.22</v>
          </cell>
          <cell r="G1363">
            <v>1793664.19</v>
          </cell>
        </row>
        <row r="1364">
          <cell r="B1364">
            <v>2471</v>
          </cell>
          <cell r="C1364" t="str">
            <v>Adiantamento p/Futuro Aumento de Capital</v>
          </cell>
          <cell r="D1364">
            <v>-1737162.97</v>
          </cell>
          <cell r="E1364">
            <v>0</v>
          </cell>
          <cell r="F1364">
            <v>-56501.22</v>
          </cell>
          <cell r="G1364">
            <v>1793664.19</v>
          </cell>
        </row>
        <row r="1365">
          <cell r="B1365">
            <v>24711</v>
          </cell>
          <cell r="C1365" t="str">
            <v>Adiantamento p/Futuro Aumento de Capital</v>
          </cell>
          <cell r="D1365">
            <v>-1737162.97</v>
          </cell>
          <cell r="E1365">
            <v>0</v>
          </cell>
          <cell r="F1365">
            <v>-56501.22</v>
          </cell>
          <cell r="G1365">
            <v>1793664.19</v>
          </cell>
        </row>
        <row r="1366">
          <cell r="B1366">
            <v>3</v>
          </cell>
          <cell r="C1366" t="str">
            <v>Receitas</v>
          </cell>
          <cell r="D1366">
            <v>-39850436.390000001</v>
          </cell>
          <cell r="E1366">
            <v>173.87</v>
          </cell>
          <cell r="F1366">
            <v>-7439498.8600000003</v>
          </cell>
          <cell r="G1366">
            <v>47289761.380000003</v>
          </cell>
        </row>
        <row r="1367">
          <cell r="B1367">
            <v>31</v>
          </cell>
          <cell r="C1367" t="str">
            <v>Subsídios Públicos</v>
          </cell>
          <cell r="D1367">
            <v>-35443789.700000003</v>
          </cell>
          <cell r="E1367">
            <v>0</v>
          </cell>
          <cell r="F1367">
            <v>-7349943.3399999999</v>
          </cell>
          <cell r="G1367">
            <v>42793733.039999999</v>
          </cell>
        </row>
        <row r="1368">
          <cell r="B1368">
            <v>311</v>
          </cell>
          <cell r="C1368" t="str">
            <v>Subsídios do Tesouro Nacional</v>
          </cell>
          <cell r="D1368">
            <v>-35443789.700000003</v>
          </cell>
          <cell r="E1368">
            <v>0</v>
          </cell>
          <cell r="F1368">
            <v>-7349943.3399999999</v>
          </cell>
          <cell r="G1368">
            <v>42793733.039999999</v>
          </cell>
        </row>
        <row r="1369">
          <cell r="B1369">
            <v>3111</v>
          </cell>
          <cell r="C1369" t="str">
            <v>Subsídios do Tesouro Nacional</v>
          </cell>
          <cell r="D1369">
            <v>-35443789.700000003</v>
          </cell>
          <cell r="E1369">
            <v>0</v>
          </cell>
          <cell r="F1369">
            <v>-7349943.3399999999</v>
          </cell>
          <cell r="G1369">
            <v>42793733.039999999</v>
          </cell>
        </row>
        <row r="1370">
          <cell r="B1370">
            <v>31111</v>
          </cell>
          <cell r="C1370" t="str">
            <v>Recursos Recebidos do Tesouro Nacional</v>
          </cell>
          <cell r="D1370">
            <v>-35443789.700000003</v>
          </cell>
          <cell r="E1370">
            <v>0</v>
          </cell>
          <cell r="F1370">
            <v>-7349943.3399999999</v>
          </cell>
          <cell r="G1370">
            <v>42793733.039999999</v>
          </cell>
        </row>
        <row r="1371">
          <cell r="B1371">
            <v>32</v>
          </cell>
          <cell r="C1371" t="str">
            <v>Receitas Operacionais</v>
          </cell>
          <cell r="D1371">
            <v>0</v>
          </cell>
          <cell r="E1371">
            <v>0</v>
          </cell>
          <cell r="F1371">
            <v>0</v>
          </cell>
          <cell r="G1371">
            <v>0</v>
          </cell>
        </row>
        <row r="1372">
          <cell r="B1372">
            <v>321</v>
          </cell>
          <cell r="C1372" t="str">
            <v>Receitas de Prestações de Serviços</v>
          </cell>
          <cell r="D1372">
            <v>0</v>
          </cell>
          <cell r="E1372">
            <v>0</v>
          </cell>
          <cell r="F1372">
            <v>0</v>
          </cell>
          <cell r="G1372">
            <v>0</v>
          </cell>
        </row>
        <row r="1373">
          <cell r="B1373">
            <v>3211</v>
          </cell>
          <cell r="C1373" t="str">
            <v>Prestação de Serviços a Órgãos Públicos</v>
          </cell>
          <cell r="D1373">
            <v>0</v>
          </cell>
          <cell r="E1373">
            <v>0</v>
          </cell>
          <cell r="F1373">
            <v>0</v>
          </cell>
          <cell r="G1373">
            <v>0</v>
          </cell>
        </row>
        <row r="1374">
          <cell r="B1374">
            <v>32111</v>
          </cell>
          <cell r="C1374" t="str">
            <v>Rec. Serv. Prest. a Órgãos Públicos</v>
          </cell>
          <cell r="D1374">
            <v>0</v>
          </cell>
          <cell r="E1374">
            <v>0</v>
          </cell>
          <cell r="F1374">
            <v>0</v>
          </cell>
          <cell r="G1374">
            <v>0</v>
          </cell>
        </row>
        <row r="1375">
          <cell r="B1375">
            <v>3212</v>
          </cell>
          <cell r="C1375" t="str">
            <v>Prestação Serviços a Empresas Estatais</v>
          </cell>
          <cell r="D1375">
            <v>0</v>
          </cell>
          <cell r="E1375">
            <v>0</v>
          </cell>
          <cell r="F1375">
            <v>0</v>
          </cell>
          <cell r="G1375">
            <v>0</v>
          </cell>
        </row>
        <row r="1376">
          <cell r="B1376">
            <v>32121</v>
          </cell>
          <cell r="C1376" t="str">
            <v>Rec. Serv. Prest. a Empresas Estatais</v>
          </cell>
          <cell r="D1376">
            <v>0</v>
          </cell>
          <cell r="E1376">
            <v>0</v>
          </cell>
          <cell r="F1376">
            <v>0</v>
          </cell>
          <cell r="G1376">
            <v>0</v>
          </cell>
        </row>
        <row r="1377">
          <cell r="B1377">
            <v>3213</v>
          </cell>
          <cell r="C1377" t="str">
            <v>Prestação Serviços a Empresas Privadas</v>
          </cell>
          <cell r="D1377">
            <v>0</v>
          </cell>
          <cell r="E1377">
            <v>0</v>
          </cell>
          <cell r="F1377">
            <v>0</v>
          </cell>
          <cell r="G1377">
            <v>0</v>
          </cell>
        </row>
        <row r="1378">
          <cell r="B1378">
            <v>32131</v>
          </cell>
          <cell r="C1378" t="str">
            <v>Rec. Serv. Prest. a Empresas Privadas</v>
          </cell>
          <cell r="D1378">
            <v>0</v>
          </cell>
          <cell r="E1378">
            <v>0</v>
          </cell>
          <cell r="F1378">
            <v>0</v>
          </cell>
          <cell r="G1378">
            <v>0</v>
          </cell>
        </row>
        <row r="1379">
          <cell r="B1379">
            <v>322</v>
          </cell>
          <cell r="C1379" t="str">
            <v>(-) Deduções da Receita Bruta</v>
          </cell>
          <cell r="D1379">
            <v>0</v>
          </cell>
          <cell r="E1379">
            <v>0</v>
          </cell>
          <cell r="F1379">
            <v>0</v>
          </cell>
          <cell r="G1379">
            <v>0</v>
          </cell>
        </row>
        <row r="1380">
          <cell r="B1380">
            <v>3221</v>
          </cell>
          <cell r="C1380" t="str">
            <v>(-) Tributos Incidentes s/ Vendas</v>
          </cell>
          <cell r="D1380">
            <v>0</v>
          </cell>
          <cell r="E1380">
            <v>0</v>
          </cell>
          <cell r="F1380">
            <v>0</v>
          </cell>
          <cell r="G1380">
            <v>0</v>
          </cell>
        </row>
        <row r="1381">
          <cell r="B1381">
            <v>32211</v>
          </cell>
          <cell r="C1381" t="str">
            <v>ISS</v>
          </cell>
          <cell r="D1381">
            <v>0</v>
          </cell>
          <cell r="E1381">
            <v>0</v>
          </cell>
          <cell r="F1381">
            <v>0</v>
          </cell>
          <cell r="G1381">
            <v>0</v>
          </cell>
        </row>
        <row r="1382">
          <cell r="B1382">
            <v>32212</v>
          </cell>
          <cell r="C1382" t="str">
            <v>PASEP</v>
          </cell>
          <cell r="D1382">
            <v>0</v>
          </cell>
          <cell r="E1382">
            <v>0</v>
          </cell>
          <cell r="F1382">
            <v>0</v>
          </cell>
          <cell r="G1382">
            <v>0</v>
          </cell>
        </row>
        <row r="1383">
          <cell r="B1383">
            <v>32213</v>
          </cell>
          <cell r="C1383" t="str">
            <v>COFINS</v>
          </cell>
          <cell r="D1383">
            <v>0</v>
          </cell>
          <cell r="E1383">
            <v>0</v>
          </cell>
          <cell r="F1383">
            <v>0</v>
          </cell>
          <cell r="G1383">
            <v>0</v>
          </cell>
        </row>
        <row r="1384">
          <cell r="B1384">
            <v>323</v>
          </cell>
          <cell r="C1384" t="str">
            <v>Receitas de Vendas de Mercadorias</v>
          </cell>
          <cell r="D1384">
            <v>0</v>
          </cell>
          <cell r="E1384">
            <v>0</v>
          </cell>
          <cell r="F1384">
            <v>0</v>
          </cell>
          <cell r="G1384">
            <v>0</v>
          </cell>
        </row>
        <row r="1385">
          <cell r="B1385">
            <v>32301</v>
          </cell>
          <cell r="C1385" t="str">
            <v>Venda de Livros Técnicos</v>
          </cell>
          <cell r="D1385">
            <v>0</v>
          </cell>
          <cell r="E1385">
            <v>0</v>
          </cell>
          <cell r="F1385">
            <v>0</v>
          </cell>
          <cell r="G1385">
            <v>0</v>
          </cell>
        </row>
        <row r="1386">
          <cell r="B1386">
            <v>32311</v>
          </cell>
          <cell r="C1386" t="str">
            <v>Venda a Órgãos Públicos e Empresas Estat</v>
          </cell>
          <cell r="D1386">
            <v>0</v>
          </cell>
          <cell r="E1386">
            <v>0</v>
          </cell>
          <cell r="F1386">
            <v>0</v>
          </cell>
          <cell r="G1386">
            <v>0</v>
          </cell>
        </row>
        <row r="1387">
          <cell r="B1387">
            <v>32312</v>
          </cell>
          <cell r="C1387" t="str">
            <v>Venda a Empresas Privadas</v>
          </cell>
          <cell r="D1387">
            <v>0</v>
          </cell>
          <cell r="E1387">
            <v>0</v>
          </cell>
          <cell r="F1387">
            <v>0</v>
          </cell>
          <cell r="G1387">
            <v>0</v>
          </cell>
        </row>
        <row r="1388">
          <cell r="B1388">
            <v>32313</v>
          </cell>
          <cell r="C1388" t="str">
            <v>Venda a Pessoas Físicas</v>
          </cell>
          <cell r="D1388">
            <v>0</v>
          </cell>
          <cell r="E1388">
            <v>0</v>
          </cell>
          <cell r="F1388">
            <v>0</v>
          </cell>
          <cell r="G1388">
            <v>0</v>
          </cell>
        </row>
        <row r="1389">
          <cell r="B1389">
            <v>33</v>
          </cell>
          <cell r="C1389" t="str">
            <v>Outras Receitas Operacionais</v>
          </cell>
          <cell r="D1389">
            <v>-4406646.6900000004</v>
          </cell>
          <cell r="E1389">
            <v>173.87</v>
          </cell>
          <cell r="F1389">
            <v>-89555.520000000004</v>
          </cell>
          <cell r="G1389">
            <v>4496028.34</v>
          </cell>
        </row>
        <row r="1390">
          <cell r="B1390">
            <v>331</v>
          </cell>
          <cell r="C1390" t="str">
            <v>Receitas Financeiras</v>
          </cell>
          <cell r="D1390">
            <v>-566439.88</v>
          </cell>
          <cell r="E1390">
            <v>173.87</v>
          </cell>
          <cell r="F1390">
            <v>-89555.520000000004</v>
          </cell>
          <cell r="G1390">
            <v>655821.53</v>
          </cell>
        </row>
        <row r="1391">
          <cell r="B1391">
            <v>3311</v>
          </cell>
          <cell r="C1391" t="str">
            <v>Receitas Financ./ Prest. de Serviços</v>
          </cell>
          <cell r="D1391">
            <v>-566439.88</v>
          </cell>
          <cell r="E1391">
            <v>173.87</v>
          </cell>
          <cell r="F1391">
            <v>-89555.520000000004</v>
          </cell>
          <cell r="G1391">
            <v>655821.53</v>
          </cell>
        </row>
        <row r="1392">
          <cell r="B1392">
            <v>33111</v>
          </cell>
          <cell r="C1392" t="str">
            <v>Rendas de Juros Moratórios</v>
          </cell>
          <cell r="D1392">
            <v>0</v>
          </cell>
          <cell r="E1392">
            <v>0</v>
          </cell>
          <cell r="F1392">
            <v>0</v>
          </cell>
          <cell r="G1392">
            <v>0</v>
          </cell>
        </row>
        <row r="1393">
          <cell r="B1393">
            <v>33112</v>
          </cell>
          <cell r="C1393" t="str">
            <v>Rendas de Multas Aplicadas</v>
          </cell>
          <cell r="D1393">
            <v>0</v>
          </cell>
          <cell r="E1393">
            <v>0</v>
          </cell>
          <cell r="F1393">
            <v>0</v>
          </cell>
          <cell r="G1393">
            <v>0</v>
          </cell>
        </row>
        <row r="1394">
          <cell r="B1394">
            <v>33113</v>
          </cell>
          <cell r="C1394" t="str">
            <v>Rendas de Variações Monetárias</v>
          </cell>
          <cell r="D1394">
            <v>-566075.36</v>
          </cell>
          <cell r="E1394">
            <v>173.87</v>
          </cell>
          <cell r="F1394">
            <v>-89555.520000000004</v>
          </cell>
          <cell r="G1394">
            <v>655457.01</v>
          </cell>
        </row>
        <row r="1395">
          <cell r="B1395">
            <v>33114</v>
          </cell>
          <cell r="C1395" t="str">
            <v>Descontos Obtidos</v>
          </cell>
          <cell r="D1395">
            <v>-364.52</v>
          </cell>
          <cell r="E1395">
            <v>0</v>
          </cell>
          <cell r="F1395">
            <v>0</v>
          </cell>
          <cell r="G1395">
            <v>364.52</v>
          </cell>
        </row>
        <row r="1396">
          <cell r="B1396">
            <v>3311999</v>
          </cell>
          <cell r="C1396" t="str">
            <v>Outras Rendas</v>
          </cell>
          <cell r="D1396">
            <v>0</v>
          </cell>
          <cell r="E1396">
            <v>0</v>
          </cell>
          <cell r="F1396">
            <v>0</v>
          </cell>
          <cell r="G1396">
            <v>0</v>
          </cell>
        </row>
        <row r="1397">
          <cell r="B1397">
            <v>3312</v>
          </cell>
          <cell r="C1397" t="str">
            <v>Receitas s/ Transações Bancárias</v>
          </cell>
          <cell r="D1397">
            <v>0</v>
          </cell>
          <cell r="E1397">
            <v>0</v>
          </cell>
          <cell r="F1397">
            <v>0</v>
          </cell>
          <cell r="G1397">
            <v>0</v>
          </cell>
        </row>
        <row r="1398">
          <cell r="B1398">
            <v>33121</v>
          </cell>
          <cell r="C1398" t="str">
            <v>Rendas de Aplicações Financeiras</v>
          </cell>
          <cell r="D1398">
            <v>0</v>
          </cell>
          <cell r="E1398">
            <v>0</v>
          </cell>
          <cell r="F1398">
            <v>0</v>
          </cell>
          <cell r="G1398">
            <v>0</v>
          </cell>
        </row>
        <row r="1399">
          <cell r="B1399">
            <v>3312999</v>
          </cell>
          <cell r="C1399" t="str">
            <v>Outras Rendas</v>
          </cell>
          <cell r="D1399">
            <v>0</v>
          </cell>
          <cell r="E1399">
            <v>0</v>
          </cell>
          <cell r="F1399">
            <v>0</v>
          </cell>
          <cell r="G1399">
            <v>0</v>
          </cell>
        </row>
        <row r="1400">
          <cell r="B1400">
            <v>3313</v>
          </cell>
          <cell r="C1400" t="str">
            <v>Receitas de Títulos e Valores Mobiliário</v>
          </cell>
          <cell r="D1400">
            <v>0</v>
          </cell>
          <cell r="E1400">
            <v>0</v>
          </cell>
          <cell r="F1400">
            <v>0</v>
          </cell>
          <cell r="G1400">
            <v>0</v>
          </cell>
        </row>
        <row r="1401">
          <cell r="B1401">
            <v>33131</v>
          </cell>
          <cell r="C1401" t="str">
            <v>Lucro na Venda de Ações</v>
          </cell>
          <cell r="D1401">
            <v>0</v>
          </cell>
          <cell r="E1401">
            <v>0</v>
          </cell>
          <cell r="F1401">
            <v>0</v>
          </cell>
          <cell r="G1401">
            <v>0</v>
          </cell>
        </row>
        <row r="1402">
          <cell r="B1402">
            <v>33132</v>
          </cell>
          <cell r="C1402" t="str">
            <v>Divid. e Juros s/ Cap. Próprio Recebidos</v>
          </cell>
          <cell r="D1402">
            <v>0</v>
          </cell>
          <cell r="E1402">
            <v>0</v>
          </cell>
          <cell r="F1402">
            <v>0</v>
          </cell>
          <cell r="G1402">
            <v>0</v>
          </cell>
        </row>
        <row r="1403">
          <cell r="B1403">
            <v>33105</v>
          </cell>
          <cell r="C1403" t="str">
            <v>Atualização Monetária – Créd. Tributário</v>
          </cell>
          <cell r="D1403">
            <v>0</v>
          </cell>
          <cell r="E1403">
            <v>0</v>
          </cell>
          <cell r="F1403">
            <v>0</v>
          </cell>
          <cell r="G1403">
            <v>0</v>
          </cell>
        </row>
        <row r="1404">
          <cell r="B1404">
            <v>33151</v>
          </cell>
          <cell r="C1404" t="str">
            <v>Tributos a Recup ou Compens – Federais</v>
          </cell>
          <cell r="D1404">
            <v>0</v>
          </cell>
          <cell r="E1404">
            <v>0</v>
          </cell>
          <cell r="F1404">
            <v>0</v>
          </cell>
          <cell r="G1404">
            <v>0</v>
          </cell>
        </row>
        <row r="1405">
          <cell r="B1405">
            <v>33152</v>
          </cell>
          <cell r="C1405" t="str">
            <v>Tributos a Recup ou Compens – Estaduais</v>
          </cell>
          <cell r="D1405">
            <v>0</v>
          </cell>
          <cell r="E1405">
            <v>0</v>
          </cell>
          <cell r="F1405">
            <v>0</v>
          </cell>
          <cell r="G1405">
            <v>0</v>
          </cell>
        </row>
        <row r="1406">
          <cell r="B1406">
            <v>33153</v>
          </cell>
          <cell r="C1406" t="str">
            <v>Tributos a Recup ou Compens – Municipais</v>
          </cell>
          <cell r="D1406">
            <v>0</v>
          </cell>
          <cell r="E1406">
            <v>0</v>
          </cell>
          <cell r="F1406">
            <v>0</v>
          </cell>
          <cell r="G1406">
            <v>0</v>
          </cell>
        </row>
        <row r="1407">
          <cell r="B1407">
            <v>33199</v>
          </cell>
          <cell r="C1407" t="str">
            <v>Outras Receitas Financeiras</v>
          </cell>
          <cell r="D1407">
            <v>0</v>
          </cell>
          <cell r="E1407">
            <v>0</v>
          </cell>
          <cell r="F1407">
            <v>0</v>
          </cell>
          <cell r="G1407">
            <v>0</v>
          </cell>
        </row>
        <row r="1408">
          <cell r="B1408">
            <v>331999</v>
          </cell>
          <cell r="C1408" t="str">
            <v>Outras Receitas Financeiras</v>
          </cell>
          <cell r="D1408">
            <v>0</v>
          </cell>
          <cell r="E1408">
            <v>0</v>
          </cell>
          <cell r="F1408">
            <v>0</v>
          </cell>
          <cell r="G1408">
            <v>0</v>
          </cell>
        </row>
        <row r="1409">
          <cell r="B1409">
            <v>332</v>
          </cell>
          <cell r="C1409" t="str">
            <v>Reembolso de Custos e Despesas</v>
          </cell>
          <cell r="D1409">
            <v>-3390766</v>
          </cell>
          <cell r="E1409">
            <v>0</v>
          </cell>
          <cell r="F1409">
            <v>0</v>
          </cell>
          <cell r="G1409">
            <v>3390766</v>
          </cell>
        </row>
        <row r="1410">
          <cell r="B1410">
            <v>3321</v>
          </cell>
          <cell r="C1410" t="str">
            <v>Reversão de Custos e Despesas</v>
          </cell>
          <cell r="D1410">
            <v>-3390766</v>
          </cell>
          <cell r="E1410">
            <v>0</v>
          </cell>
          <cell r="F1410">
            <v>0</v>
          </cell>
          <cell r="G1410">
            <v>3390766</v>
          </cell>
        </row>
        <row r="1411">
          <cell r="B1411">
            <v>33211</v>
          </cell>
          <cell r="C1411" t="str">
            <v>Leilões ANEEL – Geração de Energia</v>
          </cell>
          <cell r="D1411">
            <v>0</v>
          </cell>
          <cell r="E1411">
            <v>0</v>
          </cell>
          <cell r="F1411">
            <v>0</v>
          </cell>
          <cell r="G1411">
            <v>0</v>
          </cell>
        </row>
        <row r="1412">
          <cell r="B1412">
            <v>33212</v>
          </cell>
          <cell r="C1412" t="str">
            <v>Leilões ANEEL – Transmissão de Energia</v>
          </cell>
          <cell r="D1412">
            <v>-3389611</v>
          </cell>
          <cell r="E1412">
            <v>0</v>
          </cell>
          <cell r="F1412">
            <v>0</v>
          </cell>
          <cell r="G1412">
            <v>3389611</v>
          </cell>
        </row>
        <row r="1413">
          <cell r="B1413">
            <v>33213</v>
          </cell>
          <cell r="C1413" t="str">
            <v>Recuperação de Despesa e Custo</v>
          </cell>
          <cell r="D1413">
            <v>-1155</v>
          </cell>
          <cell r="E1413">
            <v>0</v>
          </cell>
          <cell r="F1413">
            <v>0</v>
          </cell>
          <cell r="G1413">
            <v>1155</v>
          </cell>
        </row>
        <row r="1414">
          <cell r="B1414">
            <v>336</v>
          </cell>
          <cell r="C1414" t="str">
            <v>Reversão de Provisões</v>
          </cell>
          <cell r="D1414">
            <v>-22945.54</v>
          </cell>
          <cell r="E1414">
            <v>0</v>
          </cell>
          <cell r="F1414">
            <v>0</v>
          </cell>
          <cell r="G1414">
            <v>22945.54</v>
          </cell>
        </row>
        <row r="1415">
          <cell r="B1415">
            <v>3361</v>
          </cell>
          <cell r="C1415" t="str">
            <v>Reversão de Provisões - Contingência</v>
          </cell>
          <cell r="D1415">
            <v>-22945.54</v>
          </cell>
          <cell r="E1415">
            <v>0</v>
          </cell>
          <cell r="F1415">
            <v>0</v>
          </cell>
          <cell r="G1415">
            <v>22945.54</v>
          </cell>
        </row>
        <row r="1416">
          <cell r="B1416">
            <v>33611</v>
          </cell>
          <cell r="C1416" t="str">
            <v>Contingência Trabalhistas</v>
          </cell>
          <cell r="D1416">
            <v>0</v>
          </cell>
          <cell r="E1416">
            <v>0</v>
          </cell>
          <cell r="F1416">
            <v>0</v>
          </cell>
          <cell r="G1416">
            <v>0</v>
          </cell>
        </row>
        <row r="1417">
          <cell r="B1417">
            <v>33612</v>
          </cell>
          <cell r="C1417" t="str">
            <v>Contingência Civis</v>
          </cell>
          <cell r="D1417">
            <v>-22945.54</v>
          </cell>
          <cell r="E1417">
            <v>0</v>
          </cell>
          <cell r="F1417">
            <v>0</v>
          </cell>
          <cell r="G1417">
            <v>22945.54</v>
          </cell>
        </row>
        <row r="1418">
          <cell r="B1418">
            <v>33613</v>
          </cell>
          <cell r="C1418" t="str">
            <v>Contingência Fiscais</v>
          </cell>
          <cell r="D1418">
            <v>0</v>
          </cell>
          <cell r="E1418">
            <v>0</v>
          </cell>
          <cell r="F1418">
            <v>0</v>
          </cell>
          <cell r="G1418">
            <v>0</v>
          </cell>
        </row>
        <row r="1419">
          <cell r="B1419">
            <v>33614</v>
          </cell>
          <cell r="C1419" t="str">
            <v>Reversão Variação Monetária Contingências</v>
          </cell>
          <cell r="D1419">
            <v>0</v>
          </cell>
          <cell r="E1419">
            <v>0</v>
          </cell>
          <cell r="F1419">
            <v>0</v>
          </cell>
          <cell r="G1419">
            <v>0</v>
          </cell>
        </row>
        <row r="1420">
          <cell r="B1420">
            <v>339</v>
          </cell>
          <cell r="C1420" t="str">
            <v>Outras Receitas</v>
          </cell>
          <cell r="D1420">
            <v>-426495.27</v>
          </cell>
          <cell r="E1420">
            <v>0</v>
          </cell>
          <cell r="F1420">
            <v>0</v>
          </cell>
          <cell r="G1420">
            <v>426495.27</v>
          </cell>
        </row>
        <row r="1421">
          <cell r="B1421">
            <v>3391</v>
          </cell>
          <cell r="C1421" t="str">
            <v>Receitas Alienação do Permanente</v>
          </cell>
          <cell r="D1421">
            <v>0</v>
          </cell>
          <cell r="E1421">
            <v>0</v>
          </cell>
          <cell r="F1421">
            <v>0</v>
          </cell>
          <cell r="G1421">
            <v>0</v>
          </cell>
        </row>
        <row r="1422">
          <cell r="B1422">
            <v>33911</v>
          </cell>
          <cell r="C1422" t="str">
            <v>Ganho Alienação - Investimentos</v>
          </cell>
          <cell r="D1422">
            <v>0</v>
          </cell>
          <cell r="E1422">
            <v>0</v>
          </cell>
          <cell r="F1422">
            <v>0</v>
          </cell>
          <cell r="G1422">
            <v>0</v>
          </cell>
        </row>
        <row r="1423">
          <cell r="B1423">
            <v>33912</v>
          </cell>
          <cell r="C1423" t="str">
            <v>Ganho Alienação - Imobilizado</v>
          </cell>
          <cell r="D1423">
            <v>0</v>
          </cell>
          <cell r="E1423">
            <v>0</v>
          </cell>
          <cell r="F1423">
            <v>0</v>
          </cell>
          <cell r="G1423">
            <v>0</v>
          </cell>
        </row>
        <row r="1424">
          <cell r="B1424">
            <v>33913</v>
          </cell>
          <cell r="C1424" t="str">
            <v>Ganho Alienação - Intangível</v>
          </cell>
          <cell r="D1424">
            <v>0</v>
          </cell>
          <cell r="E1424">
            <v>0</v>
          </cell>
          <cell r="F1424">
            <v>0</v>
          </cell>
          <cell r="G1424">
            <v>0</v>
          </cell>
        </row>
        <row r="1425">
          <cell r="B1425">
            <v>3392</v>
          </cell>
          <cell r="C1425" t="str">
            <v>Receitas com Doações</v>
          </cell>
          <cell r="D1425">
            <v>0</v>
          </cell>
          <cell r="E1425">
            <v>0</v>
          </cell>
          <cell r="F1425">
            <v>0</v>
          </cell>
          <cell r="G1425">
            <v>0</v>
          </cell>
        </row>
        <row r="1426">
          <cell r="B1426">
            <v>33921</v>
          </cell>
          <cell r="C1426" t="str">
            <v>Doações Recebidas</v>
          </cell>
          <cell r="D1426">
            <v>0</v>
          </cell>
          <cell r="E1426">
            <v>0</v>
          </cell>
          <cell r="F1426">
            <v>0</v>
          </cell>
          <cell r="G1426">
            <v>0</v>
          </cell>
        </row>
        <row r="1427">
          <cell r="B1427">
            <v>3393</v>
          </cell>
          <cell r="C1427" t="str">
            <v>Reversão de Custos/Despesas</v>
          </cell>
          <cell r="D1427">
            <v>-54245.26</v>
          </cell>
          <cell r="E1427">
            <v>0</v>
          </cell>
          <cell r="F1427">
            <v>0</v>
          </cell>
          <cell r="G1427">
            <v>54245.26</v>
          </cell>
        </row>
        <row r="1428">
          <cell r="B1428">
            <v>33931</v>
          </cell>
          <cell r="C1428" t="str">
            <v>Recuperação de Despesa e Custo</v>
          </cell>
          <cell r="D1428">
            <v>-54245.26</v>
          </cell>
          <cell r="E1428">
            <v>0</v>
          </cell>
          <cell r="F1428">
            <v>0</v>
          </cell>
          <cell r="G1428">
            <v>54245.26</v>
          </cell>
        </row>
        <row r="1429">
          <cell r="B1429">
            <v>33932</v>
          </cell>
          <cell r="C1429" t="str">
            <v>Reversão Provisão de Contingências</v>
          </cell>
          <cell r="D1429">
            <v>0</v>
          </cell>
          <cell r="E1429">
            <v>0</v>
          </cell>
          <cell r="F1429">
            <v>0</v>
          </cell>
          <cell r="G1429">
            <v>0</v>
          </cell>
        </row>
        <row r="1430">
          <cell r="B1430">
            <v>3394</v>
          </cell>
          <cell r="C1430" t="str">
            <v>Receita de Alienação de Investimento</v>
          </cell>
          <cell r="D1430">
            <v>0</v>
          </cell>
          <cell r="E1430">
            <v>0</v>
          </cell>
          <cell r="F1430">
            <v>0</v>
          </cell>
          <cell r="G1430">
            <v>0</v>
          </cell>
        </row>
        <row r="1431">
          <cell r="B1431">
            <v>33941</v>
          </cell>
          <cell r="C1431" t="str">
            <v>Ganhos na Alienação de Investimentos</v>
          </cell>
          <cell r="D1431">
            <v>0</v>
          </cell>
          <cell r="E1431">
            <v>0</v>
          </cell>
          <cell r="F1431">
            <v>0</v>
          </cell>
          <cell r="G1431">
            <v>0</v>
          </cell>
        </row>
        <row r="1432">
          <cell r="B1432">
            <v>3395</v>
          </cell>
          <cell r="C1432" t="str">
            <v>Receitas de Equivalência Patrimonial</v>
          </cell>
          <cell r="D1432">
            <v>0</v>
          </cell>
          <cell r="E1432">
            <v>0</v>
          </cell>
          <cell r="F1432">
            <v>0</v>
          </cell>
          <cell r="G1432">
            <v>0</v>
          </cell>
        </row>
        <row r="1433">
          <cell r="B1433">
            <v>33951</v>
          </cell>
          <cell r="C1433" t="str">
            <v>Resultado Positivo de Equiv. Patrimonial</v>
          </cell>
          <cell r="D1433">
            <v>0</v>
          </cell>
          <cell r="E1433">
            <v>0</v>
          </cell>
          <cell r="F1433">
            <v>0</v>
          </cell>
          <cell r="G1433">
            <v>0</v>
          </cell>
        </row>
        <row r="1434">
          <cell r="B1434">
            <v>3396</v>
          </cell>
          <cell r="C1434" t="str">
            <v>Receita de Alienação de Imobilizado</v>
          </cell>
          <cell r="D1434">
            <v>0</v>
          </cell>
          <cell r="E1434">
            <v>0</v>
          </cell>
          <cell r="F1434">
            <v>0</v>
          </cell>
          <cell r="G1434">
            <v>0</v>
          </cell>
        </row>
        <row r="1435">
          <cell r="B1435">
            <v>33961</v>
          </cell>
          <cell r="C1435" t="str">
            <v>Ganho na Alienação de Imobilizado</v>
          </cell>
          <cell r="D1435">
            <v>0</v>
          </cell>
          <cell r="E1435">
            <v>0</v>
          </cell>
          <cell r="F1435">
            <v>0</v>
          </cell>
          <cell r="G1435">
            <v>0</v>
          </cell>
        </row>
        <row r="1436">
          <cell r="B1436">
            <v>3397</v>
          </cell>
          <cell r="C1436" t="str">
            <v>Receitas de Alienação de Diferido</v>
          </cell>
          <cell r="D1436">
            <v>0</v>
          </cell>
          <cell r="E1436">
            <v>0</v>
          </cell>
          <cell r="F1436">
            <v>0</v>
          </cell>
          <cell r="G1436">
            <v>0</v>
          </cell>
        </row>
        <row r="1437">
          <cell r="B1437">
            <v>33971</v>
          </cell>
          <cell r="C1437" t="str">
            <v>Ganho na Alienação de Diferido</v>
          </cell>
          <cell r="D1437">
            <v>0</v>
          </cell>
          <cell r="E1437">
            <v>0</v>
          </cell>
          <cell r="F1437">
            <v>0</v>
          </cell>
          <cell r="G1437">
            <v>0</v>
          </cell>
        </row>
        <row r="1438">
          <cell r="B1438">
            <v>3398</v>
          </cell>
          <cell r="C1438" t="str">
            <v>Reversão de Perda com Impairment</v>
          </cell>
          <cell r="D1438">
            <v>0</v>
          </cell>
          <cell r="E1438">
            <v>0</v>
          </cell>
          <cell r="F1438">
            <v>0</v>
          </cell>
          <cell r="G1438">
            <v>0</v>
          </cell>
        </row>
        <row r="1439">
          <cell r="B1439">
            <v>33981</v>
          </cell>
          <cell r="C1439" t="str">
            <v>Reversão de Perda com Impairment</v>
          </cell>
          <cell r="D1439">
            <v>0</v>
          </cell>
          <cell r="E1439">
            <v>0</v>
          </cell>
          <cell r="F1439">
            <v>0</v>
          </cell>
          <cell r="G1439">
            <v>0</v>
          </cell>
        </row>
        <row r="1440">
          <cell r="B1440">
            <v>3399</v>
          </cell>
          <cell r="C1440" t="str">
            <v>Receita Concurso Público</v>
          </cell>
          <cell r="D1440">
            <v>-372250.01</v>
          </cell>
          <cell r="E1440">
            <v>0</v>
          </cell>
          <cell r="F1440">
            <v>0</v>
          </cell>
          <cell r="G1440">
            <v>372250.01</v>
          </cell>
        </row>
        <row r="1441">
          <cell r="B1441">
            <v>33991</v>
          </cell>
          <cell r="C1441" t="str">
            <v>Receita de Concurso Público</v>
          </cell>
          <cell r="D1441">
            <v>-372250.01</v>
          </cell>
          <cell r="E1441">
            <v>0</v>
          </cell>
          <cell r="F1441">
            <v>0</v>
          </cell>
          <cell r="G1441">
            <v>372250.01</v>
          </cell>
        </row>
        <row r="1442">
          <cell r="B1442">
            <v>33999</v>
          </cell>
          <cell r="C1442" t="str">
            <v>Outras Receitas</v>
          </cell>
          <cell r="D1442">
            <v>0</v>
          </cell>
          <cell r="E1442">
            <v>0</v>
          </cell>
          <cell r="F1442">
            <v>0</v>
          </cell>
          <cell r="G1442">
            <v>0</v>
          </cell>
        </row>
        <row r="1443">
          <cell r="B1443">
            <v>339991</v>
          </cell>
          <cell r="C1443" t="str">
            <v>Outras Receitas</v>
          </cell>
          <cell r="D1443">
            <v>0</v>
          </cell>
          <cell r="E1443">
            <v>0</v>
          </cell>
          <cell r="F1443">
            <v>0</v>
          </cell>
          <cell r="G1443">
            <v>0</v>
          </cell>
        </row>
        <row r="1444">
          <cell r="B1444">
            <v>339992</v>
          </cell>
          <cell r="C1444" t="str">
            <v>Receita de Concurso Público</v>
          </cell>
          <cell r="D1444">
            <v>0</v>
          </cell>
          <cell r="E1444">
            <v>0</v>
          </cell>
          <cell r="F1444">
            <v>0</v>
          </cell>
          <cell r="G1444">
            <v>0</v>
          </cell>
        </row>
        <row r="1445">
          <cell r="B1445">
            <v>4</v>
          </cell>
          <cell r="C1445" t="str">
            <v>Custos e Despesas</v>
          </cell>
          <cell r="D1445">
            <v>37171645.869999997</v>
          </cell>
          <cell r="E1445">
            <v>8916494.3300000001</v>
          </cell>
          <cell r="F1445">
            <v>-94365.31</v>
          </cell>
          <cell r="G1445">
            <v>45993774.890000001</v>
          </cell>
        </row>
        <row r="1446">
          <cell r="B1446">
            <v>41</v>
          </cell>
          <cell r="C1446" t="str">
            <v>Custos</v>
          </cell>
          <cell r="D1446">
            <v>22699903.07</v>
          </cell>
          <cell r="E1446">
            <v>5645019.6900000004</v>
          </cell>
          <cell r="F1446">
            <v>-42428.29</v>
          </cell>
          <cell r="G1446">
            <v>28302494.469999999</v>
          </cell>
        </row>
        <row r="1447">
          <cell r="B1447">
            <v>411</v>
          </cell>
          <cell r="C1447" t="str">
            <v>Gastos com Pessoal - Serviços</v>
          </cell>
          <cell r="D1447">
            <v>18336239.5</v>
          </cell>
          <cell r="E1447">
            <v>4577938.32</v>
          </cell>
          <cell r="F1447">
            <v>-37381.42</v>
          </cell>
          <cell r="G1447">
            <v>22876796.399999999</v>
          </cell>
        </row>
        <row r="1448">
          <cell r="B1448">
            <v>4111</v>
          </cell>
          <cell r="C1448" t="str">
            <v>Remunerações</v>
          </cell>
          <cell r="D1448">
            <v>12756968.58</v>
          </cell>
          <cell r="E1448">
            <v>3175943.25</v>
          </cell>
          <cell r="F1448">
            <v>-27481.71</v>
          </cell>
          <cell r="G1448">
            <v>15905430.119999999</v>
          </cell>
        </row>
        <row r="1449">
          <cell r="B1449">
            <v>41111</v>
          </cell>
          <cell r="C1449" t="str">
            <v>Salários</v>
          </cell>
          <cell r="D1449">
            <v>10488768.09</v>
          </cell>
          <cell r="E1449">
            <v>2582693.79</v>
          </cell>
          <cell r="F1449">
            <v>-2237.69</v>
          </cell>
          <cell r="G1449">
            <v>13069224.189999999</v>
          </cell>
        </row>
        <row r="1450">
          <cell r="B1450">
            <v>41112</v>
          </cell>
          <cell r="C1450" t="str">
            <v>Gratificações</v>
          </cell>
          <cell r="D1450">
            <v>0</v>
          </cell>
          <cell r="E1450">
            <v>0</v>
          </cell>
          <cell r="F1450">
            <v>0</v>
          </cell>
          <cell r="G1450">
            <v>0</v>
          </cell>
        </row>
        <row r="1451">
          <cell r="B1451">
            <v>41113</v>
          </cell>
          <cell r="C1451" t="str">
            <v>Adicionais por Tempo de Serviço</v>
          </cell>
          <cell r="D1451">
            <v>0</v>
          </cell>
          <cell r="E1451">
            <v>0</v>
          </cell>
          <cell r="F1451">
            <v>0</v>
          </cell>
          <cell r="G1451">
            <v>0</v>
          </cell>
        </row>
        <row r="1452">
          <cell r="B1452">
            <v>41114</v>
          </cell>
          <cell r="C1452" t="str">
            <v>Horas Extraordinárias</v>
          </cell>
          <cell r="D1452">
            <v>0</v>
          </cell>
          <cell r="E1452">
            <v>0</v>
          </cell>
          <cell r="F1452">
            <v>0</v>
          </cell>
          <cell r="G1452">
            <v>0</v>
          </cell>
        </row>
        <row r="1453">
          <cell r="B1453">
            <v>41115</v>
          </cell>
          <cell r="C1453" t="str">
            <v>Abonos</v>
          </cell>
          <cell r="D1453">
            <v>0</v>
          </cell>
          <cell r="E1453">
            <v>0</v>
          </cell>
          <cell r="F1453">
            <v>0</v>
          </cell>
          <cell r="G1453">
            <v>0</v>
          </cell>
        </row>
        <row r="1454">
          <cell r="B1454">
            <v>41116</v>
          </cell>
          <cell r="C1454" t="str">
            <v>Aviso Prévio e Indenizações</v>
          </cell>
          <cell r="D1454">
            <v>0</v>
          </cell>
          <cell r="E1454">
            <v>0</v>
          </cell>
          <cell r="F1454">
            <v>0</v>
          </cell>
          <cell r="G1454">
            <v>0</v>
          </cell>
        </row>
        <row r="1455">
          <cell r="B1455">
            <v>41117</v>
          </cell>
          <cell r="C1455" t="str">
            <v>Provisão de Férias e Encargos Sociais</v>
          </cell>
          <cell r="D1455">
            <v>1119229.26</v>
          </cell>
          <cell r="E1455">
            <v>311186.11</v>
          </cell>
          <cell r="F1455">
            <v>-25244.02</v>
          </cell>
          <cell r="G1455">
            <v>1405171.35</v>
          </cell>
        </row>
        <row r="1456">
          <cell r="B1456">
            <v>41118</v>
          </cell>
          <cell r="C1456" t="str">
            <v>Abono Pecuniário de Férias</v>
          </cell>
          <cell r="D1456">
            <v>151286.03</v>
          </cell>
          <cell r="E1456">
            <v>25244.02</v>
          </cell>
          <cell r="F1456">
            <v>0</v>
          </cell>
          <cell r="G1456">
            <v>176530.05</v>
          </cell>
        </row>
        <row r="1457">
          <cell r="B1457">
            <v>41119</v>
          </cell>
          <cell r="C1457" t="str">
            <v>Provisão de 13º Salários e Enc. Sociais</v>
          </cell>
          <cell r="D1457">
            <v>950998.28</v>
          </cell>
          <cell r="E1457">
            <v>232283.69</v>
          </cell>
          <cell r="F1457">
            <v>0</v>
          </cell>
          <cell r="G1457">
            <v>1183281.97</v>
          </cell>
        </row>
        <row r="1458">
          <cell r="B1458">
            <v>411110</v>
          </cell>
          <cell r="C1458" t="str">
            <v>Salario Maternidade - Prorrogação</v>
          </cell>
          <cell r="D1458">
            <v>0</v>
          </cell>
          <cell r="E1458">
            <v>0</v>
          </cell>
          <cell r="F1458">
            <v>0</v>
          </cell>
          <cell r="G1458">
            <v>0</v>
          </cell>
        </row>
        <row r="1459">
          <cell r="B1459">
            <v>411111</v>
          </cell>
          <cell r="C1459" t="str">
            <v>Salario Maternidade - Prorrogação</v>
          </cell>
          <cell r="D1459">
            <v>22161.22</v>
          </cell>
          <cell r="E1459">
            <v>24535.64</v>
          </cell>
          <cell r="F1459">
            <v>0</v>
          </cell>
          <cell r="G1459">
            <v>46696.86</v>
          </cell>
        </row>
        <row r="1460">
          <cell r="B1460">
            <v>411113</v>
          </cell>
          <cell r="C1460" t="str">
            <v>Licença Paternidade Prorrogação</v>
          </cell>
          <cell r="D1460">
            <v>24525.7</v>
          </cell>
          <cell r="E1460">
            <v>0</v>
          </cell>
          <cell r="F1460">
            <v>0</v>
          </cell>
          <cell r="G1460">
            <v>24525.7</v>
          </cell>
        </row>
        <row r="1461">
          <cell r="B1461">
            <v>4111999</v>
          </cell>
          <cell r="C1461" t="str">
            <v>Outras Remunerações</v>
          </cell>
          <cell r="D1461">
            <v>0</v>
          </cell>
          <cell r="E1461">
            <v>0</v>
          </cell>
          <cell r="F1461">
            <v>0</v>
          </cell>
          <cell r="G1461">
            <v>0</v>
          </cell>
        </row>
        <row r="1462">
          <cell r="B1462">
            <v>4112</v>
          </cell>
          <cell r="C1462" t="str">
            <v>Encargos Sociais</v>
          </cell>
          <cell r="D1462">
            <v>3649886.33</v>
          </cell>
          <cell r="E1462">
            <v>920881.72</v>
          </cell>
          <cell r="F1462">
            <v>-7320.77</v>
          </cell>
          <cell r="G1462">
            <v>4563447.28</v>
          </cell>
        </row>
        <row r="1463">
          <cell r="B1463">
            <v>41121</v>
          </cell>
          <cell r="C1463" t="str">
            <v>INSS</v>
          </cell>
          <cell r="D1463">
            <v>2225063.48</v>
          </cell>
          <cell r="E1463">
            <v>552627.02</v>
          </cell>
          <cell r="F1463">
            <v>0</v>
          </cell>
          <cell r="G1463">
            <v>2777690.5</v>
          </cell>
        </row>
        <row r="1464">
          <cell r="B1464">
            <v>41122</v>
          </cell>
          <cell r="C1464" t="str">
            <v>FGTS</v>
          </cell>
          <cell r="D1464">
            <v>854063.48</v>
          </cell>
          <cell r="E1464">
            <v>210648.45</v>
          </cell>
          <cell r="F1464">
            <v>0</v>
          </cell>
          <cell r="G1464">
            <v>1064711.93</v>
          </cell>
        </row>
        <row r="1465">
          <cell r="B1465">
            <v>41123</v>
          </cell>
          <cell r="C1465" t="str">
            <v>Contribuições Sindicais</v>
          </cell>
          <cell r="D1465">
            <v>0</v>
          </cell>
          <cell r="E1465">
            <v>0</v>
          </cell>
          <cell r="F1465">
            <v>0</v>
          </cell>
          <cell r="G1465">
            <v>0</v>
          </cell>
        </row>
        <row r="1466">
          <cell r="B1466">
            <v>41124</v>
          </cell>
          <cell r="C1466" t="str">
            <v>INSS s/ 13º Salário</v>
          </cell>
          <cell r="D1466">
            <v>198226.43</v>
          </cell>
          <cell r="E1466">
            <v>48779.58</v>
          </cell>
          <cell r="F1466">
            <v>0</v>
          </cell>
          <cell r="G1466">
            <v>247006.01</v>
          </cell>
        </row>
        <row r="1467">
          <cell r="B1467">
            <v>41125</v>
          </cell>
          <cell r="C1467" t="str">
            <v>INSS s/ Férias</v>
          </cell>
          <cell r="D1467">
            <v>215242.41</v>
          </cell>
          <cell r="E1467">
            <v>65349.11</v>
          </cell>
          <cell r="F1467">
            <v>-5301.26</v>
          </cell>
          <cell r="G1467">
            <v>275290.26</v>
          </cell>
        </row>
        <row r="1468">
          <cell r="B1468">
            <v>41126</v>
          </cell>
          <cell r="C1468" t="str">
            <v>FGTS s/ Férias</v>
          </cell>
          <cell r="D1468">
            <v>81775.69</v>
          </cell>
          <cell r="E1468">
            <v>24894.95</v>
          </cell>
          <cell r="F1468">
            <v>-2019.51</v>
          </cell>
          <cell r="G1468">
            <v>104651.13</v>
          </cell>
        </row>
        <row r="1469">
          <cell r="B1469">
            <v>41127</v>
          </cell>
          <cell r="C1469" t="str">
            <v>FGTS s/ 13º Salário</v>
          </cell>
          <cell r="D1469">
            <v>75514.84</v>
          </cell>
          <cell r="E1469">
            <v>18582.61</v>
          </cell>
          <cell r="F1469">
            <v>0</v>
          </cell>
          <cell r="G1469">
            <v>94097.45</v>
          </cell>
        </row>
        <row r="1470">
          <cell r="B1470">
            <v>4112999</v>
          </cell>
          <cell r="C1470" t="str">
            <v>Outros Encargos</v>
          </cell>
          <cell r="D1470">
            <v>0</v>
          </cell>
          <cell r="E1470">
            <v>0</v>
          </cell>
          <cell r="F1470">
            <v>0</v>
          </cell>
          <cell r="G1470">
            <v>0</v>
          </cell>
        </row>
        <row r="1471">
          <cell r="B1471">
            <v>4113</v>
          </cell>
          <cell r="C1471" t="str">
            <v>Benefícios</v>
          </cell>
          <cell r="D1471">
            <v>1929384.59</v>
          </cell>
          <cell r="E1471">
            <v>481113.35</v>
          </cell>
          <cell r="F1471">
            <v>-2578.94</v>
          </cell>
          <cell r="G1471">
            <v>2407919</v>
          </cell>
        </row>
        <row r="1472">
          <cell r="B1472">
            <v>41131</v>
          </cell>
          <cell r="C1472" t="str">
            <v>Previdência Privada Complementar</v>
          </cell>
          <cell r="D1472">
            <v>793339.72</v>
          </cell>
          <cell r="E1472">
            <v>193823.07</v>
          </cell>
          <cell r="F1472">
            <v>0</v>
          </cell>
          <cell r="G1472">
            <v>987162.79</v>
          </cell>
        </row>
        <row r="1473">
          <cell r="B1473">
            <v>41132</v>
          </cell>
          <cell r="C1473" t="str">
            <v>Auxílio Alimentação</v>
          </cell>
          <cell r="D1473">
            <v>590849.68999999994</v>
          </cell>
          <cell r="E1473">
            <v>145250.84</v>
          </cell>
          <cell r="F1473">
            <v>0</v>
          </cell>
          <cell r="G1473">
            <v>736100.53</v>
          </cell>
        </row>
        <row r="1474">
          <cell r="B1474">
            <v>41133</v>
          </cell>
          <cell r="C1474" t="str">
            <v>Auxílio Transporte</v>
          </cell>
          <cell r="D1474">
            <v>-494.58</v>
          </cell>
          <cell r="E1474">
            <v>2795.38</v>
          </cell>
          <cell r="F1474">
            <v>-2300.8000000000002</v>
          </cell>
          <cell r="G1474">
            <v>0</v>
          </cell>
        </row>
        <row r="1475">
          <cell r="B1475">
            <v>41134</v>
          </cell>
          <cell r="C1475" t="str">
            <v>Auxílio Moradia</v>
          </cell>
          <cell r="D1475">
            <v>0</v>
          </cell>
          <cell r="E1475">
            <v>0</v>
          </cell>
          <cell r="F1475">
            <v>0</v>
          </cell>
          <cell r="G1475">
            <v>0</v>
          </cell>
        </row>
        <row r="1476">
          <cell r="B1476">
            <v>41135</v>
          </cell>
          <cell r="C1476" t="str">
            <v>Auxílio Creche</v>
          </cell>
          <cell r="D1476">
            <v>162429.31</v>
          </cell>
          <cell r="E1476">
            <v>43634.11</v>
          </cell>
          <cell r="F1476">
            <v>0</v>
          </cell>
          <cell r="G1476">
            <v>206063.42</v>
          </cell>
        </row>
        <row r="1477">
          <cell r="B1477">
            <v>41136</v>
          </cell>
          <cell r="C1477" t="str">
            <v>Assistência Médica e  Odontológica</v>
          </cell>
          <cell r="D1477">
            <v>374790.47</v>
          </cell>
          <cell r="E1477">
            <v>93545.35</v>
          </cell>
          <cell r="F1477">
            <v>0</v>
          </cell>
          <cell r="G1477">
            <v>468335.82</v>
          </cell>
        </row>
        <row r="1478">
          <cell r="B1478">
            <v>41137</v>
          </cell>
          <cell r="C1478" t="str">
            <v>Seguro de Vida</v>
          </cell>
          <cell r="D1478">
            <v>0</v>
          </cell>
          <cell r="E1478">
            <v>0</v>
          </cell>
          <cell r="F1478">
            <v>0</v>
          </cell>
          <cell r="G1478">
            <v>0</v>
          </cell>
        </row>
        <row r="1479">
          <cell r="B1479">
            <v>41138</v>
          </cell>
          <cell r="C1479" t="str">
            <v>Recreação e Lazer</v>
          </cell>
          <cell r="D1479">
            <v>0</v>
          </cell>
          <cell r="E1479">
            <v>0</v>
          </cell>
          <cell r="F1479">
            <v>0</v>
          </cell>
          <cell r="G1479">
            <v>0</v>
          </cell>
        </row>
        <row r="1480">
          <cell r="B1480">
            <v>41139</v>
          </cell>
          <cell r="C1480" t="str">
            <v>Assistência e Capacitação Profissional</v>
          </cell>
          <cell r="D1480">
            <v>0</v>
          </cell>
          <cell r="E1480">
            <v>0</v>
          </cell>
          <cell r="F1480">
            <v>0</v>
          </cell>
          <cell r="G1480">
            <v>0</v>
          </cell>
        </row>
        <row r="1481">
          <cell r="B1481">
            <v>411310</v>
          </cell>
          <cell r="C1481" t="str">
            <v>Vale Cultura</v>
          </cell>
          <cell r="D1481">
            <v>1752</v>
          </cell>
          <cell r="E1481">
            <v>650</v>
          </cell>
          <cell r="F1481">
            <v>-212</v>
          </cell>
          <cell r="G1481">
            <v>2190</v>
          </cell>
        </row>
        <row r="1482">
          <cell r="B1482">
            <v>411311</v>
          </cell>
          <cell r="C1482" t="str">
            <v>Saúde Ocupacional</v>
          </cell>
          <cell r="D1482">
            <v>6717.98</v>
          </cell>
          <cell r="E1482">
            <v>1414.6</v>
          </cell>
          <cell r="F1482">
            <v>-66.14</v>
          </cell>
          <cell r="G1482">
            <v>8066.44</v>
          </cell>
        </row>
        <row r="1483">
          <cell r="B1483">
            <v>4113999</v>
          </cell>
          <cell r="C1483" t="str">
            <v>Outros benefícios</v>
          </cell>
          <cell r="D1483">
            <v>0</v>
          </cell>
          <cell r="E1483">
            <v>0</v>
          </cell>
          <cell r="F1483">
            <v>0</v>
          </cell>
          <cell r="G1483">
            <v>0</v>
          </cell>
        </row>
        <row r="1484">
          <cell r="B1484">
            <v>4119</v>
          </cell>
          <cell r="C1484" t="str">
            <v>Outros Gastos de Pessoal</v>
          </cell>
          <cell r="D1484">
            <v>0</v>
          </cell>
          <cell r="E1484">
            <v>0</v>
          </cell>
          <cell r="F1484">
            <v>0</v>
          </cell>
          <cell r="G1484">
            <v>0</v>
          </cell>
        </row>
        <row r="1485">
          <cell r="B1485">
            <v>4119999</v>
          </cell>
          <cell r="C1485" t="str">
            <v>Outros Custos</v>
          </cell>
          <cell r="D1485">
            <v>0</v>
          </cell>
          <cell r="E1485">
            <v>0</v>
          </cell>
          <cell r="F1485">
            <v>0</v>
          </cell>
          <cell r="G1485">
            <v>0</v>
          </cell>
        </row>
        <row r="1486">
          <cell r="B1486">
            <v>41110</v>
          </cell>
          <cell r="C1486" t="str">
            <v>Indenizações</v>
          </cell>
          <cell r="D1486">
            <v>0</v>
          </cell>
          <cell r="E1486">
            <v>0</v>
          </cell>
          <cell r="F1486">
            <v>0</v>
          </cell>
          <cell r="G1486">
            <v>0</v>
          </cell>
        </row>
        <row r="1487">
          <cell r="B1487">
            <v>411101</v>
          </cell>
          <cell r="C1487" t="str">
            <v>Indenizações Trabalhistas</v>
          </cell>
          <cell r="D1487">
            <v>0</v>
          </cell>
          <cell r="E1487">
            <v>0</v>
          </cell>
          <cell r="F1487">
            <v>0</v>
          </cell>
          <cell r="G1487">
            <v>0</v>
          </cell>
        </row>
        <row r="1488">
          <cell r="B1488">
            <v>41199</v>
          </cell>
          <cell r="C1488" t="str">
            <v>(-) Reembolso de Custos de Pessoal</v>
          </cell>
          <cell r="D1488">
            <v>0</v>
          </cell>
          <cell r="E1488">
            <v>0</v>
          </cell>
          <cell r="F1488">
            <v>0</v>
          </cell>
          <cell r="G1488">
            <v>0</v>
          </cell>
        </row>
        <row r="1489">
          <cell r="B1489">
            <v>41199998</v>
          </cell>
          <cell r="C1489" t="str">
            <v>(-) Reembolso de custos - Convênios</v>
          </cell>
          <cell r="D1489">
            <v>0</v>
          </cell>
          <cell r="E1489">
            <v>0</v>
          </cell>
          <cell r="F1489">
            <v>0</v>
          </cell>
          <cell r="G1489">
            <v>0</v>
          </cell>
        </row>
        <row r="1490">
          <cell r="B1490">
            <v>412</v>
          </cell>
          <cell r="C1490" t="str">
            <v>Custos com Materiais - Serviços</v>
          </cell>
          <cell r="D1490">
            <v>0</v>
          </cell>
          <cell r="E1490">
            <v>0</v>
          </cell>
          <cell r="F1490">
            <v>0</v>
          </cell>
          <cell r="G1490">
            <v>0</v>
          </cell>
        </row>
        <row r="1491">
          <cell r="B1491">
            <v>4121</v>
          </cell>
          <cell r="C1491" t="str">
            <v>Materiais Nacionais</v>
          </cell>
          <cell r="D1491">
            <v>0</v>
          </cell>
          <cell r="E1491">
            <v>0</v>
          </cell>
          <cell r="F1491">
            <v>0</v>
          </cell>
          <cell r="G1491">
            <v>0</v>
          </cell>
        </row>
        <row r="1492">
          <cell r="B1492">
            <v>41211</v>
          </cell>
          <cell r="C1492" t="str">
            <v>Materiais Adm. e de Expediente</v>
          </cell>
          <cell r="D1492">
            <v>0</v>
          </cell>
          <cell r="E1492">
            <v>0</v>
          </cell>
          <cell r="F1492">
            <v>0</v>
          </cell>
          <cell r="G1492">
            <v>0</v>
          </cell>
        </row>
        <row r="1493">
          <cell r="B1493">
            <v>41212</v>
          </cell>
          <cell r="C1493" t="str">
            <v>Combustíveis e Lubrificantes</v>
          </cell>
          <cell r="D1493">
            <v>0</v>
          </cell>
          <cell r="E1493">
            <v>0</v>
          </cell>
          <cell r="F1493">
            <v>0</v>
          </cell>
          <cell r="G1493">
            <v>0</v>
          </cell>
        </row>
        <row r="1494">
          <cell r="B1494">
            <v>41213</v>
          </cell>
          <cell r="C1494" t="str">
            <v>Materiais e Equipamentos</v>
          </cell>
          <cell r="D1494">
            <v>0</v>
          </cell>
          <cell r="E1494">
            <v>0</v>
          </cell>
          <cell r="F1494">
            <v>0</v>
          </cell>
          <cell r="G1494">
            <v>0</v>
          </cell>
        </row>
        <row r="1495">
          <cell r="B1495">
            <v>4121998</v>
          </cell>
          <cell r="C1495" t="str">
            <v>(-) Reemb. Custos  de Materiais Convenio</v>
          </cell>
          <cell r="D1495">
            <v>0</v>
          </cell>
          <cell r="E1495">
            <v>0</v>
          </cell>
          <cell r="F1495">
            <v>0</v>
          </cell>
          <cell r="G1495">
            <v>0</v>
          </cell>
        </row>
        <row r="1496">
          <cell r="B1496">
            <v>4121999</v>
          </cell>
          <cell r="C1496" t="str">
            <v>Outros Materiais Nacionais</v>
          </cell>
          <cell r="D1496">
            <v>0</v>
          </cell>
          <cell r="E1496">
            <v>0</v>
          </cell>
          <cell r="F1496">
            <v>0</v>
          </cell>
          <cell r="G1496">
            <v>0</v>
          </cell>
        </row>
        <row r="1497">
          <cell r="B1497">
            <v>4122</v>
          </cell>
          <cell r="C1497" t="str">
            <v>Materiais Estrangeiros</v>
          </cell>
          <cell r="D1497">
            <v>0</v>
          </cell>
          <cell r="E1497">
            <v>0</v>
          </cell>
          <cell r="F1497">
            <v>0</v>
          </cell>
          <cell r="G1497">
            <v>0</v>
          </cell>
        </row>
        <row r="1498">
          <cell r="B1498">
            <v>41221</v>
          </cell>
          <cell r="C1498" t="str">
            <v>Materiais e Equipamentos</v>
          </cell>
          <cell r="D1498">
            <v>0</v>
          </cell>
          <cell r="E1498">
            <v>0</v>
          </cell>
          <cell r="F1498">
            <v>0</v>
          </cell>
          <cell r="G1498">
            <v>0</v>
          </cell>
        </row>
        <row r="1499">
          <cell r="B1499">
            <v>4122999</v>
          </cell>
          <cell r="C1499" t="str">
            <v>Outros Materiais Estrangeiros</v>
          </cell>
          <cell r="D1499">
            <v>0</v>
          </cell>
          <cell r="E1499">
            <v>0</v>
          </cell>
          <cell r="F1499">
            <v>0</v>
          </cell>
          <cell r="G1499">
            <v>0</v>
          </cell>
        </row>
        <row r="1500">
          <cell r="B1500">
            <v>41299</v>
          </cell>
          <cell r="C1500" t="str">
            <v>(-) Reembolso de Custos de Materiais</v>
          </cell>
          <cell r="D1500">
            <v>0</v>
          </cell>
          <cell r="E1500">
            <v>0</v>
          </cell>
          <cell r="F1500">
            <v>0</v>
          </cell>
          <cell r="G1500">
            <v>0</v>
          </cell>
        </row>
        <row r="1501">
          <cell r="B1501">
            <v>41299998</v>
          </cell>
          <cell r="C1501" t="str">
            <v>(-) Reemb. de  Custos - Convênios</v>
          </cell>
          <cell r="D1501">
            <v>0</v>
          </cell>
          <cell r="E1501">
            <v>0</v>
          </cell>
          <cell r="F1501">
            <v>0</v>
          </cell>
          <cell r="G1501">
            <v>0</v>
          </cell>
        </row>
        <row r="1502">
          <cell r="B1502">
            <v>413</v>
          </cell>
          <cell r="C1502" t="str">
            <v>Custos c/ Serviços de Terceiros - Serv.</v>
          </cell>
          <cell r="D1502">
            <v>2049632.66</v>
          </cell>
          <cell r="E1502">
            <v>326577.91999999998</v>
          </cell>
          <cell r="F1502">
            <v>-5046.87</v>
          </cell>
          <cell r="G1502">
            <v>2371163.71</v>
          </cell>
        </row>
        <row r="1503">
          <cell r="B1503">
            <v>4131</v>
          </cell>
          <cell r="C1503" t="str">
            <v>Serviços de Terceiros Nacionais</v>
          </cell>
          <cell r="D1503">
            <v>2049632.66</v>
          </cell>
          <cell r="E1503">
            <v>326577.91999999998</v>
          </cell>
          <cell r="F1503">
            <v>-5046.87</v>
          </cell>
          <cell r="G1503">
            <v>2371163.71</v>
          </cell>
        </row>
        <row r="1504">
          <cell r="B1504">
            <v>41311</v>
          </cell>
          <cell r="C1504" t="str">
            <v>Serviços de Consultoria</v>
          </cell>
          <cell r="D1504">
            <v>1389873.45</v>
          </cell>
          <cell r="E1504">
            <v>142934.79</v>
          </cell>
          <cell r="F1504">
            <v>0</v>
          </cell>
          <cell r="G1504">
            <v>1532808.24</v>
          </cell>
        </row>
        <row r="1505">
          <cell r="B1505">
            <v>41312</v>
          </cell>
          <cell r="C1505" t="str">
            <v>Serviços de Apoio Técnico e/ou Administrativo</v>
          </cell>
          <cell r="D1505">
            <v>247410.84</v>
          </cell>
          <cell r="E1505">
            <v>69424.62</v>
          </cell>
          <cell r="F1505">
            <v>0</v>
          </cell>
          <cell r="G1505">
            <v>316835.46000000002</v>
          </cell>
        </row>
        <row r="1506">
          <cell r="B1506">
            <v>41313</v>
          </cell>
          <cell r="C1506" t="str">
            <v>Cessão ou Requisição de Pessoal</v>
          </cell>
          <cell r="D1506">
            <v>69457.89</v>
          </cell>
          <cell r="E1506">
            <v>11461.46</v>
          </cell>
          <cell r="F1506">
            <v>-1070.99</v>
          </cell>
          <cell r="G1506">
            <v>79848.36</v>
          </cell>
        </row>
        <row r="1507">
          <cell r="B1507">
            <v>41314</v>
          </cell>
          <cell r="C1507" t="str">
            <v>Publicidade</v>
          </cell>
          <cell r="D1507">
            <v>0</v>
          </cell>
          <cell r="E1507">
            <v>0</v>
          </cell>
          <cell r="F1507">
            <v>0</v>
          </cell>
          <cell r="G1507">
            <v>0</v>
          </cell>
        </row>
        <row r="1508">
          <cell r="B1508">
            <v>41315</v>
          </cell>
          <cell r="C1508" t="str">
            <v>Cursos, Seminários e Convenções</v>
          </cell>
          <cell r="D1508">
            <v>211439.68</v>
          </cell>
          <cell r="E1508">
            <v>38151.480000000003</v>
          </cell>
          <cell r="F1508">
            <v>-3975.88</v>
          </cell>
          <cell r="G1508">
            <v>245615.28</v>
          </cell>
        </row>
        <row r="1509">
          <cell r="B1509">
            <v>41316</v>
          </cell>
          <cell r="C1509" t="str">
            <v>Serviços de Processamentos de Dados</v>
          </cell>
          <cell r="D1509">
            <v>0</v>
          </cell>
          <cell r="E1509">
            <v>0</v>
          </cell>
          <cell r="F1509">
            <v>0</v>
          </cell>
          <cell r="G1509">
            <v>0</v>
          </cell>
        </row>
        <row r="1510">
          <cell r="B1510">
            <v>41317</v>
          </cell>
          <cell r="C1510" t="str">
            <v>Serviços de Manut. Equip. de Informática</v>
          </cell>
          <cell r="D1510">
            <v>0</v>
          </cell>
          <cell r="E1510">
            <v>0</v>
          </cell>
          <cell r="F1510">
            <v>0</v>
          </cell>
          <cell r="G1510">
            <v>0</v>
          </cell>
        </row>
        <row r="1511">
          <cell r="B1511">
            <v>41318</v>
          </cell>
          <cell r="C1511" t="str">
            <v>Serv. Contábeis, Folha Pgto e  Auditoria</v>
          </cell>
          <cell r="D1511">
            <v>0</v>
          </cell>
          <cell r="E1511">
            <v>0</v>
          </cell>
          <cell r="F1511">
            <v>0</v>
          </cell>
          <cell r="G1511">
            <v>0</v>
          </cell>
        </row>
        <row r="1512">
          <cell r="B1512">
            <v>41319</v>
          </cell>
          <cell r="C1512" t="str">
            <v>Serviços de Limpeza</v>
          </cell>
          <cell r="D1512">
            <v>0</v>
          </cell>
          <cell r="E1512">
            <v>0</v>
          </cell>
          <cell r="F1512">
            <v>0</v>
          </cell>
          <cell r="G1512">
            <v>0</v>
          </cell>
        </row>
        <row r="1513">
          <cell r="B1513">
            <v>413110</v>
          </cell>
          <cell r="C1513" t="str">
            <v>Serviços de Segurança</v>
          </cell>
          <cell r="D1513">
            <v>0</v>
          </cell>
          <cell r="E1513">
            <v>0</v>
          </cell>
          <cell r="F1513">
            <v>0</v>
          </cell>
          <cell r="G1513">
            <v>0</v>
          </cell>
        </row>
        <row r="1514">
          <cell r="B1514">
            <v>413111</v>
          </cell>
          <cell r="C1514" t="str">
            <v>Gastos com licença ambiental</v>
          </cell>
          <cell r="D1514">
            <v>0</v>
          </cell>
          <cell r="E1514">
            <v>0</v>
          </cell>
          <cell r="F1514">
            <v>0</v>
          </cell>
          <cell r="G1514">
            <v>0</v>
          </cell>
        </row>
        <row r="1515">
          <cell r="B1515">
            <v>413112</v>
          </cell>
          <cell r="C1515" t="str">
            <v>Serviços Gerais</v>
          </cell>
          <cell r="D1515">
            <v>0</v>
          </cell>
          <cell r="E1515">
            <v>0</v>
          </cell>
          <cell r="F1515">
            <v>0</v>
          </cell>
          <cell r="G1515">
            <v>0</v>
          </cell>
        </row>
        <row r="1516">
          <cell r="B1516">
            <v>413113</v>
          </cell>
          <cell r="C1516" t="str">
            <v>Locação de Veículos</v>
          </cell>
          <cell r="D1516">
            <v>0</v>
          </cell>
          <cell r="E1516">
            <v>0</v>
          </cell>
          <cell r="F1516">
            <v>0</v>
          </cell>
          <cell r="G1516">
            <v>0</v>
          </cell>
        </row>
        <row r="1517">
          <cell r="B1517">
            <v>413114</v>
          </cell>
          <cell r="C1517" t="str">
            <v>Cessão Temporária e Manutenção de Softwa</v>
          </cell>
          <cell r="D1517">
            <v>39808.19</v>
          </cell>
          <cell r="E1517">
            <v>40234.11</v>
          </cell>
          <cell r="F1517">
            <v>0</v>
          </cell>
          <cell r="G1517">
            <v>80042.3</v>
          </cell>
        </row>
        <row r="1518">
          <cell r="B1518">
            <v>413115</v>
          </cell>
          <cell r="C1518" t="str">
            <v>Serviços de Clipping e Multimídia</v>
          </cell>
          <cell r="D1518">
            <v>0</v>
          </cell>
          <cell r="E1518">
            <v>0</v>
          </cell>
          <cell r="F1518">
            <v>0</v>
          </cell>
          <cell r="G1518">
            <v>0</v>
          </cell>
        </row>
        <row r="1519">
          <cell r="B1519">
            <v>413117</v>
          </cell>
          <cell r="C1519" t="str">
            <v>Custos com Estagiarios</v>
          </cell>
          <cell r="D1519">
            <v>85729.87</v>
          </cell>
          <cell r="E1519">
            <v>24371.46</v>
          </cell>
          <cell r="F1519">
            <v>0</v>
          </cell>
          <cell r="G1519">
            <v>110101.33</v>
          </cell>
        </row>
        <row r="1520">
          <cell r="B1520">
            <v>413118</v>
          </cell>
          <cell r="C1520" t="str">
            <v>Custos com Jovens Aprendiz</v>
          </cell>
          <cell r="D1520">
            <v>0</v>
          </cell>
          <cell r="E1520">
            <v>0</v>
          </cell>
          <cell r="F1520">
            <v>0</v>
          </cell>
          <cell r="G1520">
            <v>0</v>
          </cell>
        </row>
        <row r="1521">
          <cell r="B1521">
            <v>4131997</v>
          </cell>
          <cell r="C1521" t="str">
            <v>Serviço Prestado PF</v>
          </cell>
          <cell r="D1521">
            <v>5912.74</v>
          </cell>
          <cell r="E1521">
            <v>0</v>
          </cell>
          <cell r="F1521">
            <v>0</v>
          </cell>
          <cell r="G1521">
            <v>5912.74</v>
          </cell>
        </row>
        <row r="1522">
          <cell r="B1522">
            <v>4131998</v>
          </cell>
          <cell r="C1522" t="str">
            <v>(-) Reemb. de custos - Convênios</v>
          </cell>
          <cell r="D1522">
            <v>0</v>
          </cell>
          <cell r="E1522">
            <v>0</v>
          </cell>
          <cell r="F1522">
            <v>0</v>
          </cell>
          <cell r="G1522">
            <v>0</v>
          </cell>
        </row>
        <row r="1523">
          <cell r="B1523">
            <v>4131999</v>
          </cell>
          <cell r="C1523" t="str">
            <v>Outros Serviços</v>
          </cell>
          <cell r="D1523">
            <v>0</v>
          </cell>
          <cell r="E1523">
            <v>0</v>
          </cell>
          <cell r="F1523">
            <v>0</v>
          </cell>
          <cell r="G1523">
            <v>0</v>
          </cell>
        </row>
        <row r="1524">
          <cell r="B1524">
            <v>4132</v>
          </cell>
          <cell r="C1524" t="str">
            <v>Serviços de Terceiros Estrangeiros</v>
          </cell>
          <cell r="D1524">
            <v>0</v>
          </cell>
          <cell r="E1524">
            <v>0</v>
          </cell>
          <cell r="F1524">
            <v>0</v>
          </cell>
          <cell r="G1524">
            <v>0</v>
          </cell>
        </row>
        <row r="1525">
          <cell r="B1525">
            <v>41321</v>
          </cell>
          <cell r="C1525" t="str">
            <v>Serviços de Consultoria</v>
          </cell>
          <cell r="D1525">
            <v>0</v>
          </cell>
          <cell r="E1525">
            <v>0</v>
          </cell>
          <cell r="F1525">
            <v>0</v>
          </cell>
          <cell r="G1525">
            <v>0</v>
          </cell>
        </row>
        <row r="1526">
          <cell r="B1526">
            <v>41322</v>
          </cell>
          <cell r="C1526" t="str">
            <v>Cessão Temporária e Manutenção de Softwa</v>
          </cell>
          <cell r="D1526">
            <v>0</v>
          </cell>
          <cell r="E1526">
            <v>0</v>
          </cell>
          <cell r="F1526">
            <v>0</v>
          </cell>
          <cell r="G1526">
            <v>0</v>
          </cell>
        </row>
        <row r="1527">
          <cell r="B1527">
            <v>4132999</v>
          </cell>
          <cell r="C1527" t="str">
            <v>Outros Serviços</v>
          </cell>
          <cell r="D1527">
            <v>0</v>
          </cell>
          <cell r="E1527">
            <v>0</v>
          </cell>
          <cell r="F1527">
            <v>0</v>
          </cell>
          <cell r="G1527">
            <v>0</v>
          </cell>
        </row>
        <row r="1528">
          <cell r="B1528">
            <v>414</v>
          </cell>
          <cell r="C1528" t="str">
            <v>Custos c/ Tributos - Serviços</v>
          </cell>
          <cell r="D1528">
            <v>102855.17</v>
          </cell>
          <cell r="E1528">
            <v>23996.87</v>
          </cell>
          <cell r="F1528">
            <v>0</v>
          </cell>
          <cell r="G1528">
            <v>126852.04</v>
          </cell>
        </row>
        <row r="1529">
          <cell r="B1529">
            <v>4141</v>
          </cell>
          <cell r="C1529" t="str">
            <v>Impostos, Taxas e Contribuições</v>
          </cell>
          <cell r="D1529">
            <v>102855.17</v>
          </cell>
          <cell r="E1529">
            <v>23996.87</v>
          </cell>
          <cell r="F1529">
            <v>0</v>
          </cell>
          <cell r="G1529">
            <v>126852.04</v>
          </cell>
        </row>
        <row r="1530">
          <cell r="B1530">
            <v>41411</v>
          </cell>
          <cell r="C1530" t="str">
            <v>ITR</v>
          </cell>
          <cell r="D1530">
            <v>0</v>
          </cell>
          <cell r="E1530">
            <v>0</v>
          </cell>
          <cell r="F1530">
            <v>0</v>
          </cell>
          <cell r="G1530">
            <v>0</v>
          </cell>
        </row>
        <row r="1531">
          <cell r="B1531">
            <v>41412</v>
          </cell>
          <cell r="C1531" t="str">
            <v>IPTU</v>
          </cell>
          <cell r="D1531">
            <v>92117.01</v>
          </cell>
          <cell r="E1531">
            <v>23996.87</v>
          </cell>
          <cell r="F1531">
            <v>0</v>
          </cell>
          <cell r="G1531">
            <v>116113.88</v>
          </cell>
        </row>
        <row r="1532">
          <cell r="B1532">
            <v>41413</v>
          </cell>
          <cell r="C1532" t="str">
            <v>IPVA</v>
          </cell>
          <cell r="D1532">
            <v>0</v>
          </cell>
          <cell r="E1532">
            <v>0</v>
          </cell>
          <cell r="F1532">
            <v>0</v>
          </cell>
          <cell r="G1532">
            <v>0</v>
          </cell>
        </row>
        <row r="1533">
          <cell r="B1533">
            <v>41414</v>
          </cell>
          <cell r="C1533" t="str">
            <v>Taxas Municipais</v>
          </cell>
          <cell r="D1533">
            <v>0</v>
          </cell>
          <cell r="E1533">
            <v>0</v>
          </cell>
          <cell r="F1533">
            <v>0</v>
          </cell>
          <cell r="G1533">
            <v>0</v>
          </cell>
        </row>
        <row r="1534">
          <cell r="B1534">
            <v>41415</v>
          </cell>
          <cell r="C1534" t="str">
            <v>Taxas de Licenciamento Ambiental Município</v>
          </cell>
          <cell r="D1534">
            <v>0</v>
          </cell>
          <cell r="E1534">
            <v>0</v>
          </cell>
          <cell r="F1534">
            <v>0</v>
          </cell>
          <cell r="G1534">
            <v>0</v>
          </cell>
        </row>
        <row r="1535">
          <cell r="B1535">
            <v>41416</v>
          </cell>
          <cell r="C1535" t="str">
            <v>Outros Impostos e Taxas</v>
          </cell>
          <cell r="D1535">
            <v>0</v>
          </cell>
          <cell r="E1535">
            <v>0</v>
          </cell>
          <cell r="F1535">
            <v>0</v>
          </cell>
          <cell r="G1535">
            <v>0</v>
          </cell>
        </row>
        <row r="1536">
          <cell r="B1536">
            <v>41417</v>
          </cell>
          <cell r="C1536" t="str">
            <v>Taxas de Licenciamento Ambiental Estado</v>
          </cell>
          <cell r="D1536">
            <v>0</v>
          </cell>
          <cell r="E1536">
            <v>0</v>
          </cell>
          <cell r="F1536">
            <v>0</v>
          </cell>
          <cell r="G1536">
            <v>0</v>
          </cell>
        </row>
        <row r="1537">
          <cell r="B1537">
            <v>41418</v>
          </cell>
          <cell r="C1537" t="str">
            <v>Taxas Estaduais</v>
          </cell>
          <cell r="D1537">
            <v>10738.16</v>
          </cell>
          <cell r="E1537">
            <v>0</v>
          </cell>
          <cell r="F1537">
            <v>0</v>
          </cell>
          <cell r="G1537">
            <v>10738.16</v>
          </cell>
        </row>
        <row r="1538">
          <cell r="B1538">
            <v>415</v>
          </cell>
          <cell r="C1538" t="str">
            <v>Custos c/ Provisões - Serviços</v>
          </cell>
          <cell r="D1538">
            <v>0</v>
          </cell>
          <cell r="E1538">
            <v>0</v>
          </cell>
          <cell r="F1538">
            <v>0</v>
          </cell>
          <cell r="G1538">
            <v>0</v>
          </cell>
        </row>
        <row r="1539">
          <cell r="B1539">
            <v>4151</v>
          </cell>
          <cell r="C1539" t="str">
            <v>Provisões p/Contingências</v>
          </cell>
          <cell r="D1539">
            <v>0</v>
          </cell>
          <cell r="E1539">
            <v>0</v>
          </cell>
          <cell r="F1539">
            <v>0</v>
          </cell>
          <cell r="G1539">
            <v>0</v>
          </cell>
        </row>
        <row r="1540">
          <cell r="B1540">
            <v>41511</v>
          </cell>
          <cell r="C1540" t="str">
            <v>Provisões p/ Contingências Trabalhistas</v>
          </cell>
          <cell r="D1540">
            <v>0</v>
          </cell>
          <cell r="E1540">
            <v>0</v>
          </cell>
          <cell r="F1540">
            <v>0</v>
          </cell>
          <cell r="G1540">
            <v>0</v>
          </cell>
        </row>
        <row r="1541">
          <cell r="B1541">
            <v>41512</v>
          </cell>
          <cell r="C1541" t="str">
            <v>Provisões p/ Contingências Cíveis</v>
          </cell>
          <cell r="D1541">
            <v>0</v>
          </cell>
          <cell r="E1541">
            <v>0</v>
          </cell>
          <cell r="F1541">
            <v>0</v>
          </cell>
          <cell r="G1541">
            <v>0</v>
          </cell>
        </row>
        <row r="1542">
          <cell r="B1542">
            <v>41513</v>
          </cell>
          <cell r="C1542" t="str">
            <v>Provisões p/ Contingências Fiscais</v>
          </cell>
          <cell r="D1542">
            <v>0</v>
          </cell>
          <cell r="E1542">
            <v>0</v>
          </cell>
          <cell r="F1542">
            <v>0</v>
          </cell>
          <cell r="G1542">
            <v>0</v>
          </cell>
        </row>
        <row r="1543">
          <cell r="B1543">
            <v>4151999</v>
          </cell>
          <cell r="C1543" t="str">
            <v>Outras Provisões</v>
          </cell>
          <cell r="D1543">
            <v>0</v>
          </cell>
          <cell r="E1543">
            <v>0</v>
          </cell>
          <cell r="F1543">
            <v>0</v>
          </cell>
          <cell r="G1543">
            <v>0</v>
          </cell>
        </row>
        <row r="1544">
          <cell r="B1544">
            <v>416</v>
          </cell>
          <cell r="C1544" t="str">
            <v>Custos Gerais - Serviços</v>
          </cell>
          <cell r="D1544">
            <v>2211175.7400000002</v>
          </cell>
          <cell r="E1544">
            <v>716506.58</v>
          </cell>
          <cell r="F1544">
            <v>0</v>
          </cell>
          <cell r="G1544">
            <v>2927682.32</v>
          </cell>
        </row>
        <row r="1545">
          <cell r="B1545">
            <v>4161</v>
          </cell>
          <cell r="C1545" t="str">
            <v>Custos de Funcionamento das Instalações</v>
          </cell>
          <cell r="D1545">
            <v>1293714.04</v>
          </cell>
          <cell r="E1545">
            <v>343726.4</v>
          </cell>
          <cell r="F1545">
            <v>0</v>
          </cell>
          <cell r="G1545">
            <v>1637440.44</v>
          </cell>
        </row>
        <row r="1546">
          <cell r="B1546">
            <v>41611</v>
          </cell>
          <cell r="C1546" t="str">
            <v>Aluguéis</v>
          </cell>
          <cell r="D1546">
            <v>583324.88</v>
          </cell>
          <cell r="E1546">
            <v>145831.22</v>
          </cell>
          <cell r="F1546">
            <v>0</v>
          </cell>
          <cell r="G1546">
            <v>729156.1</v>
          </cell>
        </row>
        <row r="1547">
          <cell r="B1547">
            <v>41612</v>
          </cell>
          <cell r="C1547" t="str">
            <v>Arrendamento Mercantil</v>
          </cell>
          <cell r="D1547">
            <v>0</v>
          </cell>
          <cell r="E1547">
            <v>0</v>
          </cell>
          <cell r="F1547">
            <v>0</v>
          </cell>
          <cell r="G1547">
            <v>0</v>
          </cell>
        </row>
        <row r="1548">
          <cell r="B1548">
            <v>41613</v>
          </cell>
          <cell r="C1548" t="str">
            <v>Manutenção e Reparos</v>
          </cell>
          <cell r="D1548">
            <v>0</v>
          </cell>
          <cell r="E1548">
            <v>0</v>
          </cell>
          <cell r="F1548">
            <v>0</v>
          </cell>
          <cell r="G1548">
            <v>0</v>
          </cell>
        </row>
        <row r="1549">
          <cell r="B1549">
            <v>41614</v>
          </cell>
          <cell r="C1549" t="str">
            <v>Energia Elétrica</v>
          </cell>
          <cell r="D1549">
            <v>200730.37</v>
          </cell>
          <cell r="E1549">
            <v>58452.639999999999</v>
          </cell>
          <cell r="F1549">
            <v>0</v>
          </cell>
          <cell r="G1549">
            <v>259183.01</v>
          </cell>
        </row>
        <row r="1550">
          <cell r="B1550">
            <v>41615</v>
          </cell>
          <cell r="C1550" t="str">
            <v>Água e Esgoto</v>
          </cell>
          <cell r="D1550">
            <v>0</v>
          </cell>
          <cell r="E1550">
            <v>0</v>
          </cell>
          <cell r="F1550">
            <v>0</v>
          </cell>
          <cell r="G1550">
            <v>0</v>
          </cell>
        </row>
        <row r="1551">
          <cell r="B1551">
            <v>41616</v>
          </cell>
          <cell r="C1551" t="str">
            <v>Telecomunicações</v>
          </cell>
          <cell r="D1551">
            <v>7990.81</v>
          </cell>
          <cell r="E1551">
            <v>4104.08</v>
          </cell>
          <cell r="F1551">
            <v>0</v>
          </cell>
          <cell r="G1551">
            <v>12094.89</v>
          </cell>
        </row>
        <row r="1552">
          <cell r="B1552">
            <v>41617</v>
          </cell>
          <cell r="C1552" t="str">
            <v>Correios e Malotes</v>
          </cell>
          <cell r="D1552">
            <v>0</v>
          </cell>
          <cell r="E1552">
            <v>0</v>
          </cell>
          <cell r="F1552">
            <v>0</v>
          </cell>
          <cell r="G1552">
            <v>0</v>
          </cell>
        </row>
        <row r="1553">
          <cell r="B1553">
            <v>41618</v>
          </cell>
          <cell r="C1553" t="str">
            <v>Reproduções</v>
          </cell>
          <cell r="D1553">
            <v>0</v>
          </cell>
          <cell r="E1553">
            <v>0</v>
          </cell>
          <cell r="F1553">
            <v>0</v>
          </cell>
          <cell r="G1553">
            <v>0</v>
          </cell>
        </row>
        <row r="1554">
          <cell r="B1554">
            <v>41619</v>
          </cell>
          <cell r="C1554" t="str">
            <v>Seguros</v>
          </cell>
          <cell r="D1554">
            <v>0</v>
          </cell>
          <cell r="E1554">
            <v>0</v>
          </cell>
          <cell r="F1554">
            <v>0</v>
          </cell>
          <cell r="G1554">
            <v>0</v>
          </cell>
        </row>
        <row r="1555">
          <cell r="B1555">
            <v>416110</v>
          </cell>
          <cell r="C1555" t="str">
            <v>Conduções e Lanches</v>
          </cell>
          <cell r="D1555">
            <v>0</v>
          </cell>
          <cell r="E1555">
            <v>52.87</v>
          </cell>
          <cell r="F1555">
            <v>0</v>
          </cell>
          <cell r="G1555">
            <v>52.87</v>
          </cell>
        </row>
        <row r="1556">
          <cell r="B1556">
            <v>416111</v>
          </cell>
          <cell r="C1556" t="str">
            <v>Depreciação e Amortização</v>
          </cell>
          <cell r="D1556">
            <v>0</v>
          </cell>
          <cell r="E1556">
            <v>0</v>
          </cell>
          <cell r="F1556">
            <v>0</v>
          </cell>
          <cell r="G1556">
            <v>0</v>
          </cell>
        </row>
        <row r="1557">
          <cell r="B1557">
            <v>416112</v>
          </cell>
          <cell r="C1557" t="str">
            <v>Alugueis de Móveis, Máquinas e Equip.</v>
          </cell>
          <cell r="D1557">
            <v>1413.47</v>
          </cell>
          <cell r="E1557">
            <v>353.37</v>
          </cell>
          <cell r="F1557">
            <v>0</v>
          </cell>
          <cell r="G1557">
            <v>1766.84</v>
          </cell>
        </row>
        <row r="1558">
          <cell r="B1558">
            <v>416113</v>
          </cell>
          <cell r="C1558" t="str">
            <v>Aluguel de Eq de Processamento de Dados</v>
          </cell>
          <cell r="D1558">
            <v>0</v>
          </cell>
          <cell r="E1558">
            <v>0</v>
          </cell>
          <cell r="F1558">
            <v>0</v>
          </cell>
          <cell r="G1558">
            <v>0</v>
          </cell>
        </row>
        <row r="1559">
          <cell r="B1559">
            <v>416114</v>
          </cell>
          <cell r="C1559" t="str">
            <v>Serviço de Limpeza e Higiene</v>
          </cell>
          <cell r="D1559">
            <v>128988.88</v>
          </cell>
          <cell r="E1559">
            <v>37454.629999999997</v>
          </cell>
          <cell r="F1559">
            <v>0</v>
          </cell>
          <cell r="G1559">
            <v>166443.51</v>
          </cell>
        </row>
        <row r="1560">
          <cell r="B1560">
            <v>416115</v>
          </cell>
          <cell r="C1560" t="str">
            <v>Serviços Gerais</v>
          </cell>
          <cell r="D1560">
            <v>86349.77</v>
          </cell>
          <cell r="E1560">
            <v>25817.21</v>
          </cell>
          <cell r="F1560">
            <v>0</v>
          </cell>
          <cell r="G1560">
            <v>112166.98</v>
          </cell>
        </row>
        <row r="1561">
          <cell r="B1561">
            <v>416116</v>
          </cell>
          <cell r="C1561" t="str">
            <v>Condomínios</v>
          </cell>
          <cell r="D1561">
            <v>284915.86</v>
          </cell>
          <cell r="E1561">
            <v>71660.38</v>
          </cell>
          <cell r="F1561">
            <v>0</v>
          </cell>
          <cell r="G1561">
            <v>356576.24</v>
          </cell>
        </row>
        <row r="1562">
          <cell r="B1562">
            <v>4161998</v>
          </cell>
          <cell r="C1562" t="str">
            <v>(-) Reemb. de custos - Convênios</v>
          </cell>
          <cell r="D1562">
            <v>0</v>
          </cell>
          <cell r="E1562">
            <v>0</v>
          </cell>
          <cell r="F1562">
            <v>0</v>
          </cell>
          <cell r="G1562">
            <v>0</v>
          </cell>
        </row>
        <row r="1563">
          <cell r="B1563">
            <v>4161999</v>
          </cell>
          <cell r="C1563" t="str">
            <v>Outros Custos Func. das Instalações</v>
          </cell>
          <cell r="D1563">
            <v>0</v>
          </cell>
          <cell r="E1563">
            <v>0</v>
          </cell>
          <cell r="F1563">
            <v>0</v>
          </cell>
          <cell r="G1563">
            <v>0</v>
          </cell>
        </row>
        <row r="1564">
          <cell r="B1564">
            <v>4162</v>
          </cell>
          <cell r="C1564" t="str">
            <v>Custos Gerais da Administração</v>
          </cell>
          <cell r="D1564">
            <v>917461.7</v>
          </cell>
          <cell r="E1564">
            <v>372780.18</v>
          </cell>
          <cell r="F1564">
            <v>0</v>
          </cell>
          <cell r="G1564">
            <v>1290241.8799999999</v>
          </cell>
        </row>
        <row r="1565">
          <cell r="B1565">
            <v>41621</v>
          </cell>
          <cell r="C1565" t="str">
            <v>Honorários da Diretoria</v>
          </cell>
          <cell r="D1565">
            <v>282058.59999999998</v>
          </cell>
          <cell r="E1565">
            <v>69645.61</v>
          </cell>
          <cell r="F1565">
            <v>0</v>
          </cell>
          <cell r="G1565">
            <v>351704.21</v>
          </cell>
        </row>
        <row r="1566">
          <cell r="B1566">
            <v>41622</v>
          </cell>
          <cell r="C1566" t="str">
            <v>Honorários Conselhos de Adm. e Fiscal</v>
          </cell>
          <cell r="D1566">
            <v>0</v>
          </cell>
          <cell r="E1566">
            <v>0</v>
          </cell>
          <cell r="F1566">
            <v>0</v>
          </cell>
          <cell r="G1566">
            <v>0</v>
          </cell>
        </row>
        <row r="1567">
          <cell r="B1567">
            <v>41623</v>
          </cell>
          <cell r="C1567" t="str">
            <v>Custos com Estagiários</v>
          </cell>
          <cell r="D1567">
            <v>0</v>
          </cell>
          <cell r="E1567">
            <v>0</v>
          </cell>
          <cell r="F1567">
            <v>0</v>
          </cell>
          <cell r="G1567">
            <v>0</v>
          </cell>
        </row>
        <row r="1568">
          <cell r="B1568">
            <v>41624</v>
          </cell>
          <cell r="C1568" t="str">
            <v>Custos de Viagens - Passagens Aéreas</v>
          </cell>
          <cell r="D1568">
            <v>60960.49</v>
          </cell>
          <cell r="E1568">
            <v>91079.94</v>
          </cell>
          <cell r="F1568">
            <v>0</v>
          </cell>
          <cell r="G1568">
            <v>152040.43</v>
          </cell>
        </row>
        <row r="1569">
          <cell r="B1569">
            <v>41625</v>
          </cell>
          <cell r="C1569" t="str">
            <v>Custos de Viagens - Hospedagens</v>
          </cell>
          <cell r="D1569">
            <v>1253.04</v>
          </cell>
          <cell r="E1569">
            <v>0</v>
          </cell>
          <cell r="F1569">
            <v>0</v>
          </cell>
          <cell r="G1569">
            <v>1253.04</v>
          </cell>
        </row>
        <row r="1570">
          <cell r="B1570">
            <v>41626</v>
          </cell>
          <cell r="C1570" t="str">
            <v>Custos de Viagens - Outros</v>
          </cell>
          <cell r="D1570">
            <v>14220.06</v>
          </cell>
          <cell r="E1570">
            <v>34371.78</v>
          </cell>
          <cell r="F1570">
            <v>0</v>
          </cell>
          <cell r="G1570">
            <v>48591.839999999997</v>
          </cell>
        </row>
        <row r="1571">
          <cell r="B1571">
            <v>41627</v>
          </cell>
          <cell r="C1571" t="str">
            <v>Assinatura Banco de Dados e Portais</v>
          </cell>
          <cell r="D1571">
            <v>457571.93</v>
          </cell>
          <cell r="E1571">
            <v>131275.37</v>
          </cell>
          <cell r="F1571">
            <v>0</v>
          </cell>
          <cell r="G1571">
            <v>588847.30000000005</v>
          </cell>
        </row>
        <row r="1572">
          <cell r="B1572">
            <v>41628</v>
          </cell>
          <cell r="C1572" t="str">
            <v>Donativos e Contribuições</v>
          </cell>
          <cell r="D1572">
            <v>0</v>
          </cell>
          <cell r="E1572">
            <v>0</v>
          </cell>
          <cell r="F1572">
            <v>0</v>
          </cell>
          <cell r="G1572">
            <v>0</v>
          </cell>
        </row>
        <row r="1573">
          <cell r="B1573">
            <v>41629</v>
          </cell>
          <cell r="C1573" t="str">
            <v>Custos Legais e Judiciais</v>
          </cell>
          <cell r="D1573">
            <v>0</v>
          </cell>
          <cell r="E1573">
            <v>0</v>
          </cell>
          <cell r="F1573">
            <v>0</v>
          </cell>
          <cell r="G1573">
            <v>0</v>
          </cell>
        </row>
        <row r="1574">
          <cell r="B1574">
            <v>416210</v>
          </cell>
          <cell r="C1574" t="str">
            <v>Custo de Viagem ao Exterior</v>
          </cell>
          <cell r="D1574">
            <v>101397.58</v>
          </cell>
          <cell r="E1574">
            <v>46407.48</v>
          </cell>
          <cell r="F1574">
            <v>0</v>
          </cell>
          <cell r="G1574">
            <v>147805.06</v>
          </cell>
        </row>
        <row r="1575">
          <cell r="B1575">
            <v>416211</v>
          </cell>
          <cell r="C1575" t="str">
            <v>DESPESAS NÃO DEDUTIVEIS</v>
          </cell>
          <cell r="D1575">
            <v>0</v>
          </cell>
          <cell r="E1575">
            <v>0</v>
          </cell>
          <cell r="F1575">
            <v>0</v>
          </cell>
          <cell r="G1575">
            <v>0</v>
          </cell>
        </row>
        <row r="1576">
          <cell r="B1576">
            <v>4162998</v>
          </cell>
          <cell r="C1576" t="str">
            <v>(-) Reemb. de custos - Convênios</v>
          </cell>
          <cell r="D1576">
            <v>0</v>
          </cell>
          <cell r="E1576">
            <v>0</v>
          </cell>
          <cell r="F1576">
            <v>0</v>
          </cell>
          <cell r="G1576">
            <v>0</v>
          </cell>
        </row>
        <row r="1577">
          <cell r="B1577">
            <v>4162999</v>
          </cell>
          <cell r="C1577" t="str">
            <v>Outros Custos Gerais da Administração</v>
          </cell>
          <cell r="D1577">
            <v>0</v>
          </cell>
          <cell r="E1577">
            <v>0</v>
          </cell>
          <cell r="F1577">
            <v>0</v>
          </cell>
          <cell r="G1577">
            <v>0</v>
          </cell>
        </row>
        <row r="1578">
          <cell r="B1578">
            <v>4163</v>
          </cell>
          <cell r="C1578" t="str">
            <v>Indenizações</v>
          </cell>
          <cell r="D1578">
            <v>0</v>
          </cell>
          <cell r="E1578">
            <v>0</v>
          </cell>
          <cell r="F1578">
            <v>0</v>
          </cell>
          <cell r="G1578">
            <v>0</v>
          </cell>
        </row>
        <row r="1579">
          <cell r="B1579">
            <v>416031</v>
          </cell>
          <cell r="C1579" t="str">
            <v>Outras Indenizações</v>
          </cell>
          <cell r="D1579">
            <v>0</v>
          </cell>
          <cell r="E1579">
            <v>0</v>
          </cell>
          <cell r="F1579">
            <v>0</v>
          </cell>
          <cell r="G1579">
            <v>0</v>
          </cell>
        </row>
        <row r="1580">
          <cell r="B1580">
            <v>417</v>
          </cell>
          <cell r="C1580" t="str">
            <v>Outros Custos</v>
          </cell>
          <cell r="D1580">
            <v>0</v>
          </cell>
          <cell r="E1580">
            <v>0</v>
          </cell>
          <cell r="F1580">
            <v>0</v>
          </cell>
          <cell r="G1580">
            <v>0</v>
          </cell>
        </row>
        <row r="1581">
          <cell r="B1581">
            <v>41701</v>
          </cell>
          <cell r="C1581" t="str">
            <v>Redução ao Valor Recuperável Impairment</v>
          </cell>
          <cell r="D1581">
            <v>0</v>
          </cell>
          <cell r="E1581">
            <v>0</v>
          </cell>
          <cell r="F1581">
            <v>0</v>
          </cell>
          <cell r="G1581">
            <v>0</v>
          </cell>
        </row>
        <row r="1582">
          <cell r="B1582">
            <v>41711</v>
          </cell>
          <cell r="C1582" t="str">
            <v>Redução ao Valor Recuperável Impairment</v>
          </cell>
          <cell r="D1582">
            <v>0</v>
          </cell>
          <cell r="E1582">
            <v>0</v>
          </cell>
          <cell r="F1582">
            <v>0</v>
          </cell>
          <cell r="G1582">
            <v>0</v>
          </cell>
        </row>
        <row r="1583">
          <cell r="B1583">
            <v>419</v>
          </cell>
          <cell r="C1583" t="str">
            <v>Custo das Mercadorias Vendidas</v>
          </cell>
          <cell r="D1583">
            <v>0</v>
          </cell>
          <cell r="E1583">
            <v>0</v>
          </cell>
          <cell r="F1583">
            <v>0</v>
          </cell>
          <cell r="G1583">
            <v>0</v>
          </cell>
        </row>
        <row r="1584">
          <cell r="B1584">
            <v>4191</v>
          </cell>
          <cell r="C1584" t="str">
            <v>Custo das Mercadorias Vendidas</v>
          </cell>
          <cell r="D1584">
            <v>0</v>
          </cell>
          <cell r="E1584">
            <v>0</v>
          </cell>
          <cell r="F1584">
            <v>0</v>
          </cell>
          <cell r="G1584">
            <v>0</v>
          </cell>
        </row>
        <row r="1585">
          <cell r="B1585">
            <v>41911</v>
          </cell>
          <cell r="C1585" t="str">
            <v>Custo das Mercadorias Vendidas</v>
          </cell>
          <cell r="D1585">
            <v>0</v>
          </cell>
          <cell r="E1585">
            <v>0</v>
          </cell>
          <cell r="F1585">
            <v>0</v>
          </cell>
          <cell r="G1585">
            <v>0</v>
          </cell>
        </row>
        <row r="1586">
          <cell r="B1586">
            <v>42</v>
          </cell>
          <cell r="C1586" t="str">
            <v>Despesas</v>
          </cell>
          <cell r="D1586">
            <v>14471742.800000001</v>
          </cell>
          <cell r="E1586">
            <v>3271474.64</v>
          </cell>
          <cell r="F1586">
            <v>-51937.02</v>
          </cell>
          <cell r="G1586">
            <v>17691280.420000002</v>
          </cell>
        </row>
        <row r="1587">
          <cell r="B1587">
            <v>421</v>
          </cell>
          <cell r="C1587" t="str">
            <v>Despesas com Pessoal</v>
          </cell>
          <cell r="D1587">
            <v>7781993.2199999997</v>
          </cell>
          <cell r="E1587">
            <v>2050088.7</v>
          </cell>
          <cell r="F1587">
            <v>-6552.52</v>
          </cell>
          <cell r="G1587">
            <v>9825529.4000000004</v>
          </cell>
        </row>
        <row r="1588">
          <cell r="B1588">
            <v>4211</v>
          </cell>
          <cell r="C1588" t="str">
            <v>Remunerações</v>
          </cell>
          <cell r="D1588">
            <v>5328730.74</v>
          </cell>
          <cell r="E1588">
            <v>1403916.39</v>
          </cell>
          <cell r="F1588">
            <v>-1856.43</v>
          </cell>
          <cell r="G1588">
            <v>6730790.7000000002</v>
          </cell>
        </row>
        <row r="1589">
          <cell r="B1589">
            <v>42111</v>
          </cell>
          <cell r="C1589" t="str">
            <v>Salários</v>
          </cell>
          <cell r="D1589">
            <v>4383983.37</v>
          </cell>
          <cell r="E1589">
            <v>1159657.79</v>
          </cell>
          <cell r="F1589">
            <v>0</v>
          </cell>
          <cell r="G1589">
            <v>5543641.1600000001</v>
          </cell>
        </row>
        <row r="1590">
          <cell r="B1590">
            <v>42112</v>
          </cell>
          <cell r="C1590" t="str">
            <v>Gratificações</v>
          </cell>
          <cell r="D1590">
            <v>0</v>
          </cell>
          <cell r="E1590">
            <v>0</v>
          </cell>
          <cell r="F1590">
            <v>0</v>
          </cell>
          <cell r="G1590">
            <v>0</v>
          </cell>
        </row>
        <row r="1591">
          <cell r="B1591">
            <v>42113</v>
          </cell>
          <cell r="C1591" t="str">
            <v>Adicionais por Tempo de Serviço</v>
          </cell>
          <cell r="D1591">
            <v>0</v>
          </cell>
          <cell r="E1591">
            <v>0</v>
          </cell>
          <cell r="F1591">
            <v>0</v>
          </cell>
          <cell r="G1591">
            <v>0</v>
          </cell>
        </row>
        <row r="1592">
          <cell r="B1592">
            <v>42114</v>
          </cell>
          <cell r="C1592" t="str">
            <v>Horas Extraordinárias</v>
          </cell>
          <cell r="D1592">
            <v>0</v>
          </cell>
          <cell r="E1592">
            <v>0</v>
          </cell>
          <cell r="F1592">
            <v>0</v>
          </cell>
          <cell r="G1592">
            <v>0</v>
          </cell>
        </row>
        <row r="1593">
          <cell r="B1593">
            <v>42115</v>
          </cell>
          <cell r="C1593" t="str">
            <v>Abonos</v>
          </cell>
          <cell r="D1593">
            <v>0</v>
          </cell>
          <cell r="E1593">
            <v>0</v>
          </cell>
          <cell r="F1593">
            <v>0</v>
          </cell>
          <cell r="G1593">
            <v>0</v>
          </cell>
        </row>
        <row r="1594">
          <cell r="B1594">
            <v>42116</v>
          </cell>
          <cell r="C1594" t="str">
            <v>Aviso Prévio e Indenizações</v>
          </cell>
          <cell r="D1594">
            <v>0</v>
          </cell>
          <cell r="E1594">
            <v>0</v>
          </cell>
          <cell r="F1594">
            <v>0</v>
          </cell>
          <cell r="G1594">
            <v>0</v>
          </cell>
        </row>
        <row r="1595">
          <cell r="B1595">
            <v>42117</v>
          </cell>
          <cell r="C1595" t="str">
            <v>Provisão de Férias e Encargos Sociais</v>
          </cell>
          <cell r="D1595">
            <v>431009.02</v>
          </cell>
          <cell r="E1595">
            <v>136164.69</v>
          </cell>
          <cell r="F1595">
            <v>-1856.43</v>
          </cell>
          <cell r="G1595">
            <v>565317.28</v>
          </cell>
        </row>
        <row r="1596">
          <cell r="B1596">
            <v>42118</v>
          </cell>
          <cell r="C1596" t="str">
            <v>Abono Pecuniário de Férias</v>
          </cell>
          <cell r="D1596">
            <v>109404.43</v>
          </cell>
          <cell r="E1596">
            <v>1856.43</v>
          </cell>
          <cell r="F1596">
            <v>0</v>
          </cell>
          <cell r="G1596">
            <v>111260.86</v>
          </cell>
        </row>
        <row r="1597">
          <cell r="B1597">
            <v>42119</v>
          </cell>
          <cell r="C1597" t="str">
            <v>Provisão de 13º Salários e Encargos</v>
          </cell>
          <cell r="D1597">
            <v>404333.92</v>
          </cell>
          <cell r="E1597">
            <v>100043.6</v>
          </cell>
          <cell r="F1597">
            <v>0</v>
          </cell>
          <cell r="G1597">
            <v>504377.52</v>
          </cell>
        </row>
        <row r="1598">
          <cell r="B1598">
            <v>421110</v>
          </cell>
          <cell r="C1598" t="str">
            <v>Salario Maternidade - Prorrogação</v>
          </cell>
          <cell r="D1598">
            <v>0</v>
          </cell>
          <cell r="E1598">
            <v>6193.88</v>
          </cell>
          <cell r="F1598">
            <v>0</v>
          </cell>
          <cell r="G1598">
            <v>6193.88</v>
          </cell>
        </row>
        <row r="1599">
          <cell r="B1599">
            <v>421112</v>
          </cell>
          <cell r="C1599" t="str">
            <v>Licença Paternidade Prorrogação</v>
          </cell>
          <cell r="D1599">
            <v>0</v>
          </cell>
          <cell r="E1599">
            <v>0</v>
          </cell>
          <cell r="F1599">
            <v>0</v>
          </cell>
          <cell r="G1599">
            <v>0</v>
          </cell>
        </row>
        <row r="1600">
          <cell r="B1600">
            <v>4211998</v>
          </cell>
          <cell r="C1600" t="str">
            <v>(-)Reemb. Despesas de Remunerações Conve</v>
          </cell>
          <cell r="D1600">
            <v>0</v>
          </cell>
          <cell r="E1600">
            <v>0</v>
          </cell>
          <cell r="F1600">
            <v>0</v>
          </cell>
          <cell r="G1600">
            <v>0</v>
          </cell>
        </row>
        <row r="1601">
          <cell r="B1601">
            <v>4211999</v>
          </cell>
          <cell r="C1601" t="str">
            <v>Outras Remunerações</v>
          </cell>
          <cell r="D1601">
            <v>0</v>
          </cell>
          <cell r="E1601">
            <v>0</v>
          </cell>
          <cell r="F1601">
            <v>0</v>
          </cell>
          <cell r="G1601">
            <v>0</v>
          </cell>
        </row>
        <row r="1602">
          <cell r="B1602">
            <v>4212</v>
          </cell>
          <cell r="C1602" t="str">
            <v>Encargos Sociais</v>
          </cell>
          <cell r="D1602">
            <v>1587495.18</v>
          </cell>
          <cell r="E1602">
            <v>427800.1</v>
          </cell>
          <cell r="F1602">
            <v>-538.36</v>
          </cell>
          <cell r="G1602">
            <v>2014756.92</v>
          </cell>
        </row>
        <row r="1603">
          <cell r="B1603">
            <v>42121</v>
          </cell>
          <cell r="C1603" t="str">
            <v>INSS</v>
          </cell>
          <cell r="D1603">
            <v>979333</v>
          </cell>
          <cell r="E1603">
            <v>260510.69</v>
          </cell>
          <cell r="F1603">
            <v>0</v>
          </cell>
          <cell r="G1603">
            <v>1239843.69</v>
          </cell>
        </row>
        <row r="1604">
          <cell r="B1604">
            <v>42122</v>
          </cell>
          <cell r="C1604" t="str">
            <v>FGTS</v>
          </cell>
          <cell r="D1604">
            <v>370886.63</v>
          </cell>
          <cell r="E1604">
            <v>100087.56</v>
          </cell>
          <cell r="F1604">
            <v>0</v>
          </cell>
          <cell r="G1604">
            <v>470974.19</v>
          </cell>
        </row>
        <row r="1605">
          <cell r="B1605">
            <v>42123</v>
          </cell>
          <cell r="C1605" t="str">
            <v>Contribuições Sindicais</v>
          </cell>
          <cell r="D1605">
            <v>0</v>
          </cell>
          <cell r="E1605">
            <v>0</v>
          </cell>
          <cell r="F1605">
            <v>0</v>
          </cell>
          <cell r="G1605">
            <v>0</v>
          </cell>
        </row>
        <row r="1606">
          <cell r="B1606">
            <v>42124</v>
          </cell>
          <cell r="C1606" t="str">
            <v>INSS s/ 13º Salário</v>
          </cell>
          <cell r="D1606">
            <v>83296.960000000006</v>
          </cell>
          <cell r="E1606">
            <v>20606.13</v>
          </cell>
          <cell r="F1606">
            <v>0</v>
          </cell>
          <cell r="G1606">
            <v>103903.09</v>
          </cell>
        </row>
        <row r="1607">
          <cell r="B1607">
            <v>42125</v>
          </cell>
          <cell r="C1607" t="str">
            <v>INSS s/ Férias</v>
          </cell>
          <cell r="D1607">
            <v>88362.54</v>
          </cell>
          <cell r="E1607">
            <v>28057.23</v>
          </cell>
          <cell r="F1607">
            <v>-389.85</v>
          </cell>
          <cell r="G1607">
            <v>116029.92</v>
          </cell>
        </row>
        <row r="1608">
          <cell r="B1608">
            <v>42126</v>
          </cell>
          <cell r="C1608" t="str">
            <v>FGTS s/ Férias</v>
          </cell>
          <cell r="D1608">
            <v>33883.4</v>
          </cell>
          <cell r="E1608">
            <v>10688.53</v>
          </cell>
          <cell r="F1608">
            <v>-148.51</v>
          </cell>
          <cell r="G1608">
            <v>44423.42</v>
          </cell>
        </row>
        <row r="1609">
          <cell r="B1609">
            <v>42127</v>
          </cell>
          <cell r="C1609" t="str">
            <v>FGTS s/ 13º Salário</v>
          </cell>
          <cell r="D1609">
            <v>31732.65</v>
          </cell>
          <cell r="E1609">
            <v>7849.96</v>
          </cell>
          <cell r="F1609">
            <v>0</v>
          </cell>
          <cell r="G1609">
            <v>39582.61</v>
          </cell>
        </row>
        <row r="1610">
          <cell r="B1610">
            <v>4212999</v>
          </cell>
          <cell r="C1610" t="str">
            <v>Outros Encargos</v>
          </cell>
          <cell r="D1610">
            <v>0</v>
          </cell>
          <cell r="E1610">
            <v>0</v>
          </cell>
          <cell r="F1610">
            <v>0</v>
          </cell>
          <cell r="G1610">
            <v>0</v>
          </cell>
        </row>
        <row r="1611">
          <cell r="B1611">
            <v>4213</v>
          </cell>
          <cell r="C1611" t="str">
            <v>Benefícios</v>
          </cell>
          <cell r="D1611">
            <v>865767.3</v>
          </cell>
          <cell r="E1611">
            <v>218372.21</v>
          </cell>
          <cell r="F1611">
            <v>-4157.7299999999996</v>
          </cell>
          <cell r="G1611">
            <v>1079981.78</v>
          </cell>
        </row>
        <row r="1612">
          <cell r="B1612">
            <v>42131</v>
          </cell>
          <cell r="C1612" t="str">
            <v>Previdência Privada Complementar</v>
          </cell>
          <cell r="D1612">
            <v>354625.65</v>
          </cell>
          <cell r="E1612">
            <v>87521.33</v>
          </cell>
          <cell r="F1612">
            <v>0</v>
          </cell>
          <cell r="G1612">
            <v>442146.98</v>
          </cell>
        </row>
        <row r="1613">
          <cell r="B1613">
            <v>42132</v>
          </cell>
          <cell r="C1613" t="str">
            <v>Auxílio Alimentação</v>
          </cell>
          <cell r="D1613">
            <v>270211.86</v>
          </cell>
          <cell r="E1613">
            <v>67552.820000000007</v>
          </cell>
          <cell r="F1613">
            <v>0</v>
          </cell>
          <cell r="G1613">
            <v>337764.68</v>
          </cell>
        </row>
        <row r="1614">
          <cell r="B1614">
            <v>42133</v>
          </cell>
          <cell r="C1614" t="str">
            <v>Auxílio Transporte</v>
          </cell>
          <cell r="D1614">
            <v>7286.65</v>
          </cell>
          <cell r="E1614">
            <v>4845.74</v>
          </cell>
          <cell r="F1614">
            <v>-3993.41</v>
          </cell>
          <cell r="G1614">
            <v>8138.98</v>
          </cell>
        </row>
        <row r="1615">
          <cell r="B1615">
            <v>42134</v>
          </cell>
          <cell r="C1615" t="str">
            <v>Auxílio Moradia</v>
          </cell>
          <cell r="D1615">
            <v>15600</v>
          </cell>
          <cell r="E1615">
            <v>3900</v>
          </cell>
          <cell r="F1615">
            <v>0</v>
          </cell>
          <cell r="G1615">
            <v>19500</v>
          </cell>
        </row>
        <row r="1616">
          <cell r="B1616">
            <v>42135</v>
          </cell>
          <cell r="C1616" t="str">
            <v>Auxílio Creche</v>
          </cell>
          <cell r="D1616">
            <v>50138.080000000002</v>
          </cell>
          <cell r="E1616">
            <v>12418.88</v>
          </cell>
          <cell r="F1616">
            <v>0</v>
          </cell>
          <cell r="G1616">
            <v>62556.959999999999</v>
          </cell>
        </row>
        <row r="1617">
          <cell r="B1617">
            <v>42136</v>
          </cell>
          <cell r="C1617" t="str">
            <v>Assistência Médica e  Odontológica</v>
          </cell>
          <cell r="D1617">
            <v>151473.03</v>
          </cell>
          <cell r="E1617">
            <v>37998.04</v>
          </cell>
          <cell r="F1617">
            <v>0</v>
          </cell>
          <cell r="G1617">
            <v>189471.07</v>
          </cell>
        </row>
        <row r="1618">
          <cell r="B1618">
            <v>42137</v>
          </cell>
          <cell r="C1618" t="str">
            <v>Seguro de Vida</v>
          </cell>
          <cell r="D1618">
            <v>0</v>
          </cell>
          <cell r="E1618">
            <v>0</v>
          </cell>
          <cell r="F1618">
            <v>0</v>
          </cell>
          <cell r="G1618">
            <v>0</v>
          </cell>
        </row>
        <row r="1619">
          <cell r="B1619">
            <v>42138</v>
          </cell>
          <cell r="C1619" t="str">
            <v>Recreação e Lazer</v>
          </cell>
          <cell r="D1619">
            <v>0</v>
          </cell>
          <cell r="E1619">
            <v>0</v>
          </cell>
          <cell r="F1619">
            <v>0</v>
          </cell>
          <cell r="G1619">
            <v>0</v>
          </cell>
        </row>
        <row r="1620">
          <cell r="B1620">
            <v>42139</v>
          </cell>
          <cell r="C1620" t="str">
            <v>Assistência e Capacitação Profissional</v>
          </cell>
          <cell r="D1620">
            <v>0</v>
          </cell>
          <cell r="E1620">
            <v>0</v>
          </cell>
          <cell r="F1620">
            <v>0</v>
          </cell>
          <cell r="G1620">
            <v>0</v>
          </cell>
        </row>
        <row r="1621">
          <cell r="B1621">
            <v>421310</v>
          </cell>
          <cell r="C1621" t="str">
            <v>Vale Cultura</v>
          </cell>
          <cell r="D1621">
            <v>2652</v>
          </cell>
          <cell r="E1621">
            <v>800</v>
          </cell>
          <cell r="F1621">
            <v>-137</v>
          </cell>
          <cell r="G1621">
            <v>3315</v>
          </cell>
        </row>
        <row r="1622">
          <cell r="B1622">
            <v>421311</v>
          </cell>
          <cell r="C1622" t="str">
            <v>Saúde Ocupacional</v>
          </cell>
          <cell r="D1622">
            <v>13780.03</v>
          </cell>
          <cell r="E1622">
            <v>3335.4</v>
          </cell>
          <cell r="F1622">
            <v>-27.32</v>
          </cell>
          <cell r="G1622">
            <v>17088.11</v>
          </cell>
        </row>
        <row r="1623">
          <cell r="B1623">
            <v>4213999</v>
          </cell>
          <cell r="C1623" t="str">
            <v>Outros benefícios</v>
          </cell>
          <cell r="D1623">
            <v>0</v>
          </cell>
          <cell r="E1623">
            <v>0</v>
          </cell>
          <cell r="F1623">
            <v>0</v>
          </cell>
          <cell r="G1623">
            <v>0</v>
          </cell>
        </row>
        <row r="1624">
          <cell r="B1624">
            <v>4214</v>
          </cell>
          <cell r="C1624" t="str">
            <v>Outros Gastos de Pessoal</v>
          </cell>
          <cell r="D1624">
            <v>0</v>
          </cell>
          <cell r="E1624">
            <v>0</v>
          </cell>
          <cell r="F1624">
            <v>0</v>
          </cell>
          <cell r="G1624">
            <v>0</v>
          </cell>
        </row>
        <row r="1625">
          <cell r="B1625">
            <v>4214999</v>
          </cell>
          <cell r="C1625" t="str">
            <v>Outras Despesas</v>
          </cell>
          <cell r="D1625">
            <v>0</v>
          </cell>
          <cell r="E1625">
            <v>0</v>
          </cell>
          <cell r="F1625">
            <v>0</v>
          </cell>
          <cell r="G1625">
            <v>0</v>
          </cell>
        </row>
        <row r="1626">
          <cell r="B1626">
            <v>4215</v>
          </cell>
          <cell r="C1626" t="str">
            <v>Indenizações</v>
          </cell>
          <cell r="D1626">
            <v>0</v>
          </cell>
          <cell r="E1626">
            <v>0</v>
          </cell>
          <cell r="F1626">
            <v>0</v>
          </cell>
          <cell r="G1626">
            <v>0</v>
          </cell>
        </row>
        <row r="1627">
          <cell r="B1627">
            <v>42151</v>
          </cell>
          <cell r="C1627" t="str">
            <v>Indenizações</v>
          </cell>
          <cell r="D1627">
            <v>0</v>
          </cell>
          <cell r="E1627">
            <v>0</v>
          </cell>
          <cell r="F1627">
            <v>0</v>
          </cell>
          <cell r="G1627">
            <v>0</v>
          </cell>
        </row>
        <row r="1628">
          <cell r="B1628">
            <v>422</v>
          </cell>
          <cell r="C1628" t="str">
            <v>Despesas Com Materiais</v>
          </cell>
          <cell r="D1628">
            <v>101195.87</v>
          </cell>
          <cell r="E1628">
            <v>4864.46</v>
          </cell>
          <cell r="F1628">
            <v>-44940</v>
          </cell>
          <cell r="G1628">
            <v>61120.33</v>
          </cell>
        </row>
        <row r="1629">
          <cell r="B1629">
            <v>4221</v>
          </cell>
          <cell r="C1629" t="str">
            <v>Despesas com Materiais Nacionais</v>
          </cell>
          <cell r="D1629">
            <v>101195.87</v>
          </cell>
          <cell r="E1629">
            <v>4864.46</v>
          </cell>
          <cell r="F1629">
            <v>-44940</v>
          </cell>
          <cell r="G1629">
            <v>61120.33</v>
          </cell>
        </row>
        <row r="1630">
          <cell r="B1630">
            <v>42211</v>
          </cell>
          <cell r="C1630" t="str">
            <v>Materiais Adm. e de Expediente</v>
          </cell>
          <cell r="D1630">
            <v>99127.87</v>
          </cell>
          <cell r="E1630">
            <v>4864.46</v>
          </cell>
          <cell r="F1630">
            <v>-44940</v>
          </cell>
          <cell r="G1630">
            <v>59052.33</v>
          </cell>
        </row>
        <row r="1631">
          <cell r="B1631">
            <v>42212</v>
          </cell>
          <cell r="C1631" t="str">
            <v>Combustíveis e Lubrificantes</v>
          </cell>
          <cell r="D1631">
            <v>0</v>
          </cell>
          <cell r="E1631">
            <v>0</v>
          </cell>
          <cell r="F1631">
            <v>0</v>
          </cell>
          <cell r="G1631">
            <v>0</v>
          </cell>
        </row>
        <row r="1632">
          <cell r="B1632">
            <v>42213</v>
          </cell>
          <cell r="C1632" t="str">
            <v>Materiais e Equipamentos</v>
          </cell>
          <cell r="D1632">
            <v>2068</v>
          </cell>
          <cell r="E1632">
            <v>0</v>
          </cell>
          <cell r="F1632">
            <v>0</v>
          </cell>
          <cell r="G1632">
            <v>2068</v>
          </cell>
        </row>
        <row r="1633">
          <cell r="B1633">
            <v>42214</v>
          </cell>
          <cell r="C1633" t="str">
            <v>Outros Materiais Nacionais</v>
          </cell>
          <cell r="D1633">
            <v>0</v>
          </cell>
          <cell r="E1633">
            <v>0</v>
          </cell>
          <cell r="F1633">
            <v>0</v>
          </cell>
          <cell r="G1633">
            <v>0</v>
          </cell>
        </row>
        <row r="1634">
          <cell r="B1634">
            <v>422198</v>
          </cell>
          <cell r="C1634" t="str">
            <v>(-)  Reemb. Despesas de Materiais Conven</v>
          </cell>
          <cell r="D1634">
            <v>0</v>
          </cell>
          <cell r="E1634">
            <v>0</v>
          </cell>
          <cell r="F1634">
            <v>0</v>
          </cell>
          <cell r="G1634">
            <v>0</v>
          </cell>
        </row>
        <row r="1635">
          <cell r="B1635">
            <v>4222</v>
          </cell>
          <cell r="C1635" t="str">
            <v>Despesas com Materiais Estrangeiros</v>
          </cell>
          <cell r="D1635">
            <v>0</v>
          </cell>
          <cell r="E1635">
            <v>0</v>
          </cell>
          <cell r="F1635">
            <v>0</v>
          </cell>
          <cell r="G1635">
            <v>0</v>
          </cell>
        </row>
        <row r="1636">
          <cell r="B1636">
            <v>42221</v>
          </cell>
          <cell r="C1636" t="str">
            <v>Materiais e Equipamentos</v>
          </cell>
          <cell r="D1636">
            <v>0</v>
          </cell>
          <cell r="E1636">
            <v>0</v>
          </cell>
          <cell r="F1636">
            <v>0</v>
          </cell>
          <cell r="G1636">
            <v>0</v>
          </cell>
        </row>
        <row r="1637">
          <cell r="B1637">
            <v>4222999</v>
          </cell>
          <cell r="C1637" t="str">
            <v>Outros Materiais Estrangeiros</v>
          </cell>
          <cell r="D1637">
            <v>0</v>
          </cell>
          <cell r="E1637">
            <v>0</v>
          </cell>
          <cell r="F1637">
            <v>0</v>
          </cell>
          <cell r="G1637">
            <v>0</v>
          </cell>
        </row>
        <row r="1638">
          <cell r="B1638">
            <v>423</v>
          </cell>
          <cell r="C1638" t="str">
            <v>Desp.c/Serv. de Terceiros</v>
          </cell>
          <cell r="D1638">
            <v>1304076.3400000001</v>
          </cell>
          <cell r="E1638">
            <v>411040.27</v>
          </cell>
          <cell r="F1638">
            <v>-444.5</v>
          </cell>
          <cell r="G1638">
            <v>1714672.11</v>
          </cell>
        </row>
        <row r="1639">
          <cell r="B1639">
            <v>4231</v>
          </cell>
          <cell r="C1639" t="str">
            <v>Desp.c/Serv. de Terceiros - Nacionais</v>
          </cell>
          <cell r="D1639">
            <v>1304076.3400000001</v>
          </cell>
          <cell r="E1639">
            <v>411040.27</v>
          </cell>
          <cell r="F1639">
            <v>-444.5</v>
          </cell>
          <cell r="G1639">
            <v>1714672.11</v>
          </cell>
        </row>
        <row r="1640">
          <cell r="B1640">
            <v>42311</v>
          </cell>
          <cell r="C1640" t="str">
            <v>Serviços de Consultoria</v>
          </cell>
          <cell r="D1640">
            <v>16571</v>
          </cell>
          <cell r="E1640">
            <v>0</v>
          </cell>
          <cell r="F1640">
            <v>0</v>
          </cell>
          <cell r="G1640">
            <v>16571</v>
          </cell>
        </row>
        <row r="1641">
          <cell r="B1641">
            <v>42312</v>
          </cell>
          <cell r="C1641" t="str">
            <v>Serviços de Apoio Técnico e/ou Administrativo</v>
          </cell>
          <cell r="D1641">
            <v>494872.53</v>
          </cell>
          <cell r="E1641">
            <v>199281.69</v>
          </cell>
          <cell r="F1641">
            <v>0</v>
          </cell>
          <cell r="G1641">
            <v>694154.22</v>
          </cell>
        </row>
        <row r="1642">
          <cell r="B1642">
            <v>42313</v>
          </cell>
          <cell r="C1642" t="str">
            <v>Cessão ou Requisição de Pessoal</v>
          </cell>
          <cell r="D1642">
            <v>103951.92</v>
          </cell>
          <cell r="E1642">
            <v>24403.53</v>
          </cell>
          <cell r="F1642">
            <v>0</v>
          </cell>
          <cell r="G1642">
            <v>128355.45</v>
          </cell>
        </row>
        <row r="1643">
          <cell r="B1643">
            <v>42314</v>
          </cell>
          <cell r="C1643" t="str">
            <v>Publicidade</v>
          </cell>
          <cell r="D1643">
            <v>0</v>
          </cell>
          <cell r="E1643">
            <v>0</v>
          </cell>
          <cell r="F1643">
            <v>0</v>
          </cell>
          <cell r="G1643">
            <v>0</v>
          </cell>
        </row>
        <row r="1644">
          <cell r="B1644">
            <v>42315</v>
          </cell>
          <cell r="C1644" t="str">
            <v>Cursos, Seminários e Convenções</v>
          </cell>
          <cell r="D1644">
            <v>84932.49</v>
          </cell>
          <cell r="E1644">
            <v>27441.67</v>
          </cell>
          <cell r="F1644">
            <v>0</v>
          </cell>
          <cell r="G1644">
            <v>112374.16</v>
          </cell>
        </row>
        <row r="1645">
          <cell r="B1645">
            <v>42316</v>
          </cell>
          <cell r="C1645" t="str">
            <v>Serviços de Processamentos de Dados</v>
          </cell>
          <cell r="D1645">
            <v>130998.94</v>
          </cell>
          <cell r="E1645">
            <v>32385.53</v>
          </cell>
          <cell r="F1645">
            <v>0</v>
          </cell>
          <cell r="G1645">
            <v>163384.47</v>
          </cell>
        </row>
        <row r="1646">
          <cell r="B1646">
            <v>42317</v>
          </cell>
          <cell r="C1646" t="str">
            <v>Serviços Manut. Equipamentos Informática</v>
          </cell>
          <cell r="D1646">
            <v>251333.06</v>
          </cell>
          <cell r="E1646">
            <v>72430.009999999995</v>
          </cell>
          <cell r="F1646">
            <v>0</v>
          </cell>
          <cell r="G1646">
            <v>323763.07</v>
          </cell>
        </row>
        <row r="1647">
          <cell r="B1647">
            <v>42318</v>
          </cell>
          <cell r="C1647" t="str">
            <v>Serv. Tributários e Auditoria</v>
          </cell>
          <cell r="D1647">
            <v>60916.67</v>
          </cell>
          <cell r="E1647">
            <v>12833.33</v>
          </cell>
          <cell r="F1647">
            <v>0</v>
          </cell>
          <cell r="G1647">
            <v>73750</v>
          </cell>
        </row>
        <row r="1648">
          <cell r="B1648">
            <v>42319</v>
          </cell>
          <cell r="C1648" t="str">
            <v>Serviços de Limpeza</v>
          </cell>
          <cell r="D1648">
            <v>0</v>
          </cell>
          <cell r="E1648">
            <v>0</v>
          </cell>
          <cell r="F1648">
            <v>0</v>
          </cell>
          <cell r="G1648">
            <v>0</v>
          </cell>
        </row>
        <row r="1649">
          <cell r="B1649">
            <v>423110</v>
          </cell>
          <cell r="C1649" t="str">
            <v>Serviços de Segurança</v>
          </cell>
          <cell r="D1649">
            <v>0</v>
          </cell>
          <cell r="E1649">
            <v>0</v>
          </cell>
          <cell r="F1649">
            <v>0</v>
          </cell>
          <cell r="G1649">
            <v>0</v>
          </cell>
        </row>
        <row r="1650">
          <cell r="B1650">
            <v>423111</v>
          </cell>
          <cell r="C1650" t="str">
            <v>Serviços de Reforma das Instalações</v>
          </cell>
          <cell r="D1650">
            <v>0</v>
          </cell>
          <cell r="E1650">
            <v>0</v>
          </cell>
          <cell r="F1650">
            <v>0</v>
          </cell>
          <cell r="G1650">
            <v>0</v>
          </cell>
        </row>
        <row r="1651">
          <cell r="B1651">
            <v>423112</v>
          </cell>
          <cell r="C1651" t="str">
            <v>Servicos Gerais</v>
          </cell>
          <cell r="D1651">
            <v>0</v>
          </cell>
          <cell r="E1651">
            <v>0</v>
          </cell>
          <cell r="F1651">
            <v>0</v>
          </cell>
          <cell r="G1651">
            <v>0</v>
          </cell>
        </row>
        <row r="1652">
          <cell r="B1652">
            <v>423113</v>
          </cell>
          <cell r="C1652" t="str">
            <v>Locação de Veículos</v>
          </cell>
          <cell r="D1652">
            <v>0</v>
          </cell>
          <cell r="E1652">
            <v>0</v>
          </cell>
          <cell r="F1652">
            <v>0</v>
          </cell>
          <cell r="G1652">
            <v>0</v>
          </cell>
        </row>
        <row r="1653">
          <cell r="B1653">
            <v>423114</v>
          </cell>
          <cell r="C1653" t="str">
            <v>Cessão Temporária e Manut. de Software</v>
          </cell>
          <cell r="D1653">
            <v>86286.12</v>
          </cell>
          <cell r="E1653">
            <v>19823.990000000002</v>
          </cell>
          <cell r="F1653">
            <v>-444.5</v>
          </cell>
          <cell r="G1653">
            <v>105665.61</v>
          </cell>
        </row>
        <row r="1654">
          <cell r="B1654">
            <v>423115</v>
          </cell>
          <cell r="C1654" t="str">
            <v>Serviços de Clipping de Multimídia</v>
          </cell>
          <cell r="D1654">
            <v>0</v>
          </cell>
          <cell r="E1654">
            <v>0</v>
          </cell>
          <cell r="F1654">
            <v>0</v>
          </cell>
          <cell r="G1654">
            <v>0</v>
          </cell>
        </row>
        <row r="1655">
          <cell r="B1655">
            <v>423117</v>
          </cell>
          <cell r="C1655" t="str">
            <v>Despesas com Estagiarios</v>
          </cell>
          <cell r="D1655">
            <v>62048.57</v>
          </cell>
          <cell r="E1655">
            <v>20017.22</v>
          </cell>
          <cell r="F1655">
            <v>0</v>
          </cell>
          <cell r="G1655">
            <v>82065.789999999994</v>
          </cell>
        </row>
        <row r="1656">
          <cell r="B1656">
            <v>423118</v>
          </cell>
          <cell r="C1656" t="str">
            <v>Despesas com Eventos e Confraternizações</v>
          </cell>
          <cell r="D1656">
            <v>0</v>
          </cell>
          <cell r="E1656">
            <v>0</v>
          </cell>
          <cell r="F1656">
            <v>0</v>
          </cell>
          <cell r="G1656">
            <v>0</v>
          </cell>
        </row>
        <row r="1657">
          <cell r="B1657">
            <v>423119</v>
          </cell>
          <cell r="C1657" t="str">
            <v>Despesas com Jovem Aprendiz</v>
          </cell>
          <cell r="D1657">
            <v>12165.04</v>
          </cell>
          <cell r="E1657">
            <v>2423.3000000000002</v>
          </cell>
          <cell r="F1657">
            <v>0</v>
          </cell>
          <cell r="G1657">
            <v>14588.34</v>
          </cell>
        </row>
        <row r="1658">
          <cell r="B1658">
            <v>4231997</v>
          </cell>
          <cell r="C1658" t="str">
            <v>Serviço Prestado PF</v>
          </cell>
          <cell r="D1658">
            <v>0</v>
          </cell>
          <cell r="E1658">
            <v>0</v>
          </cell>
          <cell r="F1658">
            <v>0</v>
          </cell>
          <cell r="G1658">
            <v>0</v>
          </cell>
        </row>
        <row r="1659">
          <cell r="B1659">
            <v>4231998</v>
          </cell>
          <cell r="C1659" t="str">
            <v>(-) Reemb. de desp. c/ Serviço de Terc.</v>
          </cell>
          <cell r="D1659">
            <v>0</v>
          </cell>
          <cell r="E1659">
            <v>0</v>
          </cell>
          <cell r="F1659">
            <v>0</v>
          </cell>
          <cell r="G1659">
            <v>0</v>
          </cell>
        </row>
        <row r="1660">
          <cell r="B1660">
            <v>4231999</v>
          </cell>
          <cell r="C1660" t="str">
            <v>Outros Serviços</v>
          </cell>
          <cell r="D1660">
            <v>0</v>
          </cell>
          <cell r="E1660">
            <v>0</v>
          </cell>
          <cell r="F1660">
            <v>0</v>
          </cell>
          <cell r="G1660">
            <v>0</v>
          </cell>
        </row>
        <row r="1661">
          <cell r="B1661">
            <v>4232</v>
          </cell>
          <cell r="C1661" t="str">
            <v>Desp.c/Serv. de Terceiros - Estrangeiros</v>
          </cell>
          <cell r="D1661">
            <v>0</v>
          </cell>
          <cell r="E1661">
            <v>0</v>
          </cell>
          <cell r="F1661">
            <v>0</v>
          </cell>
          <cell r="G1661">
            <v>0</v>
          </cell>
        </row>
        <row r="1662">
          <cell r="B1662">
            <v>42321</v>
          </cell>
          <cell r="C1662" t="str">
            <v>Serviços de Consultoria</v>
          </cell>
          <cell r="D1662">
            <v>0</v>
          </cell>
          <cell r="E1662">
            <v>0</v>
          </cell>
          <cell r="F1662">
            <v>0</v>
          </cell>
          <cell r="G1662">
            <v>0</v>
          </cell>
        </row>
        <row r="1663">
          <cell r="B1663">
            <v>42322</v>
          </cell>
          <cell r="C1663" t="str">
            <v>Cessão Temporária e Manut. de Software</v>
          </cell>
          <cell r="D1663">
            <v>0</v>
          </cell>
          <cell r="E1663">
            <v>0</v>
          </cell>
          <cell r="F1663">
            <v>0</v>
          </cell>
          <cell r="G1663">
            <v>0</v>
          </cell>
        </row>
        <row r="1664">
          <cell r="B1664">
            <v>4232999</v>
          </cell>
          <cell r="C1664" t="str">
            <v>Outros Serviços</v>
          </cell>
          <cell r="D1664">
            <v>0</v>
          </cell>
          <cell r="E1664">
            <v>0</v>
          </cell>
          <cell r="F1664">
            <v>0</v>
          </cell>
          <cell r="G1664">
            <v>0</v>
          </cell>
        </row>
        <row r="1665">
          <cell r="B1665">
            <v>424</v>
          </cell>
          <cell r="C1665" t="str">
            <v>Desp.c/Tributos</v>
          </cell>
          <cell r="D1665">
            <v>417718.45</v>
          </cell>
          <cell r="E1665">
            <v>16605.46</v>
          </cell>
          <cell r="F1665">
            <v>0</v>
          </cell>
          <cell r="G1665">
            <v>434323.91</v>
          </cell>
        </row>
        <row r="1666">
          <cell r="B1666">
            <v>4241</v>
          </cell>
          <cell r="C1666" t="str">
            <v>Desp.c/Tributos-Imp.,Txs e Contribuições</v>
          </cell>
          <cell r="D1666">
            <v>417718.45</v>
          </cell>
          <cell r="E1666">
            <v>16605.46</v>
          </cell>
          <cell r="F1666">
            <v>0</v>
          </cell>
          <cell r="G1666">
            <v>434323.91</v>
          </cell>
        </row>
        <row r="1667">
          <cell r="B1667">
            <v>42411</v>
          </cell>
          <cell r="C1667" t="str">
            <v>ITR</v>
          </cell>
          <cell r="D1667">
            <v>0</v>
          </cell>
          <cell r="E1667">
            <v>0</v>
          </cell>
          <cell r="F1667">
            <v>0</v>
          </cell>
          <cell r="G1667">
            <v>0</v>
          </cell>
        </row>
        <row r="1668">
          <cell r="B1668">
            <v>42412</v>
          </cell>
          <cell r="C1668" t="str">
            <v>IPTU</v>
          </cell>
          <cell r="D1668">
            <v>38120.54</v>
          </cell>
          <cell r="E1668">
            <v>9930.56</v>
          </cell>
          <cell r="F1668">
            <v>0</v>
          </cell>
          <cell r="G1668">
            <v>48051.1</v>
          </cell>
        </row>
        <row r="1669">
          <cell r="B1669">
            <v>42413</v>
          </cell>
          <cell r="C1669" t="str">
            <v>IPVA</v>
          </cell>
          <cell r="D1669">
            <v>0</v>
          </cell>
          <cell r="E1669">
            <v>0</v>
          </cell>
          <cell r="F1669">
            <v>0</v>
          </cell>
          <cell r="G1669">
            <v>0</v>
          </cell>
        </row>
        <row r="1670">
          <cell r="B1670">
            <v>42414</v>
          </cell>
          <cell r="C1670" t="str">
            <v>Taxas Municipais</v>
          </cell>
          <cell r="D1670">
            <v>0</v>
          </cell>
          <cell r="E1670">
            <v>0</v>
          </cell>
          <cell r="F1670">
            <v>0</v>
          </cell>
          <cell r="G1670">
            <v>0</v>
          </cell>
        </row>
        <row r="1671">
          <cell r="B1671">
            <v>42415</v>
          </cell>
          <cell r="C1671" t="str">
            <v>PIS s/ Outras Receitas</v>
          </cell>
          <cell r="D1671">
            <v>65752.58</v>
          </cell>
          <cell r="E1671">
            <v>580.98</v>
          </cell>
          <cell r="F1671">
            <v>0</v>
          </cell>
          <cell r="G1671">
            <v>66333.56</v>
          </cell>
        </row>
        <row r="1672">
          <cell r="B1672">
            <v>42416</v>
          </cell>
          <cell r="C1672" t="str">
            <v>COFINS s/ outras Receitas</v>
          </cell>
          <cell r="D1672">
            <v>308559.03000000003</v>
          </cell>
          <cell r="E1672">
            <v>3575.27</v>
          </cell>
          <cell r="F1672">
            <v>0</v>
          </cell>
          <cell r="G1672">
            <v>312134.3</v>
          </cell>
        </row>
        <row r="1673">
          <cell r="B1673">
            <v>42417</v>
          </cell>
          <cell r="C1673" t="str">
            <v>ICMS</v>
          </cell>
          <cell r="D1673">
            <v>0</v>
          </cell>
          <cell r="E1673">
            <v>0</v>
          </cell>
          <cell r="F1673">
            <v>0</v>
          </cell>
          <cell r="G1673">
            <v>0</v>
          </cell>
        </row>
        <row r="1674">
          <cell r="B1674">
            <v>42418</v>
          </cell>
          <cell r="C1674" t="str">
            <v>Outros Impostos e Taxas</v>
          </cell>
          <cell r="D1674">
            <v>317.56</v>
          </cell>
          <cell r="E1674">
            <v>0</v>
          </cell>
          <cell r="F1674">
            <v>0</v>
          </cell>
          <cell r="G1674">
            <v>317.56</v>
          </cell>
        </row>
        <row r="1675">
          <cell r="B1675">
            <v>42419</v>
          </cell>
          <cell r="C1675" t="str">
            <v>REFORMA DAS INSTALAÇÕES</v>
          </cell>
          <cell r="D1675">
            <v>0</v>
          </cell>
          <cell r="E1675">
            <v>0</v>
          </cell>
          <cell r="F1675">
            <v>0</v>
          </cell>
          <cell r="G1675">
            <v>0</v>
          </cell>
        </row>
        <row r="1676">
          <cell r="B1676">
            <v>424110</v>
          </cell>
          <cell r="C1676" t="str">
            <v>Despesas com IRPJ - Anos Anteriores</v>
          </cell>
          <cell r="D1676">
            <v>0</v>
          </cell>
          <cell r="E1676">
            <v>0</v>
          </cell>
          <cell r="F1676">
            <v>0</v>
          </cell>
          <cell r="G1676">
            <v>0</v>
          </cell>
        </row>
        <row r="1677">
          <cell r="B1677">
            <v>424111</v>
          </cell>
          <cell r="C1677" t="str">
            <v>Despesas com CSLL - Anos Anteriores</v>
          </cell>
          <cell r="D1677">
            <v>0</v>
          </cell>
          <cell r="E1677">
            <v>0</v>
          </cell>
          <cell r="F1677">
            <v>0</v>
          </cell>
          <cell r="G1677">
            <v>0</v>
          </cell>
        </row>
        <row r="1678">
          <cell r="B1678">
            <v>424112</v>
          </cell>
          <cell r="C1678" t="str">
            <v>Taxas Estaduais</v>
          </cell>
          <cell r="D1678">
            <v>4968.74</v>
          </cell>
          <cell r="E1678">
            <v>2518.65</v>
          </cell>
          <cell r="F1678">
            <v>0</v>
          </cell>
          <cell r="G1678">
            <v>7487.39</v>
          </cell>
        </row>
        <row r="1679">
          <cell r="B1679">
            <v>424113</v>
          </cell>
          <cell r="C1679" t="str">
            <v>Perdas de Créditos Tributários</v>
          </cell>
          <cell r="D1679">
            <v>0</v>
          </cell>
          <cell r="E1679">
            <v>0</v>
          </cell>
          <cell r="F1679">
            <v>0</v>
          </cell>
          <cell r="G1679">
            <v>0</v>
          </cell>
        </row>
        <row r="1680">
          <cell r="B1680">
            <v>425</v>
          </cell>
          <cell r="C1680" t="str">
            <v>Despesas com Provisôes</v>
          </cell>
          <cell r="D1680">
            <v>1113685.95</v>
          </cell>
          <cell r="E1680">
            <v>0</v>
          </cell>
          <cell r="F1680">
            <v>0</v>
          </cell>
          <cell r="G1680">
            <v>1113685.95</v>
          </cell>
        </row>
        <row r="1681">
          <cell r="B1681">
            <v>4251</v>
          </cell>
          <cell r="C1681" t="str">
            <v>Imposto de Renda</v>
          </cell>
          <cell r="D1681">
            <v>668444.49</v>
          </cell>
          <cell r="E1681">
            <v>0</v>
          </cell>
          <cell r="F1681">
            <v>0</v>
          </cell>
          <cell r="G1681">
            <v>668444.49</v>
          </cell>
        </row>
        <row r="1682">
          <cell r="B1682">
            <v>42511</v>
          </cell>
          <cell r="C1682" t="str">
            <v>Provisão p/ IRPJ</v>
          </cell>
          <cell r="D1682">
            <v>668444.49</v>
          </cell>
          <cell r="E1682">
            <v>0</v>
          </cell>
          <cell r="F1682">
            <v>0</v>
          </cell>
          <cell r="G1682">
            <v>668444.49</v>
          </cell>
        </row>
        <row r="1683">
          <cell r="B1683">
            <v>42512</v>
          </cell>
          <cell r="C1683" t="str">
            <v>Provisao p/ IRPJ Diferido</v>
          </cell>
          <cell r="D1683">
            <v>0</v>
          </cell>
          <cell r="E1683">
            <v>0</v>
          </cell>
          <cell r="F1683">
            <v>0</v>
          </cell>
          <cell r="G1683">
            <v>0</v>
          </cell>
        </row>
        <row r="1684">
          <cell r="B1684">
            <v>4252</v>
          </cell>
          <cell r="C1684" t="str">
            <v>Contribuição Social s/ Lucro Líquido</v>
          </cell>
          <cell r="D1684">
            <v>266728.8</v>
          </cell>
          <cell r="E1684">
            <v>0</v>
          </cell>
          <cell r="F1684">
            <v>0</v>
          </cell>
          <cell r="G1684">
            <v>266728.8</v>
          </cell>
        </row>
        <row r="1685">
          <cell r="B1685">
            <v>42521</v>
          </cell>
          <cell r="C1685" t="str">
            <v>Provisão p/ CSLL</v>
          </cell>
          <cell r="D1685">
            <v>266728.8</v>
          </cell>
          <cell r="E1685">
            <v>0</v>
          </cell>
          <cell r="F1685">
            <v>0</v>
          </cell>
          <cell r="G1685">
            <v>266728.8</v>
          </cell>
        </row>
        <row r="1686">
          <cell r="B1686">
            <v>42522</v>
          </cell>
          <cell r="C1686" t="str">
            <v>Provisao p/ CSLL Diferido</v>
          </cell>
          <cell r="D1686">
            <v>0</v>
          </cell>
          <cell r="E1686">
            <v>0</v>
          </cell>
          <cell r="F1686">
            <v>0</v>
          </cell>
          <cell r="G1686">
            <v>0</v>
          </cell>
        </row>
        <row r="1687">
          <cell r="B1687">
            <v>4253</v>
          </cell>
          <cell r="C1687" t="str">
            <v>Desp. c/ Provisões-Retific. de Créditos</v>
          </cell>
          <cell r="D1687">
            <v>0</v>
          </cell>
          <cell r="E1687">
            <v>0</v>
          </cell>
          <cell r="F1687">
            <v>0</v>
          </cell>
          <cell r="G1687">
            <v>0</v>
          </cell>
        </row>
        <row r="1688">
          <cell r="B1688">
            <v>42531</v>
          </cell>
          <cell r="C1688" t="str">
            <v>Provisões p/ Devedores Duvidosos</v>
          </cell>
          <cell r="D1688">
            <v>0</v>
          </cell>
          <cell r="E1688">
            <v>0</v>
          </cell>
          <cell r="F1688">
            <v>0</v>
          </cell>
          <cell r="G1688">
            <v>0</v>
          </cell>
        </row>
        <row r="1689">
          <cell r="B1689">
            <v>42532</v>
          </cell>
          <cell r="C1689" t="str">
            <v>Provisões p/Perdas em Valores Mobiliário</v>
          </cell>
          <cell r="D1689">
            <v>0</v>
          </cell>
          <cell r="E1689">
            <v>0</v>
          </cell>
          <cell r="F1689">
            <v>0</v>
          </cell>
          <cell r="G1689">
            <v>0</v>
          </cell>
        </row>
        <row r="1690">
          <cell r="B1690">
            <v>4254</v>
          </cell>
          <cell r="C1690" t="str">
            <v>Despesas c/ Provisões - p/ Contingências</v>
          </cell>
          <cell r="D1690">
            <v>178512.66</v>
          </cell>
          <cell r="E1690">
            <v>0</v>
          </cell>
          <cell r="F1690">
            <v>0</v>
          </cell>
          <cell r="G1690">
            <v>178512.66</v>
          </cell>
        </row>
        <row r="1691">
          <cell r="B1691">
            <v>42541</v>
          </cell>
          <cell r="C1691" t="str">
            <v>Provisões p/ Contingências Trabalhistas</v>
          </cell>
          <cell r="D1691">
            <v>178512.66</v>
          </cell>
          <cell r="E1691">
            <v>0</v>
          </cell>
          <cell r="F1691">
            <v>0</v>
          </cell>
          <cell r="G1691">
            <v>178512.66</v>
          </cell>
        </row>
        <row r="1692">
          <cell r="B1692">
            <v>42542</v>
          </cell>
          <cell r="C1692" t="str">
            <v>Provisões p/ Contingências Cíveis</v>
          </cell>
          <cell r="D1692">
            <v>0</v>
          </cell>
          <cell r="E1692">
            <v>0</v>
          </cell>
          <cell r="F1692">
            <v>0</v>
          </cell>
          <cell r="G1692">
            <v>0</v>
          </cell>
        </row>
        <row r="1693">
          <cell r="B1693">
            <v>42543</v>
          </cell>
          <cell r="C1693" t="str">
            <v>Provisões p/ Contingências Fiscais</v>
          </cell>
          <cell r="D1693">
            <v>0</v>
          </cell>
          <cell r="E1693">
            <v>0</v>
          </cell>
          <cell r="F1693">
            <v>0</v>
          </cell>
          <cell r="G1693">
            <v>0</v>
          </cell>
        </row>
        <row r="1694">
          <cell r="B1694">
            <v>4254999</v>
          </cell>
          <cell r="C1694" t="str">
            <v>Outras Provisões</v>
          </cell>
          <cell r="D1694">
            <v>0</v>
          </cell>
          <cell r="E1694">
            <v>0</v>
          </cell>
          <cell r="F1694">
            <v>0</v>
          </cell>
          <cell r="G1694">
            <v>0</v>
          </cell>
        </row>
        <row r="1695">
          <cell r="B1695">
            <v>426</v>
          </cell>
          <cell r="C1695" t="str">
            <v>Despesas Gerais</v>
          </cell>
          <cell r="D1695">
            <v>2779461.53</v>
          </cell>
          <cell r="E1695">
            <v>699256.3</v>
          </cell>
          <cell r="F1695">
            <v>0</v>
          </cell>
          <cell r="G1695">
            <v>3478717.83</v>
          </cell>
        </row>
        <row r="1696">
          <cell r="B1696">
            <v>4261</v>
          </cell>
          <cell r="C1696" t="str">
            <v>Desp. Gerais Funcionamento Instalações</v>
          </cell>
          <cell r="D1696">
            <v>1592807.11</v>
          </cell>
          <cell r="E1696">
            <v>389178.03</v>
          </cell>
          <cell r="F1696">
            <v>0</v>
          </cell>
          <cell r="G1696">
            <v>1981985.14</v>
          </cell>
        </row>
        <row r="1697">
          <cell r="B1697">
            <v>42611</v>
          </cell>
          <cell r="C1697" t="str">
            <v>Aluguéis</v>
          </cell>
          <cell r="D1697">
            <v>245769.16</v>
          </cell>
          <cell r="E1697">
            <v>61519.07</v>
          </cell>
          <cell r="F1697">
            <v>0</v>
          </cell>
          <cell r="G1697">
            <v>307288.23</v>
          </cell>
        </row>
        <row r="1698">
          <cell r="B1698">
            <v>42612</v>
          </cell>
          <cell r="C1698" t="str">
            <v>Arrendamento Mercantil</v>
          </cell>
          <cell r="D1698">
            <v>0</v>
          </cell>
          <cell r="E1698">
            <v>0</v>
          </cell>
          <cell r="F1698">
            <v>0</v>
          </cell>
          <cell r="G1698">
            <v>0</v>
          </cell>
        </row>
        <row r="1699">
          <cell r="B1699">
            <v>42613</v>
          </cell>
          <cell r="C1699" t="str">
            <v>Manutenção e Reparos</v>
          </cell>
          <cell r="D1699">
            <v>64315</v>
          </cell>
          <cell r="E1699">
            <v>0</v>
          </cell>
          <cell r="F1699">
            <v>0</v>
          </cell>
          <cell r="G1699">
            <v>64315</v>
          </cell>
        </row>
        <row r="1700">
          <cell r="B1700">
            <v>42614</v>
          </cell>
          <cell r="C1700" t="str">
            <v>Energia Elétrica</v>
          </cell>
          <cell r="D1700">
            <v>82067.05</v>
          </cell>
          <cell r="E1700">
            <v>24189.29</v>
          </cell>
          <cell r="F1700">
            <v>0</v>
          </cell>
          <cell r="G1700">
            <v>106256.34</v>
          </cell>
        </row>
        <row r="1701">
          <cell r="B1701">
            <v>42615</v>
          </cell>
          <cell r="C1701" t="str">
            <v>Água e Esgoto</v>
          </cell>
          <cell r="D1701">
            <v>0</v>
          </cell>
          <cell r="E1701">
            <v>0</v>
          </cell>
          <cell r="F1701">
            <v>0</v>
          </cell>
          <cell r="G1701">
            <v>0</v>
          </cell>
        </row>
        <row r="1702">
          <cell r="B1702">
            <v>42616</v>
          </cell>
          <cell r="C1702" t="str">
            <v>Telecomunicações</v>
          </cell>
          <cell r="D1702">
            <v>3306.83</v>
          </cell>
          <cell r="E1702">
            <v>1698.39</v>
          </cell>
          <cell r="F1702">
            <v>0</v>
          </cell>
          <cell r="G1702">
            <v>5005.22</v>
          </cell>
        </row>
        <row r="1703">
          <cell r="B1703">
            <v>42617</v>
          </cell>
          <cell r="C1703" t="str">
            <v>Correios e Malotes</v>
          </cell>
          <cell r="D1703">
            <v>656.7</v>
          </cell>
          <cell r="E1703">
            <v>0</v>
          </cell>
          <cell r="F1703">
            <v>0</v>
          </cell>
          <cell r="G1703">
            <v>656.7</v>
          </cell>
        </row>
        <row r="1704">
          <cell r="B1704">
            <v>42618</v>
          </cell>
          <cell r="C1704" t="str">
            <v>Reproduções</v>
          </cell>
          <cell r="D1704">
            <v>9204.7000000000007</v>
          </cell>
          <cell r="E1704">
            <v>0</v>
          </cell>
          <cell r="F1704">
            <v>0</v>
          </cell>
          <cell r="G1704">
            <v>9204.7000000000007</v>
          </cell>
        </row>
        <row r="1705">
          <cell r="B1705">
            <v>42619</v>
          </cell>
          <cell r="C1705" t="str">
            <v>Seguros</v>
          </cell>
          <cell r="D1705">
            <v>0</v>
          </cell>
          <cell r="E1705">
            <v>0</v>
          </cell>
          <cell r="F1705">
            <v>0</v>
          </cell>
          <cell r="G1705">
            <v>0</v>
          </cell>
        </row>
        <row r="1706">
          <cell r="B1706">
            <v>426110</v>
          </cell>
          <cell r="C1706" t="str">
            <v>Conduções e Lanches</v>
          </cell>
          <cell r="D1706">
            <v>0</v>
          </cell>
          <cell r="E1706">
            <v>0</v>
          </cell>
          <cell r="F1706">
            <v>0</v>
          </cell>
          <cell r="G1706">
            <v>0</v>
          </cell>
        </row>
        <row r="1707">
          <cell r="B1707">
            <v>426111</v>
          </cell>
          <cell r="C1707" t="str">
            <v>Depreciação e Amortização</v>
          </cell>
          <cell r="D1707">
            <v>979885.23</v>
          </cell>
          <cell r="E1707">
            <v>245786.42</v>
          </cell>
          <cell r="F1707">
            <v>0</v>
          </cell>
          <cell r="G1707">
            <v>1225671.6499999999</v>
          </cell>
        </row>
        <row r="1708">
          <cell r="B1708">
            <v>426112</v>
          </cell>
          <cell r="C1708" t="str">
            <v>Alugueis de Móveis, Máquinas e Equip.</v>
          </cell>
          <cell r="D1708">
            <v>584.92999999999995</v>
          </cell>
          <cell r="E1708">
            <v>146.22999999999999</v>
          </cell>
          <cell r="F1708">
            <v>0</v>
          </cell>
          <cell r="G1708">
            <v>731.16</v>
          </cell>
        </row>
        <row r="1709">
          <cell r="B1709">
            <v>426113</v>
          </cell>
          <cell r="C1709" t="str">
            <v>Aluguel de Eq de Processamento de Dados</v>
          </cell>
          <cell r="D1709">
            <v>0</v>
          </cell>
          <cell r="E1709">
            <v>0</v>
          </cell>
          <cell r="F1709">
            <v>0</v>
          </cell>
          <cell r="G1709">
            <v>0</v>
          </cell>
        </row>
        <row r="1710">
          <cell r="B1710">
            <v>426114</v>
          </cell>
          <cell r="C1710" t="str">
            <v>Serviço de Limpeza e Higiene</v>
          </cell>
          <cell r="D1710">
            <v>53378.15</v>
          </cell>
          <cell r="E1710">
            <v>15499.74</v>
          </cell>
          <cell r="F1710">
            <v>0</v>
          </cell>
          <cell r="G1710">
            <v>68877.89</v>
          </cell>
        </row>
        <row r="1711">
          <cell r="B1711">
            <v>426115</v>
          </cell>
          <cell r="C1711" t="str">
            <v>Projeto de Eficiência Energética</v>
          </cell>
          <cell r="D1711">
            <v>0</v>
          </cell>
          <cell r="E1711">
            <v>0</v>
          </cell>
          <cell r="F1711">
            <v>0</v>
          </cell>
          <cell r="G1711">
            <v>0</v>
          </cell>
        </row>
        <row r="1712">
          <cell r="B1712">
            <v>426116</v>
          </cell>
          <cell r="C1712" t="str">
            <v>Condomínios</v>
          </cell>
          <cell r="D1712">
            <v>117905.94</v>
          </cell>
          <cell r="E1712">
            <v>29655.01</v>
          </cell>
          <cell r="F1712">
            <v>0</v>
          </cell>
          <cell r="G1712">
            <v>147560.95000000001</v>
          </cell>
        </row>
        <row r="1713">
          <cell r="B1713">
            <v>426117</v>
          </cell>
          <cell r="C1713" t="str">
            <v>Serviços Gerais</v>
          </cell>
          <cell r="D1713">
            <v>35733.42</v>
          </cell>
          <cell r="E1713">
            <v>10683.88</v>
          </cell>
          <cell r="F1713">
            <v>0</v>
          </cell>
          <cell r="G1713">
            <v>46417.3</v>
          </cell>
        </row>
        <row r="1714">
          <cell r="B1714">
            <v>4261998</v>
          </cell>
          <cell r="C1714" t="str">
            <v>(-) Reemb despesas Gerais de funcionamen</v>
          </cell>
          <cell r="D1714">
            <v>0</v>
          </cell>
          <cell r="E1714">
            <v>0</v>
          </cell>
          <cell r="F1714">
            <v>0</v>
          </cell>
          <cell r="G1714">
            <v>0</v>
          </cell>
        </row>
        <row r="1715">
          <cell r="B1715">
            <v>4261999</v>
          </cell>
          <cell r="C1715" t="str">
            <v>Outras Despesas</v>
          </cell>
          <cell r="D1715">
            <v>0</v>
          </cell>
          <cell r="E1715">
            <v>0</v>
          </cell>
          <cell r="F1715">
            <v>0</v>
          </cell>
          <cell r="G1715">
            <v>0</v>
          </cell>
        </row>
        <row r="1716">
          <cell r="B1716">
            <v>4262</v>
          </cell>
          <cell r="C1716" t="str">
            <v>Despesas Gerais da Administração</v>
          </cell>
          <cell r="D1716">
            <v>1186654.42</v>
          </cell>
          <cell r="E1716">
            <v>310078.27</v>
          </cell>
          <cell r="F1716">
            <v>0</v>
          </cell>
          <cell r="G1716">
            <v>1496732.69</v>
          </cell>
        </row>
        <row r="1717">
          <cell r="B1717">
            <v>42621</v>
          </cell>
          <cell r="C1717" t="str">
            <v>Honorários da Diretoria</v>
          </cell>
          <cell r="D1717">
            <v>259857.04</v>
          </cell>
          <cell r="E1717">
            <v>64964.26</v>
          </cell>
          <cell r="F1717">
            <v>0</v>
          </cell>
          <cell r="G1717">
            <v>324821.3</v>
          </cell>
        </row>
        <row r="1718">
          <cell r="B1718">
            <v>42622</v>
          </cell>
          <cell r="C1718" t="str">
            <v>Honorários Conselhos de Adm. e Fiscal</v>
          </cell>
          <cell r="D1718">
            <v>115744.54</v>
          </cell>
          <cell r="E1718">
            <v>38761.99</v>
          </cell>
          <cell r="F1718">
            <v>0</v>
          </cell>
          <cell r="G1718">
            <v>154506.53</v>
          </cell>
        </row>
        <row r="1719">
          <cell r="B1719">
            <v>42623</v>
          </cell>
          <cell r="C1719" t="str">
            <v>Despesas com Estagiários</v>
          </cell>
          <cell r="D1719">
            <v>0</v>
          </cell>
          <cell r="E1719">
            <v>0</v>
          </cell>
          <cell r="F1719">
            <v>0</v>
          </cell>
          <cell r="G1719">
            <v>0</v>
          </cell>
        </row>
        <row r="1720">
          <cell r="B1720">
            <v>42624</v>
          </cell>
          <cell r="C1720" t="str">
            <v>Despesas de Viagens - Passagens Aéreas</v>
          </cell>
          <cell r="D1720">
            <v>77087.570000000007</v>
          </cell>
          <cell r="E1720">
            <v>22685.43</v>
          </cell>
          <cell r="F1720">
            <v>0</v>
          </cell>
          <cell r="G1720">
            <v>99773</v>
          </cell>
        </row>
        <row r="1721">
          <cell r="B1721">
            <v>42625</v>
          </cell>
          <cell r="C1721" t="str">
            <v>Despesas de Viagens - Hospedagens</v>
          </cell>
          <cell r="D1721">
            <v>2243.2199999999998</v>
          </cell>
          <cell r="E1721">
            <v>0</v>
          </cell>
          <cell r="F1721">
            <v>0</v>
          </cell>
          <cell r="G1721">
            <v>2243.2199999999998</v>
          </cell>
        </row>
        <row r="1722">
          <cell r="B1722">
            <v>42626</v>
          </cell>
          <cell r="C1722" t="str">
            <v>Despesas de Viagens - Outros</v>
          </cell>
          <cell r="D1722">
            <v>4511.32</v>
          </cell>
          <cell r="E1722">
            <v>12490.7</v>
          </cell>
          <cell r="F1722">
            <v>0</v>
          </cell>
          <cell r="G1722">
            <v>17002.02</v>
          </cell>
        </row>
        <row r="1723">
          <cell r="B1723">
            <v>42627</v>
          </cell>
          <cell r="C1723" t="str">
            <v>Assinaturas Banco de Dados e Portais</v>
          </cell>
          <cell r="D1723">
            <v>504569.63</v>
          </cell>
          <cell r="E1723">
            <v>143974.22</v>
          </cell>
          <cell r="F1723">
            <v>0</v>
          </cell>
          <cell r="G1723">
            <v>648543.85</v>
          </cell>
        </row>
        <row r="1724">
          <cell r="B1724">
            <v>42628</v>
          </cell>
          <cell r="C1724" t="str">
            <v>Donativos e Contribuições</v>
          </cell>
          <cell r="D1724">
            <v>0</v>
          </cell>
          <cell r="E1724">
            <v>0</v>
          </cell>
          <cell r="F1724">
            <v>0</v>
          </cell>
          <cell r="G1724">
            <v>0</v>
          </cell>
        </row>
        <row r="1725">
          <cell r="B1725">
            <v>42629</v>
          </cell>
          <cell r="C1725" t="str">
            <v>Despesas Legais e Judiciais</v>
          </cell>
          <cell r="D1725">
            <v>1658.32</v>
          </cell>
          <cell r="E1725">
            <v>112.88</v>
          </cell>
          <cell r="F1725">
            <v>0</v>
          </cell>
          <cell r="G1725">
            <v>1771.2</v>
          </cell>
        </row>
        <row r="1726">
          <cell r="B1726">
            <v>426210</v>
          </cell>
          <cell r="C1726" t="str">
            <v>Despesa de Viagem ao Exterior</v>
          </cell>
          <cell r="D1726">
            <v>64001.34</v>
          </cell>
          <cell r="E1726">
            <v>0</v>
          </cell>
          <cell r="F1726">
            <v>0</v>
          </cell>
          <cell r="G1726">
            <v>64001.34</v>
          </cell>
        </row>
        <row r="1727">
          <cell r="B1727">
            <v>426211</v>
          </cell>
          <cell r="C1727" t="str">
            <v>Doação de Livros Técnicos</v>
          </cell>
          <cell r="D1727">
            <v>0</v>
          </cell>
          <cell r="E1727">
            <v>0</v>
          </cell>
          <cell r="F1727">
            <v>0</v>
          </cell>
          <cell r="G1727">
            <v>0</v>
          </cell>
        </row>
        <row r="1728">
          <cell r="B1728">
            <v>426212</v>
          </cell>
          <cell r="C1728" t="str">
            <v>DESPESAS NAO DEDUTIVEIS</v>
          </cell>
          <cell r="D1728">
            <v>0</v>
          </cell>
          <cell r="E1728">
            <v>0</v>
          </cell>
          <cell r="F1728">
            <v>0</v>
          </cell>
          <cell r="G1728">
            <v>0</v>
          </cell>
        </row>
        <row r="1729">
          <cell r="B1729">
            <v>426213</v>
          </cell>
          <cell r="C1729" t="str">
            <v>DESPESAS NÃO DEDUTIVEIS</v>
          </cell>
          <cell r="D1729">
            <v>39560.300000000003</v>
          </cell>
          <cell r="E1729">
            <v>0</v>
          </cell>
          <cell r="F1729">
            <v>0</v>
          </cell>
          <cell r="G1729">
            <v>39560.300000000003</v>
          </cell>
        </row>
        <row r="1730">
          <cell r="B1730">
            <v>426214</v>
          </cell>
          <cell r="C1730" t="str">
            <v>Honorários Comite de Auditoria</v>
          </cell>
          <cell r="D1730">
            <v>42226.8</v>
          </cell>
          <cell r="E1730">
            <v>10556.7</v>
          </cell>
          <cell r="F1730">
            <v>0</v>
          </cell>
          <cell r="G1730">
            <v>52783.5</v>
          </cell>
        </row>
        <row r="1731">
          <cell r="B1731">
            <v>426215</v>
          </cell>
          <cell r="C1731" t="str">
            <v>Seguro de Responsabilidade Cívil</v>
          </cell>
          <cell r="D1731">
            <v>75194.34</v>
          </cell>
          <cell r="E1731">
            <v>16532.09</v>
          </cell>
          <cell r="F1731">
            <v>0</v>
          </cell>
          <cell r="G1731">
            <v>91726.43</v>
          </cell>
        </row>
        <row r="1732">
          <cell r="B1732">
            <v>4262998</v>
          </cell>
          <cell r="C1732" t="str">
            <v>(-) Reemb. de desp. Gerais da Administ.</v>
          </cell>
          <cell r="D1732">
            <v>0</v>
          </cell>
          <cell r="E1732">
            <v>0</v>
          </cell>
          <cell r="F1732">
            <v>0</v>
          </cell>
          <cell r="G1732">
            <v>0</v>
          </cell>
        </row>
        <row r="1733">
          <cell r="B1733">
            <v>4262999</v>
          </cell>
          <cell r="C1733" t="str">
            <v>Outras Despesas</v>
          </cell>
          <cell r="D1733">
            <v>0</v>
          </cell>
          <cell r="E1733">
            <v>0</v>
          </cell>
          <cell r="F1733">
            <v>0</v>
          </cell>
          <cell r="G1733">
            <v>0</v>
          </cell>
        </row>
        <row r="1734">
          <cell r="B1734">
            <v>4262101</v>
          </cell>
          <cell r="C1734" t="str">
            <v>Despesas com Concurso Publico</v>
          </cell>
          <cell r="D1734">
            <v>0</v>
          </cell>
          <cell r="E1734">
            <v>0</v>
          </cell>
          <cell r="F1734">
            <v>0</v>
          </cell>
          <cell r="G1734">
            <v>0</v>
          </cell>
        </row>
        <row r="1735">
          <cell r="B1735">
            <v>427</v>
          </cell>
          <cell r="C1735" t="str">
            <v>Despesas Financeiras</v>
          </cell>
          <cell r="D1735">
            <v>373611.44</v>
          </cell>
          <cell r="E1735">
            <v>89619.45</v>
          </cell>
          <cell r="F1735">
            <v>0</v>
          </cell>
          <cell r="G1735">
            <v>463230.89</v>
          </cell>
        </row>
        <row r="1736">
          <cell r="B1736">
            <v>42701</v>
          </cell>
          <cell r="C1736" t="str">
            <v>Despesas Financeiras</v>
          </cell>
          <cell r="D1736">
            <v>373611.44</v>
          </cell>
          <cell r="E1736">
            <v>89619.45</v>
          </cell>
          <cell r="F1736">
            <v>0</v>
          </cell>
          <cell r="G1736">
            <v>463230.89</v>
          </cell>
        </row>
        <row r="1737">
          <cell r="B1737">
            <v>42711</v>
          </cell>
          <cell r="C1737" t="str">
            <v>Juros Pagos ou Incorridos</v>
          </cell>
          <cell r="D1737">
            <v>3.15</v>
          </cell>
          <cell r="E1737">
            <v>0</v>
          </cell>
          <cell r="F1737">
            <v>0</v>
          </cell>
          <cell r="G1737">
            <v>3.15</v>
          </cell>
        </row>
        <row r="1738">
          <cell r="B1738">
            <v>42712</v>
          </cell>
          <cell r="C1738" t="str">
            <v>Descontos Concedidos</v>
          </cell>
          <cell r="D1738">
            <v>0</v>
          </cell>
          <cell r="E1738">
            <v>0</v>
          </cell>
          <cell r="F1738">
            <v>0</v>
          </cell>
          <cell r="G1738">
            <v>0</v>
          </cell>
        </row>
        <row r="1739">
          <cell r="B1739">
            <v>42713</v>
          </cell>
          <cell r="C1739" t="str">
            <v>Comissões e Despesas Bancárias</v>
          </cell>
          <cell r="D1739">
            <v>0</v>
          </cell>
          <cell r="E1739">
            <v>0</v>
          </cell>
          <cell r="F1739">
            <v>0</v>
          </cell>
          <cell r="G1739">
            <v>0</v>
          </cell>
        </row>
        <row r="1740">
          <cell r="B1740">
            <v>42714</v>
          </cell>
          <cell r="C1740" t="str">
            <v>Variações Monetárias</v>
          </cell>
          <cell r="D1740">
            <v>0</v>
          </cell>
          <cell r="E1740">
            <v>0</v>
          </cell>
          <cell r="F1740">
            <v>0</v>
          </cell>
          <cell r="G1740">
            <v>0</v>
          </cell>
        </row>
        <row r="1741">
          <cell r="B1741">
            <v>42715</v>
          </cell>
          <cell r="C1741" t="str">
            <v>Despesas Financeiras Comerciais</v>
          </cell>
          <cell r="D1741">
            <v>0</v>
          </cell>
          <cell r="E1741">
            <v>0</v>
          </cell>
          <cell r="F1741">
            <v>0</v>
          </cell>
          <cell r="G1741">
            <v>0</v>
          </cell>
        </row>
        <row r="1742">
          <cell r="B1742">
            <v>42716</v>
          </cell>
          <cell r="C1742" t="str">
            <v>Multas</v>
          </cell>
          <cell r="D1742">
            <v>0</v>
          </cell>
          <cell r="E1742">
            <v>0</v>
          </cell>
          <cell r="F1742">
            <v>0</v>
          </cell>
          <cell r="G1742">
            <v>0</v>
          </cell>
        </row>
        <row r="1743">
          <cell r="B1743">
            <v>42717</v>
          </cell>
          <cell r="C1743" t="str">
            <v>CPMF</v>
          </cell>
          <cell r="D1743">
            <v>0</v>
          </cell>
          <cell r="E1743">
            <v>0</v>
          </cell>
          <cell r="F1743">
            <v>0</v>
          </cell>
          <cell r="G1743">
            <v>0</v>
          </cell>
        </row>
        <row r="1744">
          <cell r="B1744">
            <v>42718</v>
          </cell>
          <cell r="C1744" t="str">
            <v>Perda na Venda de Ações</v>
          </cell>
          <cell r="D1744">
            <v>0</v>
          </cell>
          <cell r="E1744">
            <v>0</v>
          </cell>
          <cell r="F1744">
            <v>0</v>
          </cell>
          <cell r="G1744">
            <v>0</v>
          </cell>
        </row>
        <row r="1745">
          <cell r="B1745">
            <v>42719</v>
          </cell>
          <cell r="C1745" t="str">
            <v>Despesa c/Juros s/Capital Próprio</v>
          </cell>
          <cell r="D1745">
            <v>0</v>
          </cell>
          <cell r="E1745">
            <v>0</v>
          </cell>
          <cell r="F1745">
            <v>0</v>
          </cell>
          <cell r="G1745">
            <v>0</v>
          </cell>
        </row>
        <row r="1746">
          <cell r="B1746">
            <v>427110</v>
          </cell>
          <cell r="C1746" t="str">
            <v>Multas Indedutiveis</v>
          </cell>
          <cell r="D1746">
            <v>0</v>
          </cell>
          <cell r="E1746">
            <v>0</v>
          </cell>
          <cell r="F1746">
            <v>0</v>
          </cell>
          <cell r="G1746">
            <v>0</v>
          </cell>
        </row>
        <row r="1747">
          <cell r="B1747">
            <v>42720</v>
          </cell>
          <cell r="C1747" t="str">
            <v>Prov. Contingências Variações Monetárias</v>
          </cell>
          <cell r="D1747">
            <v>373608.29</v>
          </cell>
          <cell r="E1747">
            <v>89619.45</v>
          </cell>
          <cell r="F1747">
            <v>0</v>
          </cell>
          <cell r="G1747">
            <v>463227.74</v>
          </cell>
        </row>
        <row r="1748">
          <cell r="B1748">
            <v>427121</v>
          </cell>
          <cell r="C1748" t="str">
            <v>Prov. Contingências Multas</v>
          </cell>
          <cell r="D1748">
            <v>0</v>
          </cell>
          <cell r="E1748">
            <v>0</v>
          </cell>
          <cell r="F1748">
            <v>0</v>
          </cell>
          <cell r="G1748">
            <v>0</v>
          </cell>
        </row>
        <row r="1749">
          <cell r="B1749">
            <v>4271999</v>
          </cell>
          <cell r="C1749" t="str">
            <v>Outras Despesas Financeiras</v>
          </cell>
          <cell r="D1749">
            <v>0</v>
          </cell>
          <cell r="E1749">
            <v>0</v>
          </cell>
          <cell r="F1749">
            <v>0</v>
          </cell>
          <cell r="G1749">
            <v>0</v>
          </cell>
        </row>
        <row r="1750">
          <cell r="B1750">
            <v>428</v>
          </cell>
          <cell r="C1750" t="str">
            <v>Despesas com Indenizações</v>
          </cell>
          <cell r="D1750">
            <v>0</v>
          </cell>
          <cell r="E1750">
            <v>0</v>
          </cell>
          <cell r="F1750">
            <v>0</v>
          </cell>
          <cell r="G1750">
            <v>0</v>
          </cell>
        </row>
        <row r="1751">
          <cell r="B1751">
            <v>4281</v>
          </cell>
          <cell r="C1751" t="str">
            <v>Indenizações</v>
          </cell>
          <cell r="D1751">
            <v>0</v>
          </cell>
          <cell r="E1751">
            <v>0</v>
          </cell>
          <cell r="F1751">
            <v>0</v>
          </cell>
          <cell r="G1751">
            <v>0</v>
          </cell>
        </row>
        <row r="1752">
          <cell r="B1752">
            <v>42811</v>
          </cell>
          <cell r="C1752" t="str">
            <v>Indenizações Trabalhistas</v>
          </cell>
          <cell r="D1752">
            <v>0</v>
          </cell>
          <cell r="E1752">
            <v>0</v>
          </cell>
          <cell r="F1752">
            <v>0</v>
          </cell>
          <cell r="G1752">
            <v>0</v>
          </cell>
        </row>
        <row r="1753">
          <cell r="B1753">
            <v>42812</v>
          </cell>
          <cell r="C1753" t="str">
            <v>Indenizações Civeis</v>
          </cell>
          <cell r="D1753">
            <v>0</v>
          </cell>
          <cell r="E1753">
            <v>0</v>
          </cell>
          <cell r="F1753">
            <v>0</v>
          </cell>
          <cell r="G1753">
            <v>0</v>
          </cell>
        </row>
        <row r="1754">
          <cell r="B1754">
            <v>42813</v>
          </cell>
          <cell r="C1754" t="str">
            <v>Indenizações Fiscais</v>
          </cell>
          <cell r="D1754">
            <v>0</v>
          </cell>
          <cell r="E1754">
            <v>0</v>
          </cell>
          <cell r="F1754">
            <v>0</v>
          </cell>
          <cell r="G1754">
            <v>0</v>
          </cell>
        </row>
        <row r="1755">
          <cell r="B1755">
            <v>429</v>
          </cell>
          <cell r="C1755" t="str">
            <v>Outras Despesas</v>
          </cell>
          <cell r="D1755">
            <v>600000</v>
          </cell>
          <cell r="E1755">
            <v>0</v>
          </cell>
          <cell r="F1755">
            <v>0</v>
          </cell>
          <cell r="G1755">
            <v>600000</v>
          </cell>
        </row>
        <row r="1756">
          <cell r="B1756">
            <v>4291</v>
          </cell>
          <cell r="C1756" t="str">
            <v>Perdas de Alienação de Investimento</v>
          </cell>
          <cell r="D1756">
            <v>0</v>
          </cell>
          <cell r="E1756">
            <v>0</v>
          </cell>
          <cell r="F1756">
            <v>0</v>
          </cell>
          <cell r="G1756">
            <v>0</v>
          </cell>
        </row>
        <row r="1757">
          <cell r="B1757">
            <v>42911</v>
          </cell>
          <cell r="C1757" t="str">
            <v>Result. Negativo Venda de Investimentos</v>
          </cell>
          <cell r="D1757">
            <v>0</v>
          </cell>
          <cell r="E1757">
            <v>0</v>
          </cell>
          <cell r="F1757">
            <v>0</v>
          </cell>
          <cell r="G1757">
            <v>0</v>
          </cell>
        </row>
        <row r="1758">
          <cell r="B1758">
            <v>4292</v>
          </cell>
          <cell r="C1758" t="str">
            <v>Perdas de Equivalência Patrimonial</v>
          </cell>
          <cell r="D1758">
            <v>0</v>
          </cell>
          <cell r="E1758">
            <v>0</v>
          </cell>
          <cell r="F1758">
            <v>0</v>
          </cell>
          <cell r="G1758">
            <v>0</v>
          </cell>
        </row>
        <row r="1759">
          <cell r="B1759">
            <v>42921</v>
          </cell>
          <cell r="C1759" t="str">
            <v>Result.Negativo Equivalência Patrimonial</v>
          </cell>
          <cell r="D1759">
            <v>0</v>
          </cell>
          <cell r="E1759">
            <v>0</v>
          </cell>
          <cell r="F1759">
            <v>0</v>
          </cell>
          <cell r="G1759">
            <v>0</v>
          </cell>
        </row>
        <row r="1760">
          <cell r="B1760">
            <v>4293</v>
          </cell>
          <cell r="C1760" t="str">
            <v>Perdas na Alienação de Imobilizado</v>
          </cell>
          <cell r="D1760">
            <v>0</v>
          </cell>
          <cell r="E1760">
            <v>0</v>
          </cell>
          <cell r="F1760">
            <v>0</v>
          </cell>
          <cell r="G1760">
            <v>0</v>
          </cell>
        </row>
        <row r="1761">
          <cell r="B1761">
            <v>42931</v>
          </cell>
          <cell r="C1761" t="str">
            <v>Result. Negativo na Venda de Imobilizado</v>
          </cell>
          <cell r="D1761">
            <v>0</v>
          </cell>
          <cell r="E1761">
            <v>0</v>
          </cell>
          <cell r="F1761">
            <v>0</v>
          </cell>
          <cell r="G1761">
            <v>0</v>
          </cell>
        </row>
        <row r="1762">
          <cell r="B1762">
            <v>42932</v>
          </cell>
          <cell r="C1762" t="str">
            <v>PERDA DE BENS NO IMOBILIZADO</v>
          </cell>
          <cell r="D1762">
            <v>0</v>
          </cell>
          <cell r="E1762">
            <v>0</v>
          </cell>
          <cell r="F1762">
            <v>0</v>
          </cell>
          <cell r="G1762">
            <v>0</v>
          </cell>
        </row>
        <row r="1763">
          <cell r="B1763">
            <v>42933</v>
          </cell>
          <cell r="C1763" t="str">
            <v>PERDA DE BENS NO IMOBILIZADO</v>
          </cell>
          <cell r="D1763">
            <v>0</v>
          </cell>
          <cell r="E1763">
            <v>0</v>
          </cell>
          <cell r="F1763">
            <v>0</v>
          </cell>
          <cell r="G1763">
            <v>0</v>
          </cell>
        </row>
        <row r="1764">
          <cell r="B1764">
            <v>4294</v>
          </cell>
          <cell r="C1764" t="str">
            <v>Perdas na Alienação de Diferido</v>
          </cell>
          <cell r="D1764">
            <v>0</v>
          </cell>
          <cell r="E1764">
            <v>0</v>
          </cell>
          <cell r="F1764">
            <v>0</v>
          </cell>
          <cell r="G1764">
            <v>0</v>
          </cell>
        </row>
        <row r="1765">
          <cell r="B1765">
            <v>42941</v>
          </cell>
          <cell r="C1765" t="str">
            <v>Resultado Negativo na Venda de Diferido</v>
          </cell>
          <cell r="D1765">
            <v>0</v>
          </cell>
          <cell r="E1765">
            <v>0</v>
          </cell>
          <cell r="F1765">
            <v>0</v>
          </cell>
          <cell r="G1765">
            <v>0</v>
          </cell>
        </row>
        <row r="1766">
          <cell r="B1766">
            <v>4296</v>
          </cell>
          <cell r="C1766" t="str">
            <v>Participações nos Lucros ou  Resultados</v>
          </cell>
          <cell r="D1766">
            <v>0</v>
          </cell>
          <cell r="E1766">
            <v>0</v>
          </cell>
          <cell r="F1766">
            <v>0</v>
          </cell>
          <cell r="G1766">
            <v>0</v>
          </cell>
        </row>
        <row r="1767">
          <cell r="B1767">
            <v>42961</v>
          </cell>
          <cell r="C1767" t="str">
            <v>Empregados</v>
          </cell>
          <cell r="D1767">
            <v>0</v>
          </cell>
          <cell r="E1767">
            <v>0</v>
          </cell>
          <cell r="F1767">
            <v>0</v>
          </cell>
          <cell r="G1767">
            <v>0</v>
          </cell>
        </row>
        <row r="1768">
          <cell r="B1768">
            <v>42962</v>
          </cell>
          <cell r="C1768" t="str">
            <v>Administradores</v>
          </cell>
          <cell r="D1768">
            <v>0</v>
          </cell>
          <cell r="E1768">
            <v>0</v>
          </cell>
          <cell r="F1768">
            <v>0</v>
          </cell>
          <cell r="G1768">
            <v>0</v>
          </cell>
        </row>
        <row r="1769">
          <cell r="B1769">
            <v>4298</v>
          </cell>
          <cell r="C1769" t="str">
            <v>Reversão de Juros s/Capital Proprio</v>
          </cell>
          <cell r="D1769">
            <v>0</v>
          </cell>
          <cell r="E1769">
            <v>0</v>
          </cell>
          <cell r="F1769">
            <v>0</v>
          </cell>
          <cell r="G1769">
            <v>0</v>
          </cell>
        </row>
        <row r="1770">
          <cell r="B1770">
            <v>42981</v>
          </cell>
          <cell r="C1770" t="str">
            <v>Reversão de Juros s/Capital Proprio</v>
          </cell>
          <cell r="D1770">
            <v>0</v>
          </cell>
          <cell r="E1770">
            <v>0</v>
          </cell>
          <cell r="F1770">
            <v>0</v>
          </cell>
          <cell r="G1770">
            <v>0</v>
          </cell>
        </row>
        <row r="1771">
          <cell r="B1771">
            <v>4299</v>
          </cell>
          <cell r="C1771" t="str">
            <v>Perdas com Bens do Ativo Permanente</v>
          </cell>
          <cell r="D1771">
            <v>0</v>
          </cell>
          <cell r="E1771">
            <v>0</v>
          </cell>
          <cell r="F1771">
            <v>0</v>
          </cell>
          <cell r="G1771">
            <v>0</v>
          </cell>
        </row>
        <row r="1772">
          <cell r="B1772">
            <v>42991</v>
          </cell>
          <cell r="C1772" t="str">
            <v>Perdas com Alienações - Investimento</v>
          </cell>
          <cell r="D1772">
            <v>0</v>
          </cell>
          <cell r="E1772">
            <v>0</v>
          </cell>
          <cell r="F1772">
            <v>0</v>
          </cell>
          <cell r="G1772">
            <v>0</v>
          </cell>
        </row>
        <row r="1773">
          <cell r="B1773">
            <v>42992</v>
          </cell>
          <cell r="C1773" t="str">
            <v>Perdas com Alienações - Imobilizado</v>
          </cell>
          <cell r="D1773">
            <v>0</v>
          </cell>
          <cell r="E1773">
            <v>0</v>
          </cell>
          <cell r="F1773">
            <v>0</v>
          </cell>
          <cell r="G1773">
            <v>0</v>
          </cell>
        </row>
        <row r="1774">
          <cell r="B1774">
            <v>42993</v>
          </cell>
          <cell r="C1774" t="str">
            <v>Perdas com Alienações - Intangível</v>
          </cell>
          <cell r="D1774">
            <v>0</v>
          </cell>
          <cell r="E1774">
            <v>0</v>
          </cell>
          <cell r="F1774">
            <v>0</v>
          </cell>
          <cell r="G1774">
            <v>0</v>
          </cell>
        </row>
        <row r="1775">
          <cell r="B1775">
            <v>42994</v>
          </cell>
          <cell r="C1775" t="str">
            <v>Perdas com Extravio de Bens</v>
          </cell>
          <cell r="D1775">
            <v>0</v>
          </cell>
          <cell r="E1775">
            <v>0</v>
          </cell>
          <cell r="F1775">
            <v>0</v>
          </cell>
          <cell r="G1775">
            <v>0</v>
          </cell>
        </row>
        <row r="1776">
          <cell r="B1776">
            <v>42995</v>
          </cell>
          <cell r="C1776" t="str">
            <v>Perdas com Obsolescência de Bens</v>
          </cell>
          <cell r="D1776">
            <v>0</v>
          </cell>
          <cell r="E1776">
            <v>0</v>
          </cell>
          <cell r="F1776">
            <v>0</v>
          </cell>
          <cell r="G1776">
            <v>0</v>
          </cell>
        </row>
        <row r="1777">
          <cell r="B1777">
            <v>42996</v>
          </cell>
          <cell r="C1777" t="str">
            <v>INVENTARIO FISICO  - AJUSTE</v>
          </cell>
          <cell r="D1777">
            <v>0</v>
          </cell>
          <cell r="E1777">
            <v>0</v>
          </cell>
          <cell r="F1777">
            <v>0</v>
          </cell>
          <cell r="G1777">
            <v>0</v>
          </cell>
        </row>
        <row r="1778">
          <cell r="B1778">
            <v>42934</v>
          </cell>
          <cell r="C1778" t="str">
            <v>Doações de Imobilizado</v>
          </cell>
          <cell r="D1778">
            <v>0</v>
          </cell>
          <cell r="E1778">
            <v>0</v>
          </cell>
          <cell r="F1778">
            <v>0</v>
          </cell>
          <cell r="G1778">
            <v>0</v>
          </cell>
        </row>
        <row r="1779">
          <cell r="B1779">
            <v>42998</v>
          </cell>
          <cell r="C1779" t="str">
            <v>Redução ao Valor Recuperável Impairment</v>
          </cell>
          <cell r="D1779">
            <v>0</v>
          </cell>
          <cell r="E1779">
            <v>0</v>
          </cell>
          <cell r="F1779">
            <v>0</v>
          </cell>
          <cell r="G1779">
            <v>0</v>
          </cell>
        </row>
        <row r="1780">
          <cell r="B1780">
            <v>42910</v>
          </cell>
          <cell r="C1780" t="str">
            <v>Despesas Concurso Público</v>
          </cell>
          <cell r="D1780">
            <v>600000</v>
          </cell>
          <cell r="E1780">
            <v>0</v>
          </cell>
          <cell r="F1780">
            <v>0</v>
          </cell>
          <cell r="G1780">
            <v>600000</v>
          </cell>
        </row>
        <row r="1781">
          <cell r="B1781">
            <v>429101</v>
          </cell>
          <cell r="C1781" t="str">
            <v>Despesa de Concurso Público</v>
          </cell>
          <cell r="D1781">
            <v>600000</v>
          </cell>
          <cell r="E1781">
            <v>0</v>
          </cell>
          <cell r="F1781">
            <v>0</v>
          </cell>
          <cell r="G1781">
            <v>600000</v>
          </cell>
        </row>
        <row r="1782">
          <cell r="B1782">
            <v>5</v>
          </cell>
          <cell r="C1782" t="str">
            <v>Resultado do Período</v>
          </cell>
          <cell r="D1782">
            <v>2678790.52</v>
          </cell>
          <cell r="E1782">
            <v>0</v>
          </cell>
          <cell r="F1782">
            <v>-1382804.03</v>
          </cell>
          <cell r="G1782">
            <v>1295986.49</v>
          </cell>
        </row>
        <row r="1783">
          <cell r="B1783">
            <v>51</v>
          </cell>
          <cell r="C1783" t="str">
            <v>Resultado do Período</v>
          </cell>
          <cell r="D1783">
            <v>2678790.52</v>
          </cell>
          <cell r="E1783">
            <v>0</v>
          </cell>
          <cell r="F1783">
            <v>-1382804.03</v>
          </cell>
          <cell r="G1783">
            <v>1295986.49</v>
          </cell>
        </row>
        <row r="1784">
          <cell r="B1784">
            <v>511</v>
          </cell>
          <cell r="C1784" t="str">
            <v>Lucro do Período</v>
          </cell>
          <cell r="D1784">
            <v>5470778.5199999996</v>
          </cell>
          <cell r="E1784">
            <v>0</v>
          </cell>
          <cell r="F1784">
            <v>0</v>
          </cell>
          <cell r="G1784">
            <v>5470778.5199999996</v>
          </cell>
        </row>
        <row r="1785">
          <cell r="B1785">
            <v>5111</v>
          </cell>
          <cell r="C1785" t="str">
            <v>Janeiro</v>
          </cell>
          <cell r="D1785">
            <v>801472.64</v>
          </cell>
          <cell r="E1785">
            <v>0</v>
          </cell>
          <cell r="F1785">
            <v>0</v>
          </cell>
          <cell r="G1785">
            <v>801472.64</v>
          </cell>
        </row>
        <row r="1786">
          <cell r="B1786">
            <v>5112</v>
          </cell>
          <cell r="C1786" t="str">
            <v>Fevereiro</v>
          </cell>
          <cell r="D1786">
            <v>935410.39</v>
          </cell>
          <cell r="E1786">
            <v>0</v>
          </cell>
          <cell r="F1786">
            <v>0</v>
          </cell>
          <cell r="G1786">
            <v>935410.39</v>
          </cell>
        </row>
        <row r="1787">
          <cell r="B1787">
            <v>5113</v>
          </cell>
          <cell r="C1787" t="str">
            <v>Março</v>
          </cell>
          <cell r="D1787">
            <v>0</v>
          </cell>
          <cell r="E1787">
            <v>0</v>
          </cell>
          <cell r="F1787">
            <v>0</v>
          </cell>
          <cell r="G1787">
            <v>0</v>
          </cell>
        </row>
        <row r="1788">
          <cell r="B1788">
            <v>5114</v>
          </cell>
          <cell r="C1788" t="str">
            <v>Abril</v>
          </cell>
          <cell r="D1788">
            <v>3733895.49</v>
          </cell>
          <cell r="E1788">
            <v>0</v>
          </cell>
          <cell r="F1788">
            <v>0</v>
          </cell>
          <cell r="G1788">
            <v>3733895.49</v>
          </cell>
        </row>
        <row r="1789">
          <cell r="B1789">
            <v>5115</v>
          </cell>
          <cell r="C1789" t="str">
            <v>Maio</v>
          </cell>
          <cell r="D1789">
            <v>0</v>
          </cell>
          <cell r="E1789">
            <v>0</v>
          </cell>
          <cell r="F1789">
            <v>0</v>
          </cell>
          <cell r="G1789">
            <v>0</v>
          </cell>
        </row>
        <row r="1790">
          <cell r="B1790">
            <v>5116</v>
          </cell>
          <cell r="C1790" t="str">
            <v>Junho</v>
          </cell>
          <cell r="D1790">
            <v>0</v>
          </cell>
          <cell r="E1790">
            <v>0</v>
          </cell>
          <cell r="F1790">
            <v>0</v>
          </cell>
          <cell r="G1790">
            <v>0</v>
          </cell>
        </row>
        <row r="1791">
          <cell r="B1791">
            <v>5117</v>
          </cell>
          <cell r="C1791" t="str">
            <v>Julho</v>
          </cell>
          <cell r="D1791">
            <v>0</v>
          </cell>
          <cell r="E1791">
            <v>0</v>
          </cell>
          <cell r="F1791">
            <v>0</v>
          </cell>
          <cell r="G1791">
            <v>0</v>
          </cell>
        </row>
        <row r="1792">
          <cell r="B1792">
            <v>5118</v>
          </cell>
          <cell r="C1792" t="str">
            <v>Agosto</v>
          </cell>
          <cell r="D1792">
            <v>0</v>
          </cell>
          <cell r="E1792">
            <v>0</v>
          </cell>
          <cell r="F1792">
            <v>0</v>
          </cell>
          <cell r="G1792">
            <v>0</v>
          </cell>
        </row>
        <row r="1793">
          <cell r="B1793">
            <v>5119</v>
          </cell>
          <cell r="C1793" t="str">
            <v>Setembro</v>
          </cell>
          <cell r="D1793">
            <v>0</v>
          </cell>
          <cell r="E1793">
            <v>0</v>
          </cell>
          <cell r="F1793">
            <v>0</v>
          </cell>
          <cell r="G1793">
            <v>0</v>
          </cell>
        </row>
        <row r="1794">
          <cell r="B1794">
            <v>51110</v>
          </cell>
          <cell r="C1794" t="str">
            <v>Outubro</v>
          </cell>
          <cell r="D1794">
            <v>0</v>
          </cell>
          <cell r="E1794">
            <v>0</v>
          </cell>
          <cell r="F1794">
            <v>0</v>
          </cell>
          <cell r="G1794">
            <v>0</v>
          </cell>
        </row>
        <row r="1795">
          <cell r="B1795">
            <v>51111</v>
          </cell>
          <cell r="C1795" t="str">
            <v>Novembro</v>
          </cell>
          <cell r="D1795">
            <v>0</v>
          </cell>
          <cell r="E1795">
            <v>0</v>
          </cell>
          <cell r="F1795">
            <v>0</v>
          </cell>
          <cell r="G1795">
            <v>0</v>
          </cell>
        </row>
        <row r="1796">
          <cell r="B1796">
            <v>51112</v>
          </cell>
          <cell r="C1796" t="str">
            <v>Dezembro</v>
          </cell>
          <cell r="D1796">
            <v>0</v>
          </cell>
          <cell r="E1796">
            <v>0</v>
          </cell>
          <cell r="F1796">
            <v>0</v>
          </cell>
          <cell r="G1796">
            <v>0</v>
          </cell>
        </row>
        <row r="1797">
          <cell r="B1797">
            <v>512</v>
          </cell>
          <cell r="C1797" t="str">
            <v>Prejuízo do Período</v>
          </cell>
          <cell r="D1797">
            <v>-2791988</v>
          </cell>
          <cell r="E1797">
            <v>0</v>
          </cell>
          <cell r="F1797">
            <v>-1382804.03</v>
          </cell>
          <cell r="G1797">
            <v>4174792.03</v>
          </cell>
        </row>
        <row r="1798">
          <cell r="B1798">
            <v>5121</v>
          </cell>
          <cell r="C1798" t="str">
            <v>Janeiro</v>
          </cell>
          <cell r="D1798">
            <v>0</v>
          </cell>
          <cell r="E1798">
            <v>0</v>
          </cell>
          <cell r="F1798">
            <v>0</v>
          </cell>
          <cell r="G1798">
            <v>0</v>
          </cell>
        </row>
        <row r="1799">
          <cell r="B1799">
            <v>5122</v>
          </cell>
          <cell r="C1799" t="str">
            <v>Fevereiro</v>
          </cell>
          <cell r="D1799">
            <v>0</v>
          </cell>
          <cell r="E1799">
            <v>0</v>
          </cell>
          <cell r="F1799">
            <v>0</v>
          </cell>
          <cell r="G1799">
            <v>0</v>
          </cell>
        </row>
        <row r="1800">
          <cell r="B1800">
            <v>5123</v>
          </cell>
          <cell r="C1800" t="str">
            <v>Março</v>
          </cell>
          <cell r="D1800">
            <v>-2791988</v>
          </cell>
          <cell r="E1800">
            <v>0</v>
          </cell>
          <cell r="F1800">
            <v>0</v>
          </cell>
          <cell r="G1800">
            <v>2791988</v>
          </cell>
        </row>
        <row r="1801">
          <cell r="B1801">
            <v>5124</v>
          </cell>
          <cell r="C1801" t="str">
            <v>Abril</v>
          </cell>
          <cell r="D1801">
            <v>0</v>
          </cell>
          <cell r="E1801">
            <v>0</v>
          </cell>
          <cell r="F1801">
            <v>0</v>
          </cell>
          <cell r="G1801">
            <v>0</v>
          </cell>
        </row>
        <row r="1802">
          <cell r="B1802">
            <v>5125</v>
          </cell>
          <cell r="C1802" t="str">
            <v>Maio</v>
          </cell>
          <cell r="D1802">
            <v>0</v>
          </cell>
          <cell r="E1802">
            <v>0</v>
          </cell>
          <cell r="F1802">
            <v>-1382804.03</v>
          </cell>
          <cell r="G1802">
            <v>1382804.03</v>
          </cell>
        </row>
        <row r="1803">
          <cell r="B1803">
            <v>5126</v>
          </cell>
          <cell r="C1803" t="str">
            <v>Junho</v>
          </cell>
          <cell r="D1803">
            <v>0</v>
          </cell>
          <cell r="E1803">
            <v>0</v>
          </cell>
          <cell r="F1803">
            <v>0</v>
          </cell>
          <cell r="G1803">
            <v>0</v>
          </cell>
        </row>
        <row r="1804">
          <cell r="B1804">
            <v>5127</v>
          </cell>
          <cell r="C1804" t="str">
            <v>Julho</v>
          </cell>
          <cell r="D1804">
            <v>0</v>
          </cell>
          <cell r="E1804">
            <v>0</v>
          </cell>
          <cell r="F1804">
            <v>0</v>
          </cell>
          <cell r="G1804">
            <v>0</v>
          </cell>
        </row>
        <row r="1805">
          <cell r="B1805">
            <v>5128</v>
          </cell>
          <cell r="C1805" t="str">
            <v>Agosto</v>
          </cell>
          <cell r="D1805">
            <v>0</v>
          </cell>
          <cell r="E1805">
            <v>0</v>
          </cell>
          <cell r="F1805">
            <v>0</v>
          </cell>
          <cell r="G1805">
            <v>0</v>
          </cell>
        </row>
        <row r="1806">
          <cell r="B1806">
            <v>5129</v>
          </cell>
          <cell r="C1806" t="str">
            <v>Setembro</v>
          </cell>
          <cell r="D1806">
            <v>0</v>
          </cell>
          <cell r="E1806">
            <v>0</v>
          </cell>
          <cell r="F1806">
            <v>0</v>
          </cell>
          <cell r="G1806">
            <v>0</v>
          </cell>
        </row>
        <row r="1807">
          <cell r="B1807">
            <v>51210</v>
          </cell>
          <cell r="C1807" t="str">
            <v>Outubro</v>
          </cell>
          <cell r="D1807">
            <v>0</v>
          </cell>
          <cell r="E1807">
            <v>0</v>
          </cell>
          <cell r="F1807">
            <v>0</v>
          </cell>
          <cell r="G1807">
            <v>0</v>
          </cell>
        </row>
        <row r="1808">
          <cell r="B1808">
            <v>51211</v>
          </cell>
          <cell r="C1808" t="str">
            <v>Novembro</v>
          </cell>
          <cell r="D1808">
            <v>0</v>
          </cell>
          <cell r="E1808">
            <v>0</v>
          </cell>
          <cell r="F1808">
            <v>0</v>
          </cell>
          <cell r="G1808">
            <v>0</v>
          </cell>
        </row>
        <row r="1809">
          <cell r="B1809">
            <v>51212</v>
          </cell>
          <cell r="C1809" t="str">
            <v>Dezembro</v>
          </cell>
          <cell r="D1809">
            <v>0</v>
          </cell>
          <cell r="E1809">
            <v>0</v>
          </cell>
          <cell r="F1809">
            <v>0</v>
          </cell>
          <cell r="G1809">
            <v>0</v>
          </cell>
        </row>
        <row r="1810">
          <cell r="B1810">
            <v>6</v>
          </cell>
          <cell r="C1810" t="str">
            <v>RESULTADO DO EXERCÍCIO DO ANO</v>
          </cell>
          <cell r="D1810">
            <v>0</v>
          </cell>
          <cell r="E1810">
            <v>0</v>
          </cell>
          <cell r="F1810">
            <v>0</v>
          </cell>
          <cell r="G1810">
            <v>0</v>
          </cell>
        </row>
        <row r="1811">
          <cell r="B1811">
            <v>61</v>
          </cell>
          <cell r="C1811" t="str">
            <v>Resultado do Exercício</v>
          </cell>
          <cell r="D1811">
            <v>0</v>
          </cell>
          <cell r="E1811">
            <v>0</v>
          </cell>
          <cell r="F1811">
            <v>0</v>
          </cell>
          <cell r="G1811">
            <v>0</v>
          </cell>
        </row>
      </sheetData>
      <sheetData sheetId="23"/>
      <sheetData sheetId="24"/>
      <sheetData sheetId="25"/>
      <sheetData sheetId="26">
        <row r="668">
          <cell r="G668">
            <v>0</v>
          </cell>
        </row>
        <row r="1357">
          <cell r="G1357">
            <v>-26107789.34</v>
          </cell>
        </row>
        <row r="1407">
          <cell r="G1407">
            <v>0</v>
          </cell>
        </row>
        <row r="1408">
          <cell r="G1408">
            <v>-22945.54</v>
          </cell>
        </row>
        <row r="1409">
          <cell r="G1409">
            <v>0</v>
          </cell>
        </row>
        <row r="1449">
          <cell r="G1449">
            <v>0</v>
          </cell>
        </row>
        <row r="1451">
          <cell r="G1451">
            <v>16283.03</v>
          </cell>
        </row>
        <row r="1462">
          <cell r="G1462">
            <v>1449325.63</v>
          </cell>
        </row>
        <row r="1472">
          <cell r="G1472">
            <v>1314</v>
          </cell>
        </row>
        <row r="1566">
          <cell r="G1566">
            <v>0</v>
          </cell>
        </row>
        <row r="1589">
          <cell r="G1589">
            <v>0</v>
          </cell>
        </row>
        <row r="1590">
          <cell r="G1590">
            <v>0</v>
          </cell>
        </row>
        <row r="1601">
          <cell r="G1601">
            <v>0</v>
          </cell>
        </row>
        <row r="1612">
          <cell r="G1612">
            <v>1989</v>
          </cell>
        </row>
        <row r="1671">
          <cell r="G1671">
            <v>579989.31000000006</v>
          </cell>
        </row>
        <row r="1683">
          <cell r="G1683">
            <v>0</v>
          </cell>
        </row>
        <row r="1684">
          <cell r="G1684">
            <v>0</v>
          </cell>
        </row>
        <row r="1720">
          <cell r="G1720">
            <v>31031.3</v>
          </cell>
        </row>
        <row r="1738">
          <cell r="G1738">
            <v>283988.84000000003</v>
          </cell>
        </row>
        <row r="1739">
          <cell r="G1739">
            <v>0</v>
          </cell>
        </row>
      </sheetData>
      <sheetData sheetId="27">
        <row r="1361">
          <cell r="G1361">
            <v>-39850436.390000001</v>
          </cell>
        </row>
        <row r="1411">
          <cell r="G1411">
            <v>0</v>
          </cell>
        </row>
        <row r="1412">
          <cell r="G1412">
            <v>-22945.54</v>
          </cell>
        </row>
        <row r="1413">
          <cell r="G1413">
            <v>0</v>
          </cell>
        </row>
        <row r="1440">
          <cell r="G1440">
            <v>36816461.890000001</v>
          </cell>
        </row>
        <row r="1454">
          <cell r="G1454">
            <v>22161.22</v>
          </cell>
        </row>
        <row r="1455">
          <cell r="G1455">
            <v>24525.7</v>
          </cell>
        </row>
        <row r="1468">
          <cell r="G1468">
            <v>590849.68999999994</v>
          </cell>
        </row>
        <row r="1476">
          <cell r="G1476">
            <v>1752</v>
          </cell>
        </row>
        <row r="1570">
          <cell r="G1570">
            <v>0</v>
          </cell>
        </row>
        <row r="1593">
          <cell r="G1593">
            <v>0</v>
          </cell>
        </row>
        <row r="1594">
          <cell r="G1594">
            <v>0</v>
          </cell>
        </row>
        <row r="1608">
          <cell r="G1608">
            <v>270211.86</v>
          </cell>
        </row>
        <row r="1616">
          <cell r="G1616">
            <v>2652</v>
          </cell>
        </row>
        <row r="1676">
          <cell r="G1676">
            <v>414622.83</v>
          </cell>
        </row>
        <row r="1679">
          <cell r="G1679">
            <v>165366.48000000001</v>
          </cell>
        </row>
        <row r="1686">
          <cell r="G1686">
            <v>178512.66</v>
          </cell>
        </row>
        <row r="1687">
          <cell r="G1687">
            <v>0</v>
          </cell>
        </row>
        <row r="1688">
          <cell r="G1688">
            <v>0</v>
          </cell>
        </row>
        <row r="1724">
          <cell r="G1724">
            <v>39560.300000000003</v>
          </cell>
        </row>
        <row r="1742">
          <cell r="G1742">
            <v>373608.29</v>
          </cell>
        </row>
        <row r="1743">
          <cell r="G1743">
            <v>0</v>
          </cell>
        </row>
      </sheetData>
      <sheetData sheetId="28"/>
      <sheetData sheetId="29"/>
      <sheetData sheetId="30"/>
      <sheetData sheetId="3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te"/>
      <sheetName val="PL"/>
      <sheetName val="Balancete 09.2022"/>
      <sheetName val="BP"/>
      <sheetName val="DRE"/>
      <sheetName val="DRA"/>
      <sheetName val="DMPL"/>
      <sheetName val="DFC"/>
      <sheetName val="DVA"/>
      <sheetName val="Mov imob"/>
      <sheetName val="DF's"/>
      <sheetName val="Instrumentos financeiros "/>
      <sheetName val="Razão Provisões p. Contigências"/>
      <sheetName val="Impostos a recuperar"/>
      <sheetName val="Depositos judiciais"/>
    </sheetNames>
    <sheetDataSet>
      <sheetData sheetId="0"/>
      <sheetData sheetId="1"/>
      <sheetData sheetId="2"/>
      <sheetData sheetId="3">
        <row r="35">
          <cell r="D35">
            <v>2789</v>
          </cell>
          <cell r="F35">
            <v>2571</v>
          </cell>
        </row>
        <row r="41">
          <cell r="D41">
            <v>6982</v>
          </cell>
          <cell r="F41">
            <v>6185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Tatiane Schmitz" id="{25122906-14ED-46C1-BE28-EA1DADF051C7}" userId="Tatiane Schmitz" providerId="None"/>
</personList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55" dT="2022-05-22T14:07:06.96" personId="{25122906-14ED-46C1-BE28-EA1DADF051C7}" id="{5A730DC5-F1A6-41A5-AACA-397F6B1BA4D9}">
    <text>Quando forem ajustar essa diferença precisa verificar os efeitos na DFC e DVA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97"/>
  <sheetViews>
    <sheetView topLeftCell="A1547" zoomScale="90" zoomScaleNormal="90" workbookViewId="0">
      <selection activeCell="C1552" sqref="C1552"/>
    </sheetView>
  </sheetViews>
  <sheetFormatPr defaultColWidth="9.140625" defaultRowHeight="18.75" x14ac:dyDescent="0.3"/>
  <cols>
    <col min="1" max="1" width="20.28515625" style="142" customWidth="1"/>
    <col min="2" max="2" width="19.5703125" style="110" bestFit="1" customWidth="1"/>
    <col min="3" max="3" width="19.28515625" style="110" bestFit="1" customWidth="1"/>
    <col min="4" max="4" width="72.42578125" style="110" bestFit="1" customWidth="1"/>
    <col min="5" max="5" width="18.28515625" style="110" bestFit="1" customWidth="1"/>
    <col min="6" max="6" width="19.140625" style="110" bestFit="1" customWidth="1"/>
    <col min="7" max="7" width="18.85546875" style="110" bestFit="1" customWidth="1"/>
    <col min="8" max="8" width="17" style="164" customWidth="1"/>
    <col min="9" max="9" width="15" style="184" bestFit="1" customWidth="1"/>
    <col min="10" max="16384" width="9.140625" style="110"/>
  </cols>
  <sheetData>
    <row r="1" spans="1:9" s="184" customFormat="1" x14ac:dyDescent="0.3">
      <c r="A1" s="191">
        <v>1</v>
      </c>
      <c r="B1" s="228">
        <v>1</v>
      </c>
      <c r="C1" s="228">
        <v>1</v>
      </c>
      <c r="D1" s="228" t="s">
        <v>320</v>
      </c>
      <c r="E1" s="282">
        <v>51373</v>
      </c>
      <c r="F1" s="282">
        <v>75736</v>
      </c>
      <c r="G1" s="282">
        <v>-71256</v>
      </c>
      <c r="H1" s="282">
        <v>4480</v>
      </c>
      <c r="I1" s="282">
        <v>55854</v>
      </c>
    </row>
    <row r="2" spans="1:9" s="184" customFormat="1" ht="15" customHeight="1" x14ac:dyDescent="0.3">
      <c r="A2" s="191" t="s">
        <v>963</v>
      </c>
      <c r="B2" s="228" t="s">
        <v>963</v>
      </c>
      <c r="C2" s="228">
        <v>11</v>
      </c>
      <c r="D2" s="228" t="s">
        <v>4</v>
      </c>
      <c r="E2" s="282">
        <v>35520</v>
      </c>
      <c r="F2" s="282">
        <v>75535</v>
      </c>
      <c r="G2" s="282">
        <v>-70157</v>
      </c>
      <c r="H2" s="282">
        <v>5377</v>
      </c>
      <c r="I2" s="282">
        <v>40897</v>
      </c>
    </row>
    <row r="3" spans="1:9" s="184" customFormat="1" ht="15" customHeight="1" x14ac:dyDescent="0.3">
      <c r="A3" s="191" t="s">
        <v>964</v>
      </c>
      <c r="B3" s="228" t="s">
        <v>964</v>
      </c>
      <c r="C3" s="228">
        <v>111</v>
      </c>
      <c r="D3" s="228" t="s">
        <v>93</v>
      </c>
      <c r="E3" s="282">
        <v>30623</v>
      </c>
      <c r="F3" s="282">
        <v>66666</v>
      </c>
      <c r="G3" s="282">
        <v>-63285</v>
      </c>
      <c r="H3" s="282">
        <v>3381</v>
      </c>
      <c r="I3" s="282">
        <v>34003</v>
      </c>
    </row>
    <row r="4" spans="1:9" s="185" customFormat="1" ht="15" customHeight="1" x14ac:dyDescent="0.25">
      <c r="A4" s="191" t="s">
        <v>321</v>
      </c>
      <c r="B4" t="s">
        <v>321</v>
      </c>
      <c r="C4">
        <v>1111</v>
      </c>
      <c r="D4" t="s">
        <v>1785</v>
      </c>
      <c r="E4" s="140">
        <v>0</v>
      </c>
      <c r="F4" s="140">
        <v>0</v>
      </c>
      <c r="G4" s="140">
        <v>0</v>
      </c>
      <c r="H4" s="140">
        <v>0</v>
      </c>
      <c r="I4" s="140">
        <v>0</v>
      </c>
    </row>
    <row r="5" spans="1:9" s="117" customFormat="1" ht="15" customHeight="1" x14ac:dyDescent="0.25">
      <c r="A5" s="186" t="s">
        <v>322</v>
      </c>
      <c r="B5" t="s">
        <v>322</v>
      </c>
      <c r="C5">
        <v>11111</v>
      </c>
      <c r="D5" t="s">
        <v>1786</v>
      </c>
      <c r="E5" s="140">
        <v>0</v>
      </c>
      <c r="F5" s="140">
        <v>0</v>
      </c>
      <c r="G5" s="140">
        <v>0</v>
      </c>
      <c r="H5" s="140">
        <v>0</v>
      </c>
      <c r="I5" s="140">
        <v>0</v>
      </c>
    </row>
    <row r="6" spans="1:9" s="117" customFormat="1" ht="15" customHeight="1" x14ac:dyDescent="0.25">
      <c r="A6" s="186" t="s">
        <v>323</v>
      </c>
      <c r="B6" t="s">
        <v>323</v>
      </c>
      <c r="C6">
        <v>11112</v>
      </c>
      <c r="D6" t="s">
        <v>1787</v>
      </c>
      <c r="E6" s="140">
        <v>0</v>
      </c>
      <c r="F6" s="140">
        <v>0</v>
      </c>
      <c r="G6" s="140">
        <v>0</v>
      </c>
      <c r="H6" s="140">
        <v>0</v>
      </c>
      <c r="I6" s="140">
        <v>0</v>
      </c>
    </row>
    <row r="7" spans="1:9" s="184" customFormat="1" ht="15" customHeight="1" x14ac:dyDescent="0.3">
      <c r="A7" s="191" t="s">
        <v>965</v>
      </c>
      <c r="B7" s="228" t="s">
        <v>965</v>
      </c>
      <c r="C7" s="228">
        <v>1112</v>
      </c>
      <c r="D7" s="228" t="s">
        <v>94</v>
      </c>
      <c r="E7" s="282">
        <v>30623</v>
      </c>
      <c r="F7" s="282">
        <v>66666</v>
      </c>
      <c r="G7" s="282">
        <v>-63285</v>
      </c>
      <c r="H7" s="282">
        <v>3381</v>
      </c>
      <c r="I7" s="282">
        <v>34003</v>
      </c>
    </row>
    <row r="8" spans="1:9" s="184" customFormat="1" ht="15" customHeight="1" x14ac:dyDescent="0.3">
      <c r="A8" s="191" t="s">
        <v>966</v>
      </c>
      <c r="B8" t="s">
        <v>966</v>
      </c>
      <c r="C8" t="s">
        <v>95</v>
      </c>
      <c r="D8" t="s">
        <v>324</v>
      </c>
      <c r="E8" s="140">
        <v>30623</v>
      </c>
      <c r="F8" s="140">
        <v>0</v>
      </c>
      <c r="G8" s="140">
        <v>-30623</v>
      </c>
      <c r="H8" s="140">
        <v>-30623</v>
      </c>
      <c r="I8" s="140">
        <v>0</v>
      </c>
    </row>
    <row r="9" spans="1:9" s="117" customFormat="1" ht="15" customHeight="1" x14ac:dyDescent="0.25">
      <c r="A9" s="186" t="s">
        <v>325</v>
      </c>
      <c r="B9" t="s">
        <v>325</v>
      </c>
      <c r="C9" t="s">
        <v>96</v>
      </c>
      <c r="D9" t="s">
        <v>97</v>
      </c>
      <c r="E9" s="140">
        <v>0</v>
      </c>
      <c r="F9" s="140">
        <v>9112</v>
      </c>
      <c r="G9" s="140">
        <v>-9112</v>
      </c>
      <c r="H9" s="140">
        <v>0</v>
      </c>
      <c r="I9" s="140">
        <v>0</v>
      </c>
    </row>
    <row r="10" spans="1:9" s="184" customFormat="1" ht="15" customHeight="1" x14ac:dyDescent="0.3">
      <c r="A10" s="191" t="s">
        <v>967</v>
      </c>
      <c r="B10" t="s">
        <v>1788</v>
      </c>
      <c r="C10" t="s">
        <v>1789</v>
      </c>
      <c r="D10" t="s">
        <v>1790</v>
      </c>
      <c r="E10" s="140">
        <v>0</v>
      </c>
      <c r="F10" s="140">
        <v>29035</v>
      </c>
      <c r="G10" s="140">
        <v>-22953</v>
      </c>
      <c r="H10" s="140">
        <v>6082</v>
      </c>
      <c r="I10" s="140">
        <v>6082</v>
      </c>
    </row>
    <row r="11" spans="1:9" s="185" customFormat="1" ht="15" customHeight="1" x14ac:dyDescent="0.25">
      <c r="A11" s="191" t="s">
        <v>326</v>
      </c>
      <c r="B11" t="s">
        <v>1791</v>
      </c>
      <c r="C11" t="s">
        <v>1792</v>
      </c>
      <c r="D11" t="s">
        <v>1793</v>
      </c>
      <c r="E11" s="140">
        <v>0</v>
      </c>
      <c r="F11" s="140">
        <v>28519</v>
      </c>
      <c r="G11" s="140">
        <v>-597</v>
      </c>
      <c r="H11" s="140">
        <v>27921</v>
      </c>
      <c r="I11" s="140">
        <v>27921</v>
      </c>
    </row>
    <row r="12" spans="1:9" s="185" customFormat="1" ht="15" customHeight="1" x14ac:dyDescent="0.25">
      <c r="A12" s="191" t="s">
        <v>327</v>
      </c>
      <c r="B12" s="228" t="s">
        <v>967</v>
      </c>
      <c r="C12" s="228">
        <v>112</v>
      </c>
      <c r="D12" s="228" t="s">
        <v>98</v>
      </c>
      <c r="E12" s="282">
        <v>2318</v>
      </c>
      <c r="F12" s="282">
        <v>5636</v>
      </c>
      <c r="G12" s="282">
        <v>-5462</v>
      </c>
      <c r="H12" s="282">
        <v>174</v>
      </c>
      <c r="I12" s="282">
        <v>2492</v>
      </c>
    </row>
    <row r="13" spans="1:9" s="117" customFormat="1" ht="15" customHeight="1" x14ac:dyDescent="0.25">
      <c r="A13" s="186" t="s">
        <v>328</v>
      </c>
      <c r="B13" t="s">
        <v>326</v>
      </c>
      <c r="C13">
        <v>1121</v>
      </c>
      <c r="D13" t="s">
        <v>1794</v>
      </c>
      <c r="E13" s="140">
        <v>0</v>
      </c>
      <c r="F13" s="140">
        <v>0</v>
      </c>
      <c r="G13" s="140">
        <v>0</v>
      </c>
      <c r="H13" s="140">
        <v>0</v>
      </c>
      <c r="I13" s="140">
        <v>0</v>
      </c>
    </row>
    <row r="14" spans="1:9" s="117" customFormat="1" ht="15" customHeight="1" x14ac:dyDescent="0.25">
      <c r="A14" s="186" t="s">
        <v>329</v>
      </c>
      <c r="B14" t="s">
        <v>327</v>
      </c>
      <c r="C14">
        <v>11211</v>
      </c>
      <c r="D14" t="s">
        <v>1795</v>
      </c>
      <c r="E14" s="140">
        <v>0</v>
      </c>
      <c r="F14" s="140">
        <v>0</v>
      </c>
      <c r="G14" s="140">
        <v>0</v>
      </c>
      <c r="H14" s="140">
        <v>0</v>
      </c>
      <c r="I14" s="140">
        <v>0</v>
      </c>
    </row>
    <row r="15" spans="1:9" s="117" customFormat="1" ht="15" customHeight="1" x14ac:dyDescent="0.25">
      <c r="A15" s="186" t="s">
        <v>330</v>
      </c>
      <c r="B15" t="s">
        <v>328</v>
      </c>
      <c r="C15">
        <v>11212</v>
      </c>
      <c r="D15" t="s">
        <v>1796</v>
      </c>
      <c r="E15" s="140">
        <v>0</v>
      </c>
      <c r="F15" s="140">
        <v>0</v>
      </c>
      <c r="G15" s="140">
        <v>0</v>
      </c>
      <c r="H15" s="140">
        <v>0</v>
      </c>
      <c r="I15" s="140">
        <v>0</v>
      </c>
    </row>
    <row r="16" spans="1:9" s="185" customFormat="1" ht="15" customHeight="1" x14ac:dyDescent="0.25">
      <c r="A16" s="191" t="s">
        <v>331</v>
      </c>
      <c r="B16" t="s">
        <v>329</v>
      </c>
      <c r="C16">
        <v>1121998</v>
      </c>
      <c r="D16" t="s">
        <v>1797</v>
      </c>
      <c r="E16" s="140">
        <v>0</v>
      </c>
      <c r="F16" s="140">
        <v>0</v>
      </c>
      <c r="G16" s="140">
        <v>0</v>
      </c>
      <c r="H16" s="140">
        <v>0</v>
      </c>
      <c r="I16" s="140">
        <v>0</v>
      </c>
    </row>
    <row r="17" spans="1:9" s="117" customFormat="1" ht="15" customHeight="1" x14ac:dyDescent="0.25">
      <c r="A17" s="186" t="s">
        <v>332</v>
      </c>
      <c r="B17" t="s">
        <v>330</v>
      </c>
      <c r="C17">
        <v>1121999</v>
      </c>
      <c r="D17" t="s">
        <v>1798</v>
      </c>
      <c r="E17" s="140">
        <v>0</v>
      </c>
      <c r="F17" s="140">
        <v>0</v>
      </c>
      <c r="G17" s="140">
        <v>0</v>
      </c>
      <c r="H17" s="140">
        <v>0</v>
      </c>
      <c r="I17" s="140">
        <v>0</v>
      </c>
    </row>
    <row r="18" spans="1:9" s="117" customFormat="1" ht="15" customHeight="1" x14ac:dyDescent="0.25">
      <c r="A18" s="186" t="s">
        <v>333</v>
      </c>
      <c r="B18" t="s">
        <v>331</v>
      </c>
      <c r="C18">
        <v>1122</v>
      </c>
      <c r="D18" t="s">
        <v>1799</v>
      </c>
      <c r="E18" s="140">
        <v>0</v>
      </c>
      <c r="F18" s="140">
        <v>0</v>
      </c>
      <c r="G18" s="140">
        <v>0</v>
      </c>
      <c r="H18" s="140">
        <v>0</v>
      </c>
      <c r="I18" s="140">
        <v>0</v>
      </c>
    </row>
    <row r="19" spans="1:9" s="184" customFormat="1" ht="15" customHeight="1" x14ac:dyDescent="0.3">
      <c r="A19" s="191" t="s">
        <v>968</v>
      </c>
      <c r="B19" t="s">
        <v>332</v>
      </c>
      <c r="C19">
        <v>11221</v>
      </c>
      <c r="D19" t="s">
        <v>1800</v>
      </c>
      <c r="E19" s="140">
        <v>0</v>
      </c>
      <c r="F19" s="140">
        <v>0</v>
      </c>
      <c r="G19" s="140">
        <v>0</v>
      </c>
      <c r="H19" s="140">
        <v>0</v>
      </c>
      <c r="I19" s="140">
        <v>0</v>
      </c>
    </row>
    <row r="20" spans="1:9" s="117" customFormat="1" ht="15" customHeight="1" x14ac:dyDescent="0.25">
      <c r="A20" s="186" t="s">
        <v>335</v>
      </c>
      <c r="B20" t="s">
        <v>333</v>
      </c>
      <c r="C20">
        <v>11222</v>
      </c>
      <c r="D20" t="s">
        <v>1801</v>
      </c>
      <c r="E20" s="140">
        <v>0</v>
      </c>
      <c r="F20" s="140">
        <v>0</v>
      </c>
      <c r="G20" s="140">
        <v>0</v>
      </c>
      <c r="H20" s="140">
        <v>0</v>
      </c>
      <c r="I20" s="140">
        <v>0</v>
      </c>
    </row>
    <row r="21" spans="1:9" s="185" customFormat="1" ht="15" customHeight="1" x14ac:dyDescent="0.25">
      <c r="A21" s="191" t="s">
        <v>336</v>
      </c>
      <c r="B21" s="228" t="s">
        <v>968</v>
      </c>
      <c r="C21" s="228">
        <v>1123</v>
      </c>
      <c r="D21" s="228" t="s">
        <v>334</v>
      </c>
      <c r="E21" s="282">
        <v>1526</v>
      </c>
      <c r="F21" s="282">
        <v>981</v>
      </c>
      <c r="G21" s="282">
        <v>-1096</v>
      </c>
      <c r="H21" s="282">
        <v>-115</v>
      </c>
      <c r="I21" s="282">
        <v>1411</v>
      </c>
    </row>
    <row r="22" spans="1:9" s="117" customFormat="1" ht="15" customHeight="1" x14ac:dyDescent="0.25">
      <c r="A22" s="186" t="s">
        <v>337</v>
      </c>
      <c r="B22" t="s">
        <v>335</v>
      </c>
      <c r="C22">
        <v>11231</v>
      </c>
      <c r="D22" t="s">
        <v>1802</v>
      </c>
      <c r="E22" s="140">
        <v>0</v>
      </c>
      <c r="F22" s="140">
        <v>0</v>
      </c>
      <c r="G22" s="140">
        <v>0</v>
      </c>
      <c r="H22" s="140">
        <v>0</v>
      </c>
      <c r="I22" s="140">
        <v>0</v>
      </c>
    </row>
    <row r="23" spans="1:9" s="117" customFormat="1" ht="15" customHeight="1" x14ac:dyDescent="0.25">
      <c r="A23" s="186" t="s">
        <v>338</v>
      </c>
      <c r="B23" t="s">
        <v>336</v>
      </c>
      <c r="C23">
        <v>11232</v>
      </c>
      <c r="D23" t="s">
        <v>1803</v>
      </c>
      <c r="E23" s="140">
        <v>0</v>
      </c>
      <c r="F23" s="140">
        <v>0</v>
      </c>
      <c r="G23" s="140">
        <v>0</v>
      </c>
      <c r="H23" s="140">
        <v>0</v>
      </c>
      <c r="I23" s="140">
        <v>0</v>
      </c>
    </row>
    <row r="24" spans="1:9" s="185" customFormat="1" ht="15" customHeight="1" x14ac:dyDescent="0.25">
      <c r="A24" s="191" t="s">
        <v>339</v>
      </c>
      <c r="B24" t="s">
        <v>337</v>
      </c>
      <c r="C24">
        <v>11233</v>
      </c>
      <c r="D24" t="s">
        <v>1804</v>
      </c>
      <c r="E24" s="140">
        <v>0</v>
      </c>
      <c r="F24" s="140">
        <v>0</v>
      </c>
      <c r="G24" s="140">
        <v>0</v>
      </c>
      <c r="H24" s="140">
        <v>0</v>
      </c>
      <c r="I24" s="140">
        <v>0</v>
      </c>
    </row>
    <row r="25" spans="1:9" s="117" customFormat="1" ht="15" customHeight="1" x14ac:dyDescent="0.25">
      <c r="A25" s="186" t="s">
        <v>340</v>
      </c>
      <c r="B25" t="s">
        <v>338</v>
      </c>
      <c r="C25">
        <v>11234</v>
      </c>
      <c r="D25" t="s">
        <v>1805</v>
      </c>
      <c r="E25" s="140">
        <v>0</v>
      </c>
      <c r="F25" s="140">
        <v>0</v>
      </c>
      <c r="G25" s="140">
        <v>0</v>
      </c>
      <c r="H25" s="140">
        <v>0</v>
      </c>
      <c r="I25" s="140">
        <v>0</v>
      </c>
    </row>
    <row r="26" spans="1:9" s="185" customFormat="1" ht="15" customHeight="1" x14ac:dyDescent="0.25">
      <c r="A26" s="191" t="s">
        <v>341</v>
      </c>
      <c r="B26" t="s">
        <v>339</v>
      </c>
      <c r="C26">
        <v>11235</v>
      </c>
      <c r="D26" t="s">
        <v>1806</v>
      </c>
      <c r="E26" s="140">
        <v>0</v>
      </c>
      <c r="F26" s="140">
        <v>0</v>
      </c>
      <c r="G26" s="140">
        <v>0</v>
      </c>
      <c r="H26" s="140">
        <v>0</v>
      </c>
      <c r="I26" s="140">
        <v>0</v>
      </c>
    </row>
    <row r="27" spans="1:9" s="117" customFormat="1" ht="15" customHeight="1" x14ac:dyDescent="0.25">
      <c r="A27" s="186" t="s">
        <v>342</v>
      </c>
      <c r="B27" t="s">
        <v>340</v>
      </c>
      <c r="C27">
        <v>11236</v>
      </c>
      <c r="D27" t="s">
        <v>1807</v>
      </c>
      <c r="E27" s="140">
        <v>0</v>
      </c>
      <c r="F27" s="140">
        <v>0</v>
      </c>
      <c r="G27" s="140">
        <v>0</v>
      </c>
      <c r="H27" s="140">
        <v>0</v>
      </c>
      <c r="I27" s="140">
        <v>0</v>
      </c>
    </row>
    <row r="28" spans="1:9" s="259" customFormat="1" ht="15" customHeight="1" x14ac:dyDescent="0.3">
      <c r="A28" s="211" t="s">
        <v>969</v>
      </c>
      <c r="B28" t="s">
        <v>341</v>
      </c>
      <c r="C28">
        <v>11237</v>
      </c>
      <c r="D28" t="s">
        <v>1808</v>
      </c>
      <c r="E28" s="140">
        <v>0</v>
      </c>
      <c r="F28" s="140">
        <v>0</v>
      </c>
      <c r="G28" s="140">
        <v>0</v>
      </c>
      <c r="H28" s="140">
        <v>0</v>
      </c>
      <c r="I28" s="140">
        <v>0</v>
      </c>
    </row>
    <row r="29" spans="1:9" s="185" customFormat="1" ht="15" customHeight="1" x14ac:dyDescent="0.25">
      <c r="A29" s="191" t="s">
        <v>343</v>
      </c>
      <c r="B29" t="s">
        <v>342</v>
      </c>
      <c r="C29">
        <v>11238</v>
      </c>
      <c r="D29" t="s">
        <v>1809</v>
      </c>
      <c r="E29" s="140">
        <v>0</v>
      </c>
      <c r="F29" s="140">
        <v>0</v>
      </c>
      <c r="G29" s="140">
        <v>0</v>
      </c>
      <c r="H29" s="140">
        <v>0</v>
      </c>
      <c r="I29" s="140">
        <v>0</v>
      </c>
    </row>
    <row r="30" spans="1:9" s="185" customFormat="1" ht="15" customHeight="1" x14ac:dyDescent="0.25">
      <c r="A30" s="191" t="s">
        <v>344</v>
      </c>
      <c r="B30" t="s">
        <v>969</v>
      </c>
      <c r="C30">
        <v>11239</v>
      </c>
      <c r="D30" t="s">
        <v>99</v>
      </c>
      <c r="E30" s="140">
        <v>1</v>
      </c>
      <c r="F30" s="140">
        <v>0</v>
      </c>
      <c r="G30" s="140">
        <v>0</v>
      </c>
      <c r="H30" s="140">
        <v>0</v>
      </c>
      <c r="I30" s="140">
        <v>2</v>
      </c>
    </row>
    <row r="31" spans="1:9" s="117" customFormat="1" ht="15" customHeight="1" x14ac:dyDescent="0.25">
      <c r="A31" s="186" t="s">
        <v>345</v>
      </c>
      <c r="B31" t="s">
        <v>343</v>
      </c>
      <c r="C31">
        <v>112310</v>
      </c>
      <c r="D31" t="s">
        <v>1810</v>
      </c>
      <c r="E31" s="140">
        <v>0</v>
      </c>
      <c r="F31" s="140">
        <v>0</v>
      </c>
      <c r="G31" s="140">
        <v>0</v>
      </c>
      <c r="H31" s="140">
        <v>0</v>
      </c>
      <c r="I31" s="140">
        <v>0</v>
      </c>
    </row>
    <row r="32" spans="1:9" s="117" customFormat="1" ht="15" customHeight="1" x14ac:dyDescent="0.25">
      <c r="A32" s="186" t="s">
        <v>346</v>
      </c>
      <c r="B32" t="s">
        <v>344</v>
      </c>
      <c r="C32">
        <v>112311</v>
      </c>
      <c r="D32" t="s">
        <v>115</v>
      </c>
      <c r="E32" s="140">
        <v>0</v>
      </c>
      <c r="F32" s="140">
        <v>0</v>
      </c>
      <c r="G32" s="140">
        <v>0</v>
      </c>
      <c r="H32" s="140">
        <v>0</v>
      </c>
      <c r="I32" s="140">
        <v>0</v>
      </c>
    </row>
    <row r="33" spans="1:9" s="117" customFormat="1" ht="15" customHeight="1" x14ac:dyDescent="0.25">
      <c r="A33" s="186" t="s">
        <v>347</v>
      </c>
      <c r="B33" t="s">
        <v>345</v>
      </c>
      <c r="C33">
        <v>112312</v>
      </c>
      <c r="D33" t="s">
        <v>117</v>
      </c>
      <c r="E33" s="140">
        <v>0</v>
      </c>
      <c r="F33" s="140">
        <v>0</v>
      </c>
      <c r="G33" s="140">
        <v>0</v>
      </c>
      <c r="H33" s="140">
        <v>0</v>
      </c>
      <c r="I33" s="140">
        <v>0</v>
      </c>
    </row>
    <row r="34" spans="1:9" s="117" customFormat="1" ht="15" customHeight="1" x14ac:dyDescent="0.25">
      <c r="A34" s="186" t="s">
        <v>348</v>
      </c>
      <c r="B34" t="s">
        <v>346</v>
      </c>
      <c r="C34">
        <v>112313</v>
      </c>
      <c r="D34" t="s">
        <v>1811</v>
      </c>
      <c r="E34" s="140">
        <v>0</v>
      </c>
      <c r="F34" s="140">
        <v>0</v>
      </c>
      <c r="G34" s="140">
        <v>0</v>
      </c>
      <c r="H34" s="140">
        <v>0</v>
      </c>
      <c r="I34" s="140">
        <v>0</v>
      </c>
    </row>
    <row r="35" spans="1:9" s="212" customFormat="1" ht="15" customHeight="1" x14ac:dyDescent="0.25">
      <c r="A35" s="211" t="s">
        <v>349</v>
      </c>
      <c r="B35" t="s">
        <v>347</v>
      </c>
      <c r="C35">
        <v>112314</v>
      </c>
      <c r="D35" t="s">
        <v>1812</v>
      </c>
      <c r="E35" s="140">
        <v>0</v>
      </c>
      <c r="F35" s="140">
        <v>0</v>
      </c>
      <c r="G35" s="140">
        <v>0</v>
      </c>
      <c r="H35" s="140">
        <v>0</v>
      </c>
      <c r="I35" s="140">
        <v>0</v>
      </c>
    </row>
    <row r="36" spans="1:9" s="212" customFormat="1" ht="15" customHeight="1" x14ac:dyDescent="0.25">
      <c r="A36" s="211" t="s">
        <v>351</v>
      </c>
      <c r="B36" t="s">
        <v>348</v>
      </c>
      <c r="C36">
        <v>112315</v>
      </c>
      <c r="D36" t="s">
        <v>1813</v>
      </c>
      <c r="E36" s="140">
        <v>0</v>
      </c>
      <c r="F36" s="140">
        <v>0</v>
      </c>
      <c r="G36" s="140">
        <v>0</v>
      </c>
      <c r="H36" s="140">
        <v>0</v>
      </c>
      <c r="I36" s="140">
        <v>0</v>
      </c>
    </row>
    <row r="37" spans="1:9" s="117" customFormat="1" ht="15" customHeight="1" x14ac:dyDescent="0.25">
      <c r="A37" s="186" t="s">
        <v>353</v>
      </c>
      <c r="B37" t="s">
        <v>349</v>
      </c>
      <c r="C37">
        <v>112316</v>
      </c>
      <c r="D37" t="s">
        <v>350</v>
      </c>
      <c r="E37" s="140">
        <v>668</v>
      </c>
      <c r="F37" s="140">
        <v>0</v>
      </c>
      <c r="G37" s="140">
        <v>-668</v>
      </c>
      <c r="H37" s="140">
        <v>-668</v>
      </c>
      <c r="I37" s="140">
        <v>0</v>
      </c>
    </row>
    <row r="38" spans="1:9" s="117" customFormat="1" ht="15" customHeight="1" x14ac:dyDescent="0.25">
      <c r="A38" s="186" t="s">
        <v>354</v>
      </c>
      <c r="B38" t="s">
        <v>351</v>
      </c>
      <c r="C38">
        <v>112317</v>
      </c>
      <c r="D38" t="s">
        <v>352</v>
      </c>
      <c r="E38" s="140">
        <v>268</v>
      </c>
      <c r="F38" s="140">
        <v>0</v>
      </c>
      <c r="G38" s="140">
        <v>-268</v>
      </c>
      <c r="H38" s="140">
        <v>-268</v>
      </c>
      <c r="I38" s="140">
        <v>0</v>
      </c>
    </row>
    <row r="39" spans="1:9" s="185" customFormat="1" ht="15" customHeight="1" x14ac:dyDescent="0.25">
      <c r="A39" s="191" t="s">
        <v>355</v>
      </c>
      <c r="B39" t="s">
        <v>353</v>
      </c>
      <c r="C39">
        <v>112318</v>
      </c>
      <c r="D39" t="s">
        <v>1814</v>
      </c>
      <c r="E39" s="140">
        <v>0</v>
      </c>
      <c r="F39" s="140">
        <v>0</v>
      </c>
      <c r="G39" s="140">
        <v>0</v>
      </c>
      <c r="H39" s="140">
        <v>0</v>
      </c>
      <c r="I39" s="140">
        <v>0</v>
      </c>
    </row>
    <row r="40" spans="1:9" s="117" customFormat="1" ht="15" customHeight="1" x14ac:dyDescent="0.25">
      <c r="A40" s="186" t="s">
        <v>356</v>
      </c>
      <c r="B40" t="s">
        <v>354</v>
      </c>
      <c r="C40">
        <v>112319</v>
      </c>
      <c r="D40" t="s">
        <v>1815</v>
      </c>
      <c r="E40" s="140">
        <v>0</v>
      </c>
      <c r="F40" s="140">
        <v>0</v>
      </c>
      <c r="G40" s="140">
        <v>0</v>
      </c>
      <c r="H40" s="140">
        <v>0</v>
      </c>
      <c r="I40" s="140">
        <v>0</v>
      </c>
    </row>
    <row r="41" spans="1:9" s="117" customFormat="1" ht="15" customHeight="1" x14ac:dyDescent="0.25">
      <c r="A41" s="186" t="s">
        <v>357</v>
      </c>
      <c r="B41" t="s">
        <v>355</v>
      </c>
      <c r="C41">
        <v>112320</v>
      </c>
      <c r="D41" t="s">
        <v>1816</v>
      </c>
      <c r="E41" s="140">
        <v>0</v>
      </c>
      <c r="F41" s="140">
        <v>0</v>
      </c>
      <c r="G41" s="140">
        <v>0</v>
      </c>
      <c r="H41" s="140">
        <v>0</v>
      </c>
      <c r="I41" s="140">
        <v>0</v>
      </c>
    </row>
    <row r="42" spans="1:9" ht="15" customHeight="1" x14ac:dyDescent="0.3">
      <c r="A42" s="186" t="s">
        <v>970</v>
      </c>
      <c r="B42" t="s">
        <v>356</v>
      </c>
      <c r="C42">
        <v>112321</v>
      </c>
      <c r="D42" t="s">
        <v>100</v>
      </c>
      <c r="E42" s="140">
        <v>161</v>
      </c>
      <c r="F42" s="140">
        <v>0</v>
      </c>
      <c r="G42" s="140">
        <v>-161</v>
      </c>
      <c r="H42" s="140">
        <v>-161</v>
      </c>
      <c r="I42" s="140">
        <v>0</v>
      </c>
    </row>
    <row r="43" spans="1:9" s="185" customFormat="1" ht="15" customHeight="1" x14ac:dyDescent="0.25">
      <c r="A43" s="191" t="s">
        <v>358</v>
      </c>
      <c r="B43" t="s">
        <v>357</v>
      </c>
      <c r="C43">
        <v>112322</v>
      </c>
      <c r="D43" t="s">
        <v>1817</v>
      </c>
      <c r="E43" s="140">
        <v>0</v>
      </c>
      <c r="F43" s="140">
        <v>0</v>
      </c>
      <c r="G43" s="140">
        <v>0</v>
      </c>
      <c r="H43" s="140">
        <v>0</v>
      </c>
      <c r="I43" s="140">
        <v>0</v>
      </c>
    </row>
    <row r="44" spans="1:9" s="117" customFormat="1" ht="15" customHeight="1" x14ac:dyDescent="0.25">
      <c r="A44" s="186" t="s">
        <v>359</v>
      </c>
      <c r="B44" t="s">
        <v>970</v>
      </c>
      <c r="C44">
        <v>112323</v>
      </c>
      <c r="D44" t="s">
        <v>101</v>
      </c>
      <c r="E44" s="140">
        <v>6</v>
      </c>
      <c r="F44" s="140">
        <v>0</v>
      </c>
      <c r="G44" s="140">
        <v>0</v>
      </c>
      <c r="H44" s="140">
        <v>0</v>
      </c>
      <c r="I44" s="140">
        <v>6</v>
      </c>
    </row>
    <row r="45" spans="1:9" s="117" customFormat="1" ht="15" customHeight="1" x14ac:dyDescent="0.25">
      <c r="A45" s="186" t="s">
        <v>361</v>
      </c>
      <c r="B45" t="s">
        <v>358</v>
      </c>
      <c r="C45">
        <v>112324</v>
      </c>
      <c r="D45" t="s">
        <v>1818</v>
      </c>
      <c r="E45" s="140">
        <v>0</v>
      </c>
      <c r="F45" s="140">
        <v>0</v>
      </c>
      <c r="G45" s="140">
        <v>0</v>
      </c>
      <c r="H45" s="140">
        <v>0</v>
      </c>
      <c r="I45" s="140">
        <v>0</v>
      </c>
    </row>
    <row r="46" spans="1:9" s="184" customFormat="1" ht="15" customHeight="1" x14ac:dyDescent="0.3">
      <c r="A46" s="191" t="s">
        <v>362</v>
      </c>
      <c r="B46" t="s">
        <v>359</v>
      </c>
      <c r="C46">
        <v>112325</v>
      </c>
      <c r="D46" t="s">
        <v>360</v>
      </c>
      <c r="E46" s="140">
        <v>0</v>
      </c>
      <c r="F46" s="140">
        <v>3</v>
      </c>
      <c r="G46" s="140">
        <v>0</v>
      </c>
      <c r="H46" s="140">
        <v>3</v>
      </c>
      <c r="I46" s="140">
        <v>3</v>
      </c>
    </row>
    <row r="47" spans="1:9" s="117" customFormat="1" ht="15" customHeight="1" x14ac:dyDescent="0.25">
      <c r="A47" s="186" t="s">
        <v>363</v>
      </c>
      <c r="B47" t="s">
        <v>361</v>
      </c>
      <c r="C47">
        <v>112326</v>
      </c>
      <c r="D47" t="s">
        <v>1819</v>
      </c>
      <c r="E47" s="140">
        <v>0</v>
      </c>
      <c r="F47" s="140">
        <v>0</v>
      </c>
      <c r="G47" s="140">
        <v>0</v>
      </c>
      <c r="H47" s="140">
        <v>0</v>
      </c>
      <c r="I47" s="140">
        <v>0</v>
      </c>
    </row>
    <row r="48" spans="1:9" s="185" customFormat="1" ht="15" customHeight="1" x14ac:dyDescent="0.25">
      <c r="A48" s="191" t="s">
        <v>364</v>
      </c>
      <c r="B48" t="s">
        <v>362</v>
      </c>
      <c r="C48">
        <v>112327</v>
      </c>
      <c r="D48" t="s">
        <v>102</v>
      </c>
      <c r="E48" s="140">
        <v>0</v>
      </c>
      <c r="F48" s="140">
        <v>0</v>
      </c>
      <c r="G48" s="140">
        <v>0</v>
      </c>
      <c r="H48" s="140">
        <v>0</v>
      </c>
      <c r="I48" s="140">
        <v>0</v>
      </c>
    </row>
    <row r="49" spans="1:9" s="117" customFormat="1" ht="15" customHeight="1" x14ac:dyDescent="0.25">
      <c r="A49" s="186" t="s">
        <v>365</v>
      </c>
      <c r="B49" t="s">
        <v>363</v>
      </c>
      <c r="C49">
        <v>112328</v>
      </c>
      <c r="D49" t="s">
        <v>1820</v>
      </c>
      <c r="E49" s="140">
        <v>0</v>
      </c>
      <c r="F49" s="140">
        <v>0</v>
      </c>
      <c r="G49" s="140">
        <v>0</v>
      </c>
      <c r="H49" s="140">
        <v>0</v>
      </c>
      <c r="I49" s="140">
        <v>0</v>
      </c>
    </row>
    <row r="50" spans="1:9" s="117" customFormat="1" ht="15" customHeight="1" x14ac:dyDescent="0.25">
      <c r="A50" s="186" t="s">
        <v>367</v>
      </c>
      <c r="B50" t="s">
        <v>364</v>
      </c>
      <c r="C50">
        <v>112329</v>
      </c>
      <c r="D50" t="s">
        <v>116</v>
      </c>
      <c r="E50" s="140">
        <v>0</v>
      </c>
      <c r="F50" s="140">
        <v>0</v>
      </c>
      <c r="G50" s="140">
        <v>0</v>
      </c>
      <c r="H50" s="140">
        <v>0</v>
      </c>
      <c r="I50" s="140">
        <v>0</v>
      </c>
    </row>
    <row r="51" spans="1:9" s="117" customFormat="1" ht="15" customHeight="1" x14ac:dyDescent="0.25">
      <c r="A51" s="186" t="s">
        <v>1269</v>
      </c>
      <c r="B51" t="s">
        <v>365</v>
      </c>
      <c r="C51">
        <v>112330</v>
      </c>
      <c r="D51" t="s">
        <v>366</v>
      </c>
      <c r="E51" s="140">
        <v>0</v>
      </c>
      <c r="F51" s="140">
        <v>0</v>
      </c>
      <c r="G51" s="140">
        <v>0</v>
      </c>
      <c r="H51" s="140">
        <v>0</v>
      </c>
      <c r="I51" s="140">
        <v>0</v>
      </c>
    </row>
    <row r="52" spans="1:9" s="117" customFormat="1" ht="15" customHeight="1" x14ac:dyDescent="0.25">
      <c r="A52" s="186" t="s">
        <v>1271</v>
      </c>
      <c r="B52" t="s">
        <v>367</v>
      </c>
      <c r="C52">
        <v>112331</v>
      </c>
      <c r="D52" t="s">
        <v>1821</v>
      </c>
      <c r="E52" s="140">
        <v>0</v>
      </c>
      <c r="F52" s="140">
        <v>0</v>
      </c>
      <c r="G52" s="140">
        <v>0</v>
      </c>
      <c r="H52" s="140">
        <v>0</v>
      </c>
      <c r="I52" s="140">
        <v>0</v>
      </c>
    </row>
    <row r="53" spans="1:9" s="117" customFormat="1" ht="15" customHeight="1" x14ac:dyDescent="0.25">
      <c r="A53" s="186" t="s">
        <v>1273</v>
      </c>
      <c r="B53" t="s">
        <v>1269</v>
      </c>
      <c r="C53">
        <v>112332</v>
      </c>
      <c r="D53" t="s">
        <v>1822</v>
      </c>
      <c r="E53" s="140">
        <v>303</v>
      </c>
      <c r="F53" s="140">
        <v>9</v>
      </c>
      <c r="G53" s="140">
        <v>0</v>
      </c>
      <c r="H53" s="140">
        <v>9</v>
      </c>
      <c r="I53" s="140">
        <v>312</v>
      </c>
    </row>
    <row r="54" spans="1:9" s="117" customFormat="1" ht="15" customHeight="1" x14ac:dyDescent="0.25">
      <c r="A54" s="186" t="s">
        <v>1286</v>
      </c>
      <c r="B54" t="s">
        <v>1271</v>
      </c>
      <c r="C54">
        <v>112333</v>
      </c>
      <c r="D54" t="s">
        <v>1823</v>
      </c>
      <c r="E54" s="140">
        <v>116</v>
      </c>
      <c r="F54" s="140">
        <v>3</v>
      </c>
      <c r="G54" s="140">
        <v>0</v>
      </c>
      <c r="H54" s="140">
        <v>3</v>
      </c>
      <c r="I54" s="140">
        <v>120</v>
      </c>
    </row>
    <row r="55" spans="1:9" s="117" customFormat="1" ht="15" customHeight="1" x14ac:dyDescent="0.25">
      <c r="A55" s="186" t="s">
        <v>368</v>
      </c>
      <c r="B55" t="s">
        <v>1273</v>
      </c>
      <c r="C55">
        <v>112334</v>
      </c>
      <c r="D55" t="s">
        <v>1274</v>
      </c>
      <c r="E55" s="140">
        <v>2</v>
      </c>
      <c r="F55" s="140">
        <v>0</v>
      </c>
      <c r="G55" s="140">
        <v>0</v>
      </c>
      <c r="H55" s="140">
        <v>0</v>
      </c>
      <c r="I55" s="140">
        <v>2</v>
      </c>
    </row>
    <row r="56" spans="1:9" ht="15" customHeight="1" x14ac:dyDescent="0.3">
      <c r="A56" s="186" t="s">
        <v>971</v>
      </c>
      <c r="B56" t="s">
        <v>1286</v>
      </c>
      <c r="C56">
        <v>112335</v>
      </c>
      <c r="D56" t="s">
        <v>1824</v>
      </c>
      <c r="E56" s="140">
        <v>0</v>
      </c>
      <c r="F56" s="140">
        <v>0</v>
      </c>
      <c r="G56" s="140">
        <v>0</v>
      </c>
      <c r="H56" s="140">
        <v>0</v>
      </c>
      <c r="I56" s="140">
        <v>0</v>
      </c>
    </row>
    <row r="57" spans="1:9" ht="15" customHeight="1" x14ac:dyDescent="0.3">
      <c r="A57" s="186" t="s">
        <v>972</v>
      </c>
      <c r="B57" t="s">
        <v>1825</v>
      </c>
      <c r="C57">
        <v>112336</v>
      </c>
      <c r="D57" t="s">
        <v>1826</v>
      </c>
      <c r="E57" s="140">
        <v>0</v>
      </c>
      <c r="F57" s="140">
        <v>690</v>
      </c>
      <c r="G57" s="140">
        <v>0</v>
      </c>
      <c r="H57" s="140">
        <v>690</v>
      </c>
      <c r="I57" s="140">
        <v>690</v>
      </c>
    </row>
    <row r="58" spans="1:9" ht="15" customHeight="1" x14ac:dyDescent="0.3">
      <c r="A58" s="186" t="s">
        <v>973</v>
      </c>
      <c r="B58" t="s">
        <v>1827</v>
      </c>
      <c r="C58">
        <v>112337</v>
      </c>
      <c r="D58" t="s">
        <v>1828</v>
      </c>
      <c r="E58" s="140">
        <v>0</v>
      </c>
      <c r="F58" s="140">
        <v>276</v>
      </c>
      <c r="G58" s="140">
        <v>0</v>
      </c>
      <c r="H58" s="140">
        <v>276</v>
      </c>
      <c r="I58" s="140">
        <v>276</v>
      </c>
    </row>
    <row r="59" spans="1:9" s="117" customFormat="1" ht="15" customHeight="1" x14ac:dyDescent="0.25">
      <c r="A59" s="186" t="s">
        <v>370</v>
      </c>
      <c r="B59" t="s">
        <v>368</v>
      </c>
      <c r="C59">
        <v>1123999</v>
      </c>
      <c r="D59" t="s">
        <v>369</v>
      </c>
      <c r="E59" s="140">
        <v>0</v>
      </c>
      <c r="F59" s="140">
        <v>0</v>
      </c>
      <c r="G59" s="140">
        <v>0</v>
      </c>
      <c r="H59" s="140">
        <v>0</v>
      </c>
      <c r="I59" s="140">
        <v>0</v>
      </c>
    </row>
    <row r="60" spans="1:9" s="185" customFormat="1" ht="15" customHeight="1" x14ac:dyDescent="0.25">
      <c r="A60" s="191" t="s">
        <v>371</v>
      </c>
      <c r="B60" s="228" t="s">
        <v>971</v>
      </c>
      <c r="C60" s="228">
        <v>1124</v>
      </c>
      <c r="D60" s="228" t="s">
        <v>103</v>
      </c>
      <c r="E60" s="282">
        <v>792</v>
      </c>
      <c r="F60" s="282">
        <v>2478</v>
      </c>
      <c r="G60" s="282">
        <v>-2188</v>
      </c>
      <c r="H60" s="282">
        <v>290</v>
      </c>
      <c r="I60" s="282">
        <v>1081</v>
      </c>
    </row>
    <row r="61" spans="1:9" s="117" customFormat="1" ht="15" customHeight="1" x14ac:dyDescent="0.25">
      <c r="A61" s="186" t="s">
        <v>372</v>
      </c>
      <c r="B61" t="s">
        <v>972</v>
      </c>
      <c r="C61">
        <v>11241</v>
      </c>
      <c r="D61" t="s">
        <v>104</v>
      </c>
      <c r="E61" s="140">
        <v>792</v>
      </c>
      <c r="F61" s="140">
        <v>1438</v>
      </c>
      <c r="G61" s="140">
        <v>-1942</v>
      </c>
      <c r="H61" s="140">
        <v>-504</v>
      </c>
      <c r="I61" s="140">
        <v>287</v>
      </c>
    </row>
    <row r="62" spans="1:9" s="117" customFormat="1" ht="15" customHeight="1" x14ac:dyDescent="0.25">
      <c r="A62" s="186" t="s">
        <v>373</v>
      </c>
      <c r="B62" t="s">
        <v>973</v>
      </c>
      <c r="C62">
        <v>11242</v>
      </c>
      <c r="D62" t="s">
        <v>105</v>
      </c>
      <c r="E62" s="140">
        <v>0</v>
      </c>
      <c r="F62" s="140">
        <v>835</v>
      </c>
      <c r="G62" s="140">
        <v>-42</v>
      </c>
      <c r="H62" s="140">
        <v>794</v>
      </c>
      <c r="I62" s="140">
        <v>794</v>
      </c>
    </row>
    <row r="63" spans="1:9" s="117" customFormat="1" ht="15" customHeight="1" x14ac:dyDescent="0.25">
      <c r="A63" s="186" t="s">
        <v>374</v>
      </c>
      <c r="B63" t="s">
        <v>370</v>
      </c>
      <c r="C63">
        <v>11243</v>
      </c>
      <c r="D63" t="s">
        <v>1829</v>
      </c>
      <c r="E63" s="140">
        <v>0</v>
      </c>
      <c r="F63" s="140">
        <v>0</v>
      </c>
      <c r="G63" s="140">
        <v>0</v>
      </c>
      <c r="H63" s="140">
        <v>0</v>
      </c>
      <c r="I63" s="140">
        <v>0</v>
      </c>
    </row>
    <row r="64" spans="1:9" s="117" customFormat="1" ht="15" customHeight="1" x14ac:dyDescent="0.25">
      <c r="A64" s="186" t="s">
        <v>375</v>
      </c>
      <c r="B64" t="s">
        <v>371</v>
      </c>
      <c r="C64">
        <v>11244</v>
      </c>
      <c r="D64" t="s">
        <v>1830</v>
      </c>
      <c r="E64" s="140">
        <v>0</v>
      </c>
      <c r="F64" s="140">
        <v>0</v>
      </c>
      <c r="G64" s="140">
        <v>0</v>
      </c>
      <c r="H64" s="140">
        <v>0</v>
      </c>
      <c r="I64" s="140">
        <v>0</v>
      </c>
    </row>
    <row r="65" spans="1:9" s="117" customFormat="1" ht="15" customHeight="1" x14ac:dyDescent="0.25">
      <c r="A65" s="186" t="s">
        <v>376</v>
      </c>
      <c r="B65" t="s">
        <v>372</v>
      </c>
      <c r="C65">
        <v>11245</v>
      </c>
      <c r="D65" t="s">
        <v>1831</v>
      </c>
      <c r="E65" s="140">
        <v>0</v>
      </c>
      <c r="F65" s="140">
        <v>0</v>
      </c>
      <c r="G65" s="140">
        <v>0</v>
      </c>
      <c r="H65" s="140">
        <v>0</v>
      </c>
      <c r="I65" s="140">
        <v>0</v>
      </c>
    </row>
    <row r="66" spans="1:9" s="117" customFormat="1" ht="15" customHeight="1" x14ac:dyDescent="0.25">
      <c r="A66" s="186" t="s">
        <v>377</v>
      </c>
      <c r="B66" t="s">
        <v>373</v>
      </c>
      <c r="C66">
        <v>11246</v>
      </c>
      <c r="D66" t="s">
        <v>1832</v>
      </c>
      <c r="E66" s="140">
        <v>0</v>
      </c>
      <c r="F66" s="140">
        <v>0</v>
      </c>
      <c r="G66" s="140">
        <v>0</v>
      </c>
      <c r="H66" s="140">
        <v>0</v>
      </c>
      <c r="I66" s="140">
        <v>0</v>
      </c>
    </row>
    <row r="67" spans="1:9" s="117" customFormat="1" ht="15" customHeight="1" x14ac:dyDescent="0.25">
      <c r="A67" s="186" t="s">
        <v>378</v>
      </c>
      <c r="B67" t="s">
        <v>374</v>
      </c>
      <c r="C67">
        <v>112424</v>
      </c>
      <c r="D67" t="s">
        <v>106</v>
      </c>
      <c r="E67" s="140">
        <v>0</v>
      </c>
      <c r="F67" s="140">
        <v>189</v>
      </c>
      <c r="G67" s="140">
        <v>-189</v>
      </c>
      <c r="H67" s="140">
        <v>0</v>
      </c>
      <c r="I67" s="140">
        <v>0</v>
      </c>
    </row>
    <row r="68" spans="1:9" s="185" customFormat="1" ht="15" customHeight="1" x14ac:dyDescent="0.25">
      <c r="A68" s="191" t="s">
        <v>379</v>
      </c>
      <c r="B68" t="s">
        <v>375</v>
      </c>
      <c r="C68">
        <v>112425</v>
      </c>
      <c r="D68" t="s">
        <v>107</v>
      </c>
      <c r="E68" s="140">
        <v>0</v>
      </c>
      <c r="F68" s="140">
        <v>15</v>
      </c>
      <c r="G68" s="140">
        <v>-15</v>
      </c>
      <c r="H68" s="140">
        <v>0</v>
      </c>
      <c r="I68" s="140">
        <v>0</v>
      </c>
    </row>
    <row r="69" spans="1:9" s="185" customFormat="1" ht="15" customHeight="1" x14ac:dyDescent="0.25">
      <c r="A69" s="191" t="s">
        <v>380</v>
      </c>
      <c r="B69" t="s">
        <v>376</v>
      </c>
      <c r="C69">
        <v>1124999</v>
      </c>
      <c r="D69" t="s">
        <v>1833</v>
      </c>
      <c r="E69" s="140">
        <v>0</v>
      </c>
      <c r="F69" s="140">
        <v>0</v>
      </c>
      <c r="G69" s="140">
        <v>0</v>
      </c>
      <c r="H69" s="140">
        <v>0</v>
      </c>
      <c r="I69" s="140">
        <v>0</v>
      </c>
    </row>
    <row r="70" spans="1:9" s="185" customFormat="1" ht="15" customHeight="1" x14ac:dyDescent="0.25">
      <c r="A70" s="191" t="s">
        <v>381</v>
      </c>
      <c r="B70" t="s">
        <v>377</v>
      </c>
      <c r="C70">
        <v>1125</v>
      </c>
      <c r="D70" t="s">
        <v>1834</v>
      </c>
      <c r="E70" s="140">
        <v>0</v>
      </c>
      <c r="F70" s="140">
        <v>90</v>
      </c>
      <c r="G70" s="140">
        <v>-90</v>
      </c>
      <c r="H70" s="140">
        <v>0</v>
      </c>
      <c r="I70" s="140">
        <v>0</v>
      </c>
    </row>
    <row r="71" spans="1:9" s="185" customFormat="1" ht="15" customHeight="1" x14ac:dyDescent="0.25">
      <c r="A71" s="191" t="s">
        <v>382</v>
      </c>
      <c r="B71" t="s">
        <v>378</v>
      </c>
      <c r="C71">
        <v>11251</v>
      </c>
      <c r="D71" t="s">
        <v>1835</v>
      </c>
      <c r="E71" s="140">
        <v>0</v>
      </c>
      <c r="F71" s="140">
        <v>0</v>
      </c>
      <c r="G71" s="140">
        <v>0</v>
      </c>
      <c r="H71" s="140">
        <v>0</v>
      </c>
      <c r="I71" s="140">
        <v>0</v>
      </c>
    </row>
    <row r="72" spans="1:9" s="117" customFormat="1" ht="15" customHeight="1" x14ac:dyDescent="0.25">
      <c r="A72" s="186" t="s">
        <v>383</v>
      </c>
      <c r="B72" t="s">
        <v>379</v>
      </c>
      <c r="C72">
        <v>11252</v>
      </c>
      <c r="D72" t="s">
        <v>1836</v>
      </c>
      <c r="E72" s="140">
        <v>0</v>
      </c>
      <c r="F72" s="140">
        <v>0</v>
      </c>
      <c r="G72" s="140">
        <v>0</v>
      </c>
      <c r="H72" s="140">
        <v>0</v>
      </c>
      <c r="I72" s="140">
        <v>0</v>
      </c>
    </row>
    <row r="73" spans="1:9" s="117" customFormat="1" ht="15" customHeight="1" x14ac:dyDescent="0.25">
      <c r="A73" s="186" t="s">
        <v>384</v>
      </c>
      <c r="B73" t="s">
        <v>380</v>
      </c>
      <c r="C73">
        <v>11253</v>
      </c>
      <c r="D73" t="s">
        <v>1837</v>
      </c>
      <c r="E73" s="140">
        <v>0</v>
      </c>
      <c r="F73" s="140">
        <v>0</v>
      </c>
      <c r="G73" s="140">
        <v>0</v>
      </c>
      <c r="H73" s="140">
        <v>0</v>
      </c>
      <c r="I73" s="140">
        <v>0</v>
      </c>
    </row>
    <row r="74" spans="1:9" s="117" customFormat="1" ht="15" customHeight="1" x14ac:dyDescent="0.25">
      <c r="A74" s="186" t="s">
        <v>385</v>
      </c>
      <c r="B74" t="s">
        <v>381</v>
      </c>
      <c r="C74">
        <v>11254</v>
      </c>
      <c r="D74" t="s">
        <v>1838</v>
      </c>
      <c r="E74" s="140">
        <v>0</v>
      </c>
      <c r="F74" s="140">
        <v>90</v>
      </c>
      <c r="G74" s="140">
        <v>-90</v>
      </c>
      <c r="H74" s="140">
        <v>0</v>
      </c>
      <c r="I74" s="140">
        <v>0</v>
      </c>
    </row>
    <row r="75" spans="1:9" s="212" customFormat="1" ht="15" customHeight="1" x14ac:dyDescent="0.25">
      <c r="A75" s="211" t="s">
        <v>386</v>
      </c>
      <c r="B75" t="s">
        <v>382</v>
      </c>
      <c r="C75">
        <v>1126</v>
      </c>
      <c r="D75" t="s">
        <v>118</v>
      </c>
      <c r="E75" s="140">
        <v>0</v>
      </c>
      <c r="F75" s="140">
        <v>0</v>
      </c>
      <c r="G75" s="140">
        <v>0</v>
      </c>
      <c r="H75" s="140">
        <v>0</v>
      </c>
      <c r="I75" s="140">
        <v>0</v>
      </c>
    </row>
    <row r="76" spans="1:9" s="117" customFormat="1" ht="15" customHeight="1" x14ac:dyDescent="0.25">
      <c r="A76" s="186" t="s">
        <v>387</v>
      </c>
      <c r="B76" t="s">
        <v>383</v>
      </c>
      <c r="C76">
        <v>11261</v>
      </c>
      <c r="D76" t="s">
        <v>119</v>
      </c>
      <c r="E76" s="140">
        <v>0</v>
      </c>
      <c r="F76" s="140">
        <v>0</v>
      </c>
      <c r="G76" s="140">
        <v>0</v>
      </c>
      <c r="H76" s="140">
        <v>0</v>
      </c>
      <c r="I76" s="140">
        <v>0</v>
      </c>
    </row>
    <row r="77" spans="1:9" s="117" customFormat="1" ht="15" customHeight="1" x14ac:dyDescent="0.25">
      <c r="A77" s="186" t="s">
        <v>388</v>
      </c>
      <c r="B77" t="s">
        <v>384</v>
      </c>
      <c r="C77">
        <v>11262</v>
      </c>
      <c r="D77" t="s">
        <v>1839</v>
      </c>
      <c r="E77" s="140">
        <v>0</v>
      </c>
      <c r="F77" s="140">
        <v>0</v>
      </c>
      <c r="G77" s="140">
        <v>0</v>
      </c>
      <c r="H77" s="140">
        <v>0</v>
      </c>
      <c r="I77" s="140">
        <v>0</v>
      </c>
    </row>
    <row r="78" spans="1:9" s="117" customFormat="1" ht="15" customHeight="1" x14ac:dyDescent="0.25">
      <c r="A78" s="186" t="s">
        <v>389</v>
      </c>
      <c r="B78" t="s">
        <v>385</v>
      </c>
      <c r="C78">
        <v>1127</v>
      </c>
      <c r="D78" t="s">
        <v>1840</v>
      </c>
      <c r="E78" s="140">
        <v>0</v>
      </c>
      <c r="F78" s="140">
        <v>0</v>
      </c>
      <c r="G78" s="140">
        <v>0</v>
      </c>
      <c r="H78" s="140">
        <v>0</v>
      </c>
      <c r="I78" s="140">
        <v>0</v>
      </c>
    </row>
    <row r="79" spans="1:9" s="117" customFormat="1" ht="15" customHeight="1" x14ac:dyDescent="0.25">
      <c r="A79" s="186" t="s">
        <v>390</v>
      </c>
      <c r="B79" t="s">
        <v>386</v>
      </c>
      <c r="C79">
        <v>11271</v>
      </c>
      <c r="D79" t="s">
        <v>1841</v>
      </c>
      <c r="E79" s="140">
        <v>0</v>
      </c>
      <c r="F79" s="140">
        <v>0</v>
      </c>
      <c r="G79" s="140">
        <v>0</v>
      </c>
      <c r="H79" s="140">
        <v>0</v>
      </c>
      <c r="I79" s="140">
        <v>0</v>
      </c>
    </row>
    <row r="80" spans="1:9" s="117" customFormat="1" ht="15" customHeight="1" x14ac:dyDescent="0.25">
      <c r="A80" s="186" t="s">
        <v>392</v>
      </c>
      <c r="B80" t="s">
        <v>387</v>
      </c>
      <c r="C80">
        <v>11272</v>
      </c>
      <c r="D80" t="s">
        <v>1842</v>
      </c>
      <c r="E80" s="140">
        <v>0</v>
      </c>
      <c r="F80" s="140">
        <v>0</v>
      </c>
      <c r="G80" s="140">
        <v>0</v>
      </c>
      <c r="H80" s="140">
        <v>0</v>
      </c>
      <c r="I80" s="140">
        <v>0</v>
      </c>
    </row>
    <row r="81" spans="1:9" s="117" customFormat="1" ht="15" customHeight="1" x14ac:dyDescent="0.25">
      <c r="A81" s="186" t="s">
        <v>394</v>
      </c>
      <c r="B81" t="s">
        <v>388</v>
      </c>
      <c r="C81">
        <v>11273</v>
      </c>
      <c r="D81" t="s">
        <v>1843</v>
      </c>
      <c r="E81" s="140">
        <v>0</v>
      </c>
      <c r="F81" s="140">
        <v>0</v>
      </c>
      <c r="G81" s="140">
        <v>0</v>
      </c>
      <c r="H81" s="140">
        <v>0</v>
      </c>
      <c r="I81" s="140">
        <v>0</v>
      </c>
    </row>
    <row r="82" spans="1:9" s="212" customFormat="1" ht="15" customHeight="1" x14ac:dyDescent="0.25">
      <c r="A82" s="211" t="s">
        <v>395</v>
      </c>
      <c r="B82" t="s">
        <v>389</v>
      </c>
      <c r="C82">
        <v>1128</v>
      </c>
      <c r="D82" t="s">
        <v>1844</v>
      </c>
      <c r="E82" s="140">
        <v>0</v>
      </c>
      <c r="F82" s="140">
        <v>0</v>
      </c>
      <c r="G82" s="140">
        <v>0</v>
      </c>
      <c r="H82" s="140">
        <v>0</v>
      </c>
      <c r="I82" s="140">
        <v>0</v>
      </c>
    </row>
    <row r="83" spans="1:9" s="117" customFormat="1" ht="15" customHeight="1" x14ac:dyDescent="0.25">
      <c r="A83" s="186" t="s">
        <v>396</v>
      </c>
      <c r="B83" t="s">
        <v>390</v>
      </c>
      <c r="C83">
        <v>11281</v>
      </c>
      <c r="D83" t="s">
        <v>391</v>
      </c>
      <c r="E83" s="140">
        <v>0</v>
      </c>
      <c r="F83" s="140">
        <v>0</v>
      </c>
      <c r="G83" s="140">
        <v>0</v>
      </c>
      <c r="H83" s="140">
        <v>0</v>
      </c>
      <c r="I83" s="140">
        <v>0</v>
      </c>
    </row>
    <row r="84" spans="1:9" s="117" customFormat="1" ht="15" customHeight="1" x14ac:dyDescent="0.25">
      <c r="A84" s="186" t="s">
        <v>397</v>
      </c>
      <c r="B84" t="s">
        <v>392</v>
      </c>
      <c r="C84">
        <v>11282</v>
      </c>
      <c r="D84" t="s">
        <v>393</v>
      </c>
      <c r="E84" s="140">
        <v>0</v>
      </c>
      <c r="F84" s="140">
        <v>0</v>
      </c>
      <c r="G84" s="140">
        <v>0</v>
      </c>
      <c r="H84" s="140">
        <v>0</v>
      </c>
      <c r="I84" s="140">
        <v>0</v>
      </c>
    </row>
    <row r="85" spans="1:9" ht="15" customHeight="1" x14ac:dyDescent="0.3">
      <c r="A85" s="186" t="s">
        <v>398</v>
      </c>
      <c r="B85" t="s">
        <v>394</v>
      </c>
      <c r="C85">
        <v>11283</v>
      </c>
      <c r="D85" t="s">
        <v>120</v>
      </c>
      <c r="E85" s="140">
        <v>0</v>
      </c>
      <c r="F85" s="140">
        <v>0</v>
      </c>
      <c r="G85" s="140">
        <v>0</v>
      </c>
      <c r="H85" s="140">
        <v>0</v>
      </c>
      <c r="I85" s="140">
        <v>0</v>
      </c>
    </row>
    <row r="86" spans="1:9" s="117" customFormat="1" ht="15" customHeight="1" x14ac:dyDescent="0.25">
      <c r="A86" s="186" t="s">
        <v>399</v>
      </c>
      <c r="B86" t="s">
        <v>395</v>
      </c>
      <c r="C86">
        <v>11284</v>
      </c>
      <c r="D86" t="s">
        <v>1845</v>
      </c>
      <c r="E86" s="140">
        <v>0</v>
      </c>
      <c r="F86" s="140">
        <v>0</v>
      </c>
      <c r="G86" s="140">
        <v>0</v>
      </c>
      <c r="H86" s="140">
        <v>0</v>
      </c>
      <c r="I86" s="140">
        <v>0</v>
      </c>
    </row>
    <row r="87" spans="1:9" s="117" customFormat="1" ht="15" customHeight="1" x14ac:dyDescent="0.25">
      <c r="A87" s="186" t="s">
        <v>400</v>
      </c>
      <c r="B87" t="s">
        <v>396</v>
      </c>
      <c r="C87">
        <v>1129</v>
      </c>
      <c r="D87" t="s">
        <v>6</v>
      </c>
      <c r="E87" s="140">
        <v>0</v>
      </c>
      <c r="F87" s="140">
        <v>1966</v>
      </c>
      <c r="G87" s="140">
        <v>-1966</v>
      </c>
      <c r="H87" s="140">
        <v>0</v>
      </c>
      <c r="I87" s="140">
        <v>0</v>
      </c>
    </row>
    <row r="88" spans="1:9" s="117" customFormat="1" ht="15" customHeight="1" x14ac:dyDescent="0.25">
      <c r="A88" s="186" t="s">
        <v>401</v>
      </c>
      <c r="B88" t="s">
        <v>397</v>
      </c>
      <c r="C88">
        <v>11291</v>
      </c>
      <c r="D88" t="s">
        <v>1613</v>
      </c>
      <c r="E88" s="140">
        <v>0</v>
      </c>
      <c r="F88" s="140">
        <v>1966</v>
      </c>
      <c r="G88" s="140">
        <v>-1966</v>
      </c>
      <c r="H88" s="140">
        <v>0</v>
      </c>
      <c r="I88" s="140">
        <v>0</v>
      </c>
    </row>
    <row r="89" spans="1:9" s="117" customFormat="1" ht="15" customHeight="1" x14ac:dyDescent="0.25">
      <c r="A89" s="186" t="s">
        <v>402</v>
      </c>
      <c r="B89" t="s">
        <v>398</v>
      </c>
      <c r="C89">
        <v>11299</v>
      </c>
      <c r="D89" t="s">
        <v>108</v>
      </c>
      <c r="E89" s="140">
        <v>0</v>
      </c>
      <c r="F89" s="140">
        <v>121</v>
      </c>
      <c r="G89" s="140">
        <v>-121</v>
      </c>
      <c r="H89" s="140">
        <v>0</v>
      </c>
      <c r="I89" s="140">
        <v>0</v>
      </c>
    </row>
    <row r="90" spans="1:9" s="117" customFormat="1" ht="15" customHeight="1" x14ac:dyDescent="0.25">
      <c r="A90" s="186" t="s">
        <v>403</v>
      </c>
      <c r="B90" t="s">
        <v>399</v>
      </c>
      <c r="C90">
        <v>112991</v>
      </c>
      <c r="D90" t="s">
        <v>1846</v>
      </c>
      <c r="E90" s="140">
        <v>0</v>
      </c>
      <c r="F90" s="140">
        <v>0</v>
      </c>
      <c r="G90" s="140">
        <v>0</v>
      </c>
      <c r="H90" s="140">
        <v>0</v>
      </c>
      <c r="I90" s="140">
        <v>0</v>
      </c>
    </row>
    <row r="91" spans="1:9" ht="15" customHeight="1" x14ac:dyDescent="0.3">
      <c r="A91" s="186" t="s">
        <v>405</v>
      </c>
      <c r="B91" t="s">
        <v>400</v>
      </c>
      <c r="C91">
        <v>112992</v>
      </c>
      <c r="D91" t="s">
        <v>1847</v>
      </c>
      <c r="E91" s="140">
        <v>0</v>
      </c>
      <c r="F91" s="140">
        <v>0</v>
      </c>
      <c r="G91" s="140">
        <v>0</v>
      </c>
      <c r="H91" s="140">
        <v>0</v>
      </c>
      <c r="I91" s="140">
        <v>0</v>
      </c>
    </row>
    <row r="92" spans="1:9" s="281" customFormat="1" ht="15" customHeight="1" x14ac:dyDescent="0.3">
      <c r="A92" s="280" t="s">
        <v>974</v>
      </c>
      <c r="B92" t="s">
        <v>401</v>
      </c>
      <c r="C92">
        <v>112993</v>
      </c>
      <c r="D92" t="s">
        <v>1848</v>
      </c>
      <c r="E92" s="140">
        <v>0</v>
      </c>
      <c r="F92" s="140">
        <v>0</v>
      </c>
      <c r="G92" s="140">
        <v>0</v>
      </c>
      <c r="H92" s="140">
        <v>0</v>
      </c>
      <c r="I92" s="140">
        <v>0</v>
      </c>
    </row>
    <row r="93" spans="1:9" s="184" customFormat="1" ht="15" customHeight="1" x14ac:dyDescent="0.3">
      <c r="A93" s="191" t="s">
        <v>975</v>
      </c>
      <c r="B93" t="s">
        <v>402</v>
      </c>
      <c r="C93">
        <v>112994</v>
      </c>
      <c r="D93" t="s">
        <v>1849</v>
      </c>
      <c r="E93" s="140">
        <v>0</v>
      </c>
      <c r="F93" s="140">
        <v>0</v>
      </c>
      <c r="G93" s="140">
        <v>0</v>
      </c>
      <c r="H93" s="140">
        <v>0</v>
      </c>
      <c r="I93" s="140">
        <v>0</v>
      </c>
    </row>
    <row r="94" spans="1:9" ht="15" customHeight="1" x14ac:dyDescent="0.3">
      <c r="A94" s="186" t="s">
        <v>976</v>
      </c>
      <c r="B94" t="s">
        <v>403</v>
      </c>
      <c r="C94">
        <v>112995</v>
      </c>
      <c r="D94" t="s">
        <v>404</v>
      </c>
      <c r="E94" s="140">
        <v>0</v>
      </c>
      <c r="F94" s="140">
        <v>121</v>
      </c>
      <c r="G94" s="140">
        <v>-121</v>
      </c>
      <c r="H94" s="140">
        <v>0</v>
      </c>
      <c r="I94" s="140">
        <v>0</v>
      </c>
    </row>
    <row r="95" spans="1:9" ht="15" customHeight="1" x14ac:dyDescent="0.3">
      <c r="A95" s="186" t="s">
        <v>977</v>
      </c>
      <c r="B95" t="s">
        <v>405</v>
      </c>
      <c r="C95">
        <v>11299999</v>
      </c>
      <c r="D95" t="s">
        <v>109</v>
      </c>
      <c r="E95" s="140">
        <v>0</v>
      </c>
      <c r="F95" s="140">
        <v>0</v>
      </c>
      <c r="G95" s="140">
        <v>0</v>
      </c>
      <c r="H95" s="140">
        <v>0</v>
      </c>
      <c r="I95" s="140">
        <v>0</v>
      </c>
    </row>
    <row r="96" spans="1:9" s="184" customFormat="1" ht="15" customHeight="1" x14ac:dyDescent="0.3">
      <c r="A96" s="191" t="s">
        <v>978</v>
      </c>
      <c r="B96" s="228" t="s">
        <v>974</v>
      </c>
      <c r="C96" s="228">
        <v>113</v>
      </c>
      <c r="D96" s="228" t="s">
        <v>87</v>
      </c>
      <c r="E96" s="282">
        <v>2579</v>
      </c>
      <c r="F96" s="282">
        <v>3232</v>
      </c>
      <c r="G96" s="282">
        <v>-1410</v>
      </c>
      <c r="H96" s="282">
        <v>1822</v>
      </c>
      <c r="I96" s="282">
        <v>4402</v>
      </c>
    </row>
    <row r="97" spans="1:9" s="185" customFormat="1" ht="15" customHeight="1" x14ac:dyDescent="0.25">
      <c r="A97" s="191" t="s">
        <v>407</v>
      </c>
      <c r="B97" s="228" t="s">
        <v>975</v>
      </c>
      <c r="C97" s="228">
        <v>1131</v>
      </c>
      <c r="D97" s="228" t="s">
        <v>87</v>
      </c>
      <c r="E97" s="282">
        <v>2579</v>
      </c>
      <c r="F97" s="282">
        <v>3232</v>
      </c>
      <c r="G97" s="282">
        <v>-1410</v>
      </c>
      <c r="H97" s="282">
        <v>1822</v>
      </c>
      <c r="I97" s="282">
        <v>4402</v>
      </c>
    </row>
    <row r="98" spans="1:9" ht="15" customHeight="1" x14ac:dyDescent="0.3">
      <c r="A98" s="186" t="s">
        <v>979</v>
      </c>
      <c r="B98" t="s">
        <v>976</v>
      </c>
      <c r="C98">
        <v>11311</v>
      </c>
      <c r="D98" t="s">
        <v>406</v>
      </c>
      <c r="E98" s="140">
        <v>182</v>
      </c>
      <c r="F98" s="140">
        <v>0</v>
      </c>
      <c r="G98" s="140">
        <v>-48</v>
      </c>
      <c r="H98" s="140">
        <v>-48</v>
      </c>
      <c r="I98" s="140">
        <v>134</v>
      </c>
    </row>
    <row r="99" spans="1:9" ht="15" customHeight="1" x14ac:dyDescent="0.3">
      <c r="A99" s="186" t="s">
        <v>980</v>
      </c>
      <c r="B99" t="s">
        <v>977</v>
      </c>
      <c r="C99">
        <v>11312</v>
      </c>
      <c r="D99" t="s">
        <v>110</v>
      </c>
      <c r="E99" s="140">
        <v>997</v>
      </c>
      <c r="F99" s="140">
        <v>1208</v>
      </c>
      <c r="G99" s="140">
        <v>-329</v>
      </c>
      <c r="H99" s="140">
        <v>879</v>
      </c>
      <c r="I99" s="140">
        <v>1876</v>
      </c>
    </row>
    <row r="100" spans="1:9" s="117" customFormat="1" ht="15" customHeight="1" x14ac:dyDescent="0.25">
      <c r="A100" s="186" t="s">
        <v>409</v>
      </c>
      <c r="B100" t="s">
        <v>978</v>
      </c>
      <c r="C100">
        <v>11313</v>
      </c>
      <c r="D100" t="s">
        <v>111</v>
      </c>
      <c r="E100" s="140">
        <v>122</v>
      </c>
      <c r="F100" s="140">
        <v>73</v>
      </c>
      <c r="G100" s="140">
        <v>-57</v>
      </c>
      <c r="H100" s="140">
        <v>16</v>
      </c>
      <c r="I100" s="140">
        <v>138</v>
      </c>
    </row>
    <row r="101" spans="1:9" ht="15" customHeight="1" x14ac:dyDescent="0.3">
      <c r="A101" s="186" t="s">
        <v>981</v>
      </c>
      <c r="B101" t="s">
        <v>407</v>
      </c>
      <c r="C101">
        <v>11314</v>
      </c>
      <c r="D101" t="s">
        <v>1850</v>
      </c>
      <c r="E101" s="140">
        <v>0</v>
      </c>
      <c r="F101" s="140">
        <v>0</v>
      </c>
      <c r="G101" s="140">
        <v>0</v>
      </c>
      <c r="H101" s="140">
        <v>0</v>
      </c>
      <c r="I101" s="140">
        <v>0</v>
      </c>
    </row>
    <row r="102" spans="1:9" ht="15" customHeight="1" x14ac:dyDescent="0.3">
      <c r="A102" s="186" t="s">
        <v>982</v>
      </c>
      <c r="B102" t="s">
        <v>979</v>
      </c>
      <c r="C102">
        <v>11315</v>
      </c>
      <c r="D102" t="s">
        <v>408</v>
      </c>
      <c r="E102" s="140">
        <v>0</v>
      </c>
      <c r="F102" s="140">
        <v>447</v>
      </c>
      <c r="G102" s="140">
        <v>-110</v>
      </c>
      <c r="H102" s="140">
        <v>337</v>
      </c>
      <c r="I102" s="140">
        <v>337</v>
      </c>
    </row>
    <row r="103" spans="1:9" s="117" customFormat="1" ht="15" customHeight="1" x14ac:dyDescent="0.25">
      <c r="A103" s="186" t="s">
        <v>411</v>
      </c>
      <c r="B103" t="s">
        <v>980</v>
      </c>
      <c r="C103">
        <v>11316</v>
      </c>
      <c r="D103" t="s">
        <v>112</v>
      </c>
      <c r="E103" s="140">
        <v>1277</v>
      </c>
      <c r="F103" s="140">
        <v>1505</v>
      </c>
      <c r="G103" s="140">
        <v>-866</v>
      </c>
      <c r="H103" s="140">
        <v>639</v>
      </c>
      <c r="I103" s="140">
        <v>1916</v>
      </c>
    </row>
    <row r="104" spans="1:9" s="117" customFormat="1" ht="15" customHeight="1" x14ac:dyDescent="0.25">
      <c r="A104" s="186" t="s">
        <v>412</v>
      </c>
      <c r="B104" t="s">
        <v>409</v>
      </c>
      <c r="C104">
        <v>1131999</v>
      </c>
      <c r="D104" t="s">
        <v>410</v>
      </c>
      <c r="E104" s="140">
        <v>0</v>
      </c>
      <c r="F104" s="140">
        <v>0</v>
      </c>
      <c r="G104" s="140">
        <v>0</v>
      </c>
      <c r="H104" s="140">
        <v>0</v>
      </c>
      <c r="I104" s="140">
        <v>0</v>
      </c>
    </row>
    <row r="105" spans="1:9" s="185" customFormat="1" ht="15" customHeight="1" x14ac:dyDescent="0.25">
      <c r="A105" s="191" t="s">
        <v>413</v>
      </c>
      <c r="B105" s="228" t="s">
        <v>981</v>
      </c>
      <c r="C105" s="228">
        <v>12</v>
      </c>
      <c r="D105" s="228" t="s">
        <v>113</v>
      </c>
      <c r="E105" s="282">
        <v>15854</v>
      </c>
      <c r="F105" s="282">
        <v>202</v>
      </c>
      <c r="G105" s="282">
        <v>-1099</v>
      </c>
      <c r="H105" s="282">
        <v>-897</v>
      </c>
      <c r="I105" s="282">
        <v>14957</v>
      </c>
    </row>
    <row r="106" spans="1:9" s="185" customFormat="1" ht="15" customHeight="1" x14ac:dyDescent="0.25">
      <c r="A106" s="191" t="s">
        <v>414</v>
      </c>
      <c r="B106" s="228" t="s">
        <v>982</v>
      </c>
      <c r="C106" s="228">
        <v>121</v>
      </c>
      <c r="D106" s="228" t="s">
        <v>114</v>
      </c>
      <c r="E106" s="282">
        <v>4844</v>
      </c>
      <c r="F106" s="282">
        <v>155</v>
      </c>
      <c r="G106" s="282">
        <v>-292</v>
      </c>
      <c r="H106" s="282">
        <v>-136</v>
      </c>
      <c r="I106" s="282">
        <v>4708</v>
      </c>
    </row>
    <row r="107" spans="1:9" s="117" customFormat="1" ht="15" customHeight="1" x14ac:dyDescent="0.25">
      <c r="A107" s="186" t="s">
        <v>415</v>
      </c>
      <c r="B107" t="s">
        <v>411</v>
      </c>
      <c r="C107">
        <v>1211</v>
      </c>
      <c r="D107" t="s">
        <v>1794</v>
      </c>
      <c r="E107" s="140">
        <v>0</v>
      </c>
      <c r="F107" s="140">
        <v>0</v>
      </c>
      <c r="G107" s="140">
        <v>0</v>
      </c>
      <c r="H107" s="140">
        <v>0</v>
      </c>
      <c r="I107" s="140">
        <v>0</v>
      </c>
    </row>
    <row r="108" spans="1:9" s="117" customFormat="1" ht="15" customHeight="1" x14ac:dyDescent="0.25">
      <c r="A108" s="186" t="s">
        <v>416</v>
      </c>
      <c r="B108" t="s">
        <v>412</v>
      </c>
      <c r="C108">
        <v>12111</v>
      </c>
      <c r="D108" t="s">
        <v>1795</v>
      </c>
      <c r="E108" s="140">
        <v>0</v>
      </c>
      <c r="F108" s="140">
        <v>0</v>
      </c>
      <c r="G108" s="140">
        <v>0</v>
      </c>
      <c r="H108" s="140">
        <v>0</v>
      </c>
      <c r="I108" s="140">
        <v>0</v>
      </c>
    </row>
    <row r="109" spans="1:9" s="117" customFormat="1" ht="15" customHeight="1" x14ac:dyDescent="0.25">
      <c r="A109" s="186" t="s">
        <v>417</v>
      </c>
      <c r="B109" t="s">
        <v>413</v>
      </c>
      <c r="C109">
        <v>1211998</v>
      </c>
      <c r="D109" t="s">
        <v>1797</v>
      </c>
      <c r="E109" s="140">
        <v>0</v>
      </c>
      <c r="F109" s="140">
        <v>0</v>
      </c>
      <c r="G109" s="140">
        <v>0</v>
      </c>
      <c r="H109" s="140">
        <v>0</v>
      </c>
      <c r="I109" s="140">
        <v>0</v>
      </c>
    </row>
    <row r="110" spans="1:9" s="117" customFormat="1" ht="15" customHeight="1" x14ac:dyDescent="0.25">
      <c r="A110" s="186" t="s">
        <v>418</v>
      </c>
      <c r="B110" t="s">
        <v>414</v>
      </c>
      <c r="C110">
        <v>1211999</v>
      </c>
      <c r="D110" t="s">
        <v>1798</v>
      </c>
      <c r="E110" s="140">
        <v>0</v>
      </c>
      <c r="F110" s="140">
        <v>0</v>
      </c>
      <c r="G110" s="140">
        <v>0</v>
      </c>
      <c r="H110" s="140">
        <v>0</v>
      </c>
      <c r="I110" s="140">
        <v>0</v>
      </c>
    </row>
    <row r="111" spans="1:9" s="184" customFormat="1" ht="15" customHeight="1" x14ac:dyDescent="0.3">
      <c r="A111" s="186" t="s">
        <v>983</v>
      </c>
      <c r="B111" t="s">
        <v>415</v>
      </c>
      <c r="C111">
        <v>1212</v>
      </c>
      <c r="D111" t="s">
        <v>1799</v>
      </c>
      <c r="E111" s="140">
        <v>0</v>
      </c>
      <c r="F111" s="140">
        <v>0</v>
      </c>
      <c r="G111" s="140">
        <v>0</v>
      </c>
      <c r="H111" s="140">
        <v>0</v>
      </c>
      <c r="I111" s="140">
        <v>0</v>
      </c>
    </row>
    <row r="112" spans="1:9" ht="15" customHeight="1" x14ac:dyDescent="0.3">
      <c r="A112" s="186" t="s">
        <v>984</v>
      </c>
      <c r="B112" t="s">
        <v>416</v>
      </c>
      <c r="C112">
        <v>12121</v>
      </c>
      <c r="D112" t="s">
        <v>1800</v>
      </c>
      <c r="E112" s="140">
        <v>0</v>
      </c>
      <c r="F112" s="140">
        <v>0</v>
      </c>
      <c r="G112" s="140">
        <v>0</v>
      </c>
      <c r="H112" s="140">
        <v>0</v>
      </c>
      <c r="I112" s="140">
        <v>0</v>
      </c>
    </row>
    <row r="113" spans="1:9" s="117" customFormat="1" ht="15" customHeight="1" x14ac:dyDescent="0.25">
      <c r="A113" s="186" t="s">
        <v>419</v>
      </c>
      <c r="B113" t="s">
        <v>417</v>
      </c>
      <c r="C113">
        <v>12122</v>
      </c>
      <c r="D113" t="s">
        <v>1801</v>
      </c>
      <c r="E113" s="140">
        <v>0</v>
      </c>
      <c r="F113" s="140">
        <v>0</v>
      </c>
      <c r="G113" s="140">
        <v>0</v>
      </c>
      <c r="H113" s="140">
        <v>0</v>
      </c>
      <c r="I113" s="140">
        <v>0</v>
      </c>
    </row>
    <row r="114" spans="1:9" s="117" customFormat="1" ht="15" customHeight="1" x14ac:dyDescent="0.25">
      <c r="A114" s="186" t="s">
        <v>420</v>
      </c>
      <c r="B114" t="s">
        <v>418</v>
      </c>
      <c r="C114">
        <v>12123</v>
      </c>
      <c r="D114" t="s">
        <v>1851</v>
      </c>
      <c r="E114" s="140">
        <v>0</v>
      </c>
      <c r="F114" s="140">
        <v>0</v>
      </c>
      <c r="G114" s="140">
        <v>0</v>
      </c>
      <c r="H114" s="140">
        <v>0</v>
      </c>
      <c r="I114" s="140">
        <v>0</v>
      </c>
    </row>
    <row r="115" spans="1:9" s="184" customFormat="1" ht="15" customHeight="1" x14ac:dyDescent="0.3">
      <c r="A115" s="191" t="s">
        <v>985</v>
      </c>
      <c r="B115" s="228" t="s">
        <v>983</v>
      </c>
      <c r="C115" s="228">
        <v>1213</v>
      </c>
      <c r="D115" s="228" t="s">
        <v>334</v>
      </c>
      <c r="E115" s="282">
        <v>164</v>
      </c>
      <c r="F115" s="282">
        <v>4</v>
      </c>
      <c r="G115" s="282">
        <v>0</v>
      </c>
      <c r="H115" s="282">
        <v>4</v>
      </c>
      <c r="I115" s="282">
        <v>168</v>
      </c>
    </row>
    <row r="116" spans="1:9" ht="15" customHeight="1" x14ac:dyDescent="0.3">
      <c r="A116" s="186" t="s">
        <v>986</v>
      </c>
      <c r="B116" t="s">
        <v>984</v>
      </c>
      <c r="C116">
        <v>12131</v>
      </c>
      <c r="D116" t="s">
        <v>115</v>
      </c>
      <c r="E116" s="140">
        <v>21</v>
      </c>
      <c r="F116" s="140">
        <v>1</v>
      </c>
      <c r="G116" s="140">
        <v>0</v>
      </c>
      <c r="H116" s="140">
        <v>1</v>
      </c>
      <c r="I116" s="140">
        <v>22</v>
      </c>
    </row>
    <row r="117" spans="1:9" s="117" customFormat="1" ht="15" customHeight="1" x14ac:dyDescent="0.25">
      <c r="A117" s="186" t="s">
        <v>421</v>
      </c>
      <c r="B117" t="s">
        <v>419</v>
      </c>
      <c r="C117">
        <v>12132</v>
      </c>
      <c r="D117" t="s">
        <v>1803</v>
      </c>
      <c r="E117" s="140">
        <v>0</v>
      </c>
      <c r="F117" s="140">
        <v>0</v>
      </c>
      <c r="G117" s="140">
        <v>0</v>
      </c>
      <c r="H117" s="140">
        <v>0</v>
      </c>
      <c r="I117" s="140">
        <v>0</v>
      </c>
    </row>
    <row r="118" spans="1:9" s="117" customFormat="1" ht="15" customHeight="1" x14ac:dyDescent="0.25">
      <c r="A118" s="186" t="s">
        <v>422</v>
      </c>
      <c r="B118" t="s">
        <v>420</v>
      </c>
      <c r="C118">
        <v>12133</v>
      </c>
      <c r="D118" t="s">
        <v>1804</v>
      </c>
      <c r="E118" s="140">
        <v>0</v>
      </c>
      <c r="F118" s="140">
        <v>0</v>
      </c>
      <c r="G118" s="140">
        <v>0</v>
      </c>
      <c r="H118" s="140">
        <v>0</v>
      </c>
      <c r="I118" s="140">
        <v>0</v>
      </c>
    </row>
    <row r="119" spans="1:9" s="117" customFormat="1" ht="15" customHeight="1" x14ac:dyDescent="0.25">
      <c r="A119" s="186" t="s">
        <v>423</v>
      </c>
      <c r="B119" t="s">
        <v>985</v>
      </c>
      <c r="C119">
        <v>12134</v>
      </c>
      <c r="D119" t="s">
        <v>116</v>
      </c>
      <c r="E119" s="140">
        <v>5</v>
      </c>
      <c r="F119" s="140">
        <v>0</v>
      </c>
      <c r="G119" s="140">
        <v>0</v>
      </c>
      <c r="H119" s="140">
        <v>0</v>
      </c>
      <c r="I119" s="140">
        <v>5</v>
      </c>
    </row>
    <row r="120" spans="1:9" s="117" customFormat="1" ht="15" customHeight="1" x14ac:dyDescent="0.25">
      <c r="A120" s="186" t="s">
        <v>424</v>
      </c>
      <c r="B120" t="s">
        <v>986</v>
      </c>
      <c r="C120">
        <v>12135</v>
      </c>
      <c r="D120" t="s">
        <v>117</v>
      </c>
      <c r="E120" s="140">
        <v>138</v>
      </c>
      <c r="F120" s="140">
        <v>4</v>
      </c>
      <c r="G120" s="140">
        <v>0</v>
      </c>
      <c r="H120" s="140">
        <v>4</v>
      </c>
      <c r="I120" s="140">
        <v>142</v>
      </c>
    </row>
    <row r="121" spans="1:9" s="117" customFormat="1" ht="15" customHeight="1" x14ac:dyDescent="0.25">
      <c r="A121" s="186" t="s">
        <v>425</v>
      </c>
      <c r="B121" t="s">
        <v>421</v>
      </c>
      <c r="C121">
        <v>12136</v>
      </c>
      <c r="D121" t="s">
        <v>1807</v>
      </c>
      <c r="E121" s="140">
        <v>0</v>
      </c>
      <c r="F121" s="140">
        <v>0</v>
      </c>
      <c r="G121" s="140">
        <v>0</v>
      </c>
      <c r="H121" s="140">
        <v>0</v>
      </c>
      <c r="I121" s="140">
        <v>0</v>
      </c>
    </row>
    <row r="122" spans="1:9" s="117" customFormat="1" ht="15" customHeight="1" x14ac:dyDescent="0.25">
      <c r="A122" s="186" t="s">
        <v>426</v>
      </c>
      <c r="B122" t="s">
        <v>422</v>
      </c>
      <c r="C122">
        <v>12137</v>
      </c>
      <c r="D122" t="s">
        <v>1808</v>
      </c>
      <c r="E122" s="140">
        <v>0</v>
      </c>
      <c r="F122" s="140">
        <v>0</v>
      </c>
      <c r="G122" s="140">
        <v>0</v>
      </c>
      <c r="H122" s="140">
        <v>0</v>
      </c>
      <c r="I122" s="140">
        <v>0</v>
      </c>
    </row>
    <row r="123" spans="1:9" s="117" customFormat="1" ht="15" customHeight="1" x14ac:dyDescent="0.25">
      <c r="A123" s="186" t="s">
        <v>427</v>
      </c>
      <c r="B123" t="s">
        <v>423</v>
      </c>
      <c r="C123">
        <v>12138</v>
      </c>
      <c r="D123" t="s">
        <v>1809</v>
      </c>
      <c r="E123" s="140">
        <v>0</v>
      </c>
      <c r="F123" s="140">
        <v>0</v>
      </c>
      <c r="G123" s="140">
        <v>0</v>
      </c>
      <c r="H123" s="140">
        <v>0</v>
      </c>
      <c r="I123" s="140">
        <v>0</v>
      </c>
    </row>
    <row r="124" spans="1:9" s="117" customFormat="1" ht="15" customHeight="1" x14ac:dyDescent="0.25">
      <c r="A124" s="186" t="s">
        <v>428</v>
      </c>
      <c r="B124" t="s">
        <v>424</v>
      </c>
      <c r="C124">
        <v>12139</v>
      </c>
      <c r="D124" t="s">
        <v>99</v>
      </c>
      <c r="E124" s="140">
        <v>0</v>
      </c>
      <c r="F124" s="140">
        <v>0</v>
      </c>
      <c r="G124" s="140">
        <v>0</v>
      </c>
      <c r="H124" s="140">
        <v>0</v>
      </c>
      <c r="I124" s="140">
        <v>0</v>
      </c>
    </row>
    <row r="125" spans="1:9" s="117" customFormat="1" ht="15" customHeight="1" x14ac:dyDescent="0.25">
      <c r="A125" s="186" t="s">
        <v>429</v>
      </c>
      <c r="B125" t="s">
        <v>425</v>
      </c>
      <c r="C125">
        <v>121310</v>
      </c>
      <c r="D125" t="s">
        <v>1852</v>
      </c>
      <c r="E125" s="140">
        <v>0</v>
      </c>
      <c r="F125" s="140">
        <v>0</v>
      </c>
      <c r="G125" s="140">
        <v>0</v>
      </c>
      <c r="H125" s="140">
        <v>0</v>
      </c>
      <c r="I125" s="140">
        <v>0</v>
      </c>
    </row>
    <row r="126" spans="1:9" s="117" customFormat="1" ht="15" customHeight="1" x14ac:dyDescent="0.25">
      <c r="A126" s="186" t="s">
        <v>430</v>
      </c>
      <c r="B126" t="s">
        <v>426</v>
      </c>
      <c r="C126">
        <v>1213999</v>
      </c>
      <c r="D126" t="s">
        <v>369</v>
      </c>
      <c r="E126" s="140">
        <v>0</v>
      </c>
      <c r="F126" s="140">
        <v>0</v>
      </c>
      <c r="G126" s="140">
        <v>0</v>
      </c>
      <c r="H126" s="140">
        <v>0</v>
      </c>
      <c r="I126" s="140">
        <v>0</v>
      </c>
    </row>
    <row r="127" spans="1:9" s="117" customFormat="1" ht="15" customHeight="1" x14ac:dyDescent="0.25">
      <c r="A127" s="186" t="s">
        <v>431</v>
      </c>
      <c r="B127" t="s">
        <v>427</v>
      </c>
      <c r="C127">
        <v>1214</v>
      </c>
      <c r="D127" t="s">
        <v>1834</v>
      </c>
      <c r="E127" s="140">
        <v>0</v>
      </c>
      <c r="F127" s="140">
        <v>0</v>
      </c>
      <c r="G127" s="140">
        <v>0</v>
      </c>
      <c r="H127" s="140">
        <v>0</v>
      </c>
      <c r="I127" s="140">
        <v>0</v>
      </c>
    </row>
    <row r="128" spans="1:9" s="117" customFormat="1" ht="15" customHeight="1" x14ac:dyDescent="0.25">
      <c r="A128" s="186" t="s">
        <v>432</v>
      </c>
      <c r="B128" t="s">
        <v>428</v>
      </c>
      <c r="C128">
        <v>12141</v>
      </c>
      <c r="D128" t="s">
        <v>1835</v>
      </c>
      <c r="E128" s="140">
        <v>0</v>
      </c>
      <c r="F128" s="140">
        <v>0</v>
      </c>
      <c r="G128" s="140">
        <v>0</v>
      </c>
      <c r="H128" s="140">
        <v>0</v>
      </c>
      <c r="I128" s="140">
        <v>0</v>
      </c>
    </row>
    <row r="129" spans="1:9" s="117" customFormat="1" ht="15" customHeight="1" x14ac:dyDescent="0.25">
      <c r="A129" s="186" t="s">
        <v>433</v>
      </c>
      <c r="B129" t="s">
        <v>429</v>
      </c>
      <c r="C129">
        <v>1215</v>
      </c>
      <c r="D129" t="s">
        <v>1853</v>
      </c>
      <c r="E129" s="140">
        <v>0</v>
      </c>
      <c r="F129" s="140">
        <v>0</v>
      </c>
      <c r="G129" s="140">
        <v>0</v>
      </c>
      <c r="H129" s="140">
        <v>0</v>
      </c>
      <c r="I129" s="140">
        <v>0</v>
      </c>
    </row>
    <row r="130" spans="1:9" s="117" customFormat="1" ht="15" customHeight="1" x14ac:dyDescent="0.25">
      <c r="A130" s="186" t="s">
        <v>434</v>
      </c>
      <c r="B130" t="s">
        <v>430</v>
      </c>
      <c r="C130">
        <v>12151</v>
      </c>
      <c r="D130" t="s">
        <v>1854</v>
      </c>
      <c r="E130" s="140">
        <v>0</v>
      </c>
      <c r="F130" s="140">
        <v>0</v>
      </c>
      <c r="G130" s="140">
        <v>0</v>
      </c>
      <c r="H130" s="140">
        <v>0</v>
      </c>
      <c r="I130" s="140">
        <v>0</v>
      </c>
    </row>
    <row r="131" spans="1:9" s="117" customFormat="1" ht="15" customHeight="1" x14ac:dyDescent="0.25">
      <c r="A131" s="186" t="s">
        <v>435</v>
      </c>
      <c r="B131" t="s">
        <v>431</v>
      </c>
      <c r="C131">
        <v>1216</v>
      </c>
      <c r="D131" t="s">
        <v>87</v>
      </c>
      <c r="E131" s="140">
        <v>281</v>
      </c>
      <c r="F131" s="140">
        <v>0</v>
      </c>
      <c r="G131" s="140">
        <v>-281</v>
      </c>
      <c r="H131" s="140">
        <v>-281</v>
      </c>
      <c r="I131" s="140">
        <v>0</v>
      </c>
    </row>
    <row r="132" spans="1:9" s="117" customFormat="1" ht="15" customHeight="1" x14ac:dyDescent="0.25">
      <c r="A132" s="186" t="s">
        <v>436</v>
      </c>
      <c r="B132" t="s">
        <v>432</v>
      </c>
      <c r="C132">
        <v>12161</v>
      </c>
      <c r="D132" t="s">
        <v>1855</v>
      </c>
      <c r="E132" s="140">
        <v>0</v>
      </c>
      <c r="F132" s="140">
        <v>0</v>
      </c>
      <c r="G132" s="140">
        <v>0</v>
      </c>
      <c r="H132" s="140">
        <v>0</v>
      </c>
      <c r="I132" s="140">
        <v>0</v>
      </c>
    </row>
    <row r="133" spans="1:9" ht="15" customHeight="1" x14ac:dyDescent="0.3">
      <c r="A133" s="186" t="s">
        <v>437</v>
      </c>
      <c r="B133" t="s">
        <v>433</v>
      </c>
      <c r="C133">
        <v>12162</v>
      </c>
      <c r="D133" t="s">
        <v>1856</v>
      </c>
      <c r="E133" s="140">
        <v>0</v>
      </c>
      <c r="F133" s="140">
        <v>0</v>
      </c>
      <c r="G133" s="140">
        <v>0</v>
      </c>
      <c r="H133" s="140">
        <v>0</v>
      </c>
      <c r="I133" s="140">
        <v>0</v>
      </c>
    </row>
    <row r="134" spans="1:9" ht="15" customHeight="1" x14ac:dyDescent="0.3">
      <c r="A134" s="186" t="s">
        <v>438</v>
      </c>
      <c r="B134" t="s">
        <v>434</v>
      </c>
      <c r="C134">
        <v>12163</v>
      </c>
      <c r="D134" t="s">
        <v>111</v>
      </c>
      <c r="E134" s="140">
        <v>0</v>
      </c>
      <c r="F134" s="140">
        <v>0</v>
      </c>
      <c r="G134" s="140">
        <v>0</v>
      </c>
      <c r="H134" s="140">
        <v>0</v>
      </c>
      <c r="I134" s="140">
        <v>0</v>
      </c>
    </row>
    <row r="135" spans="1:9" s="117" customFormat="1" ht="15" customHeight="1" x14ac:dyDescent="0.25">
      <c r="A135" s="186" t="s">
        <v>439</v>
      </c>
      <c r="B135" t="s">
        <v>435</v>
      </c>
      <c r="C135">
        <v>12164</v>
      </c>
      <c r="D135" t="s">
        <v>1857</v>
      </c>
      <c r="E135" s="140">
        <v>0</v>
      </c>
      <c r="F135" s="140">
        <v>0</v>
      </c>
      <c r="G135" s="140">
        <v>0</v>
      </c>
      <c r="H135" s="140">
        <v>0</v>
      </c>
      <c r="I135" s="140">
        <v>0</v>
      </c>
    </row>
    <row r="136" spans="1:9" ht="15" customHeight="1" x14ac:dyDescent="0.3">
      <c r="A136" s="186" t="s">
        <v>987</v>
      </c>
      <c r="B136" t="s">
        <v>1612</v>
      </c>
      <c r="C136">
        <v>12165</v>
      </c>
      <c r="D136" t="s">
        <v>112</v>
      </c>
      <c r="E136" s="140">
        <v>281</v>
      </c>
      <c r="F136" s="140">
        <v>0</v>
      </c>
      <c r="G136" s="140">
        <v>-281</v>
      </c>
      <c r="H136" s="140">
        <v>-281</v>
      </c>
      <c r="I136" s="140">
        <v>0</v>
      </c>
    </row>
    <row r="137" spans="1:9" ht="15" customHeight="1" x14ac:dyDescent="0.3">
      <c r="A137" s="186" t="s">
        <v>988</v>
      </c>
      <c r="B137" t="s">
        <v>436</v>
      </c>
      <c r="C137">
        <v>121699</v>
      </c>
      <c r="D137" t="s">
        <v>410</v>
      </c>
      <c r="E137" s="140">
        <v>0</v>
      </c>
      <c r="F137" s="140">
        <v>0</v>
      </c>
      <c r="G137" s="140">
        <v>0</v>
      </c>
      <c r="H137" s="140">
        <v>0</v>
      </c>
      <c r="I137" s="140">
        <v>0</v>
      </c>
    </row>
    <row r="138" spans="1:9" ht="15" customHeight="1" x14ac:dyDescent="0.3">
      <c r="A138" s="186" t="s">
        <v>989</v>
      </c>
      <c r="B138" t="s">
        <v>437</v>
      </c>
      <c r="C138">
        <v>1217</v>
      </c>
      <c r="D138" t="s">
        <v>118</v>
      </c>
      <c r="E138" s="140">
        <v>0</v>
      </c>
      <c r="F138" s="140">
        <v>0</v>
      </c>
      <c r="G138" s="140">
        <v>0</v>
      </c>
      <c r="H138" s="140">
        <v>0</v>
      </c>
      <c r="I138" s="140">
        <v>0</v>
      </c>
    </row>
    <row r="139" spans="1:9" ht="15" customHeight="1" x14ac:dyDescent="0.3">
      <c r="A139" s="186" t="s">
        <v>990</v>
      </c>
      <c r="B139" t="s">
        <v>438</v>
      </c>
      <c r="C139">
        <v>12171</v>
      </c>
      <c r="D139" t="s">
        <v>119</v>
      </c>
      <c r="E139" s="140">
        <v>0</v>
      </c>
      <c r="F139" s="140">
        <v>0</v>
      </c>
      <c r="G139" s="140">
        <v>0</v>
      </c>
      <c r="H139" s="140">
        <v>0</v>
      </c>
      <c r="I139" s="140">
        <v>0</v>
      </c>
    </row>
    <row r="140" spans="1:9" s="117" customFormat="1" ht="15" customHeight="1" x14ac:dyDescent="0.25">
      <c r="A140" s="186" t="s">
        <v>440</v>
      </c>
      <c r="B140" t="s">
        <v>439</v>
      </c>
      <c r="C140">
        <v>12172</v>
      </c>
      <c r="D140" t="s">
        <v>1839</v>
      </c>
      <c r="E140" s="140">
        <v>0</v>
      </c>
      <c r="F140" s="140">
        <v>0</v>
      </c>
      <c r="G140" s="140">
        <v>0</v>
      </c>
      <c r="H140" s="140">
        <v>0</v>
      </c>
      <c r="I140" s="140">
        <v>0</v>
      </c>
    </row>
    <row r="141" spans="1:9" s="185" customFormat="1" ht="15" customHeight="1" x14ac:dyDescent="0.25">
      <c r="A141" s="191" t="s">
        <v>441</v>
      </c>
      <c r="B141" s="228" t="s">
        <v>987</v>
      </c>
      <c r="C141" s="228">
        <v>1218</v>
      </c>
      <c r="D141" s="228" t="s">
        <v>297</v>
      </c>
      <c r="E141" s="282">
        <v>4399</v>
      </c>
      <c r="F141" s="282">
        <v>151</v>
      </c>
      <c r="G141" s="282">
        <v>-10</v>
      </c>
      <c r="H141" s="282">
        <v>141</v>
      </c>
      <c r="I141" s="282">
        <v>4540</v>
      </c>
    </row>
    <row r="142" spans="1:9" s="117" customFormat="1" ht="15" customHeight="1" x14ac:dyDescent="0.25">
      <c r="A142" s="186" t="s">
        <v>442</v>
      </c>
      <c r="B142" t="s">
        <v>988</v>
      </c>
      <c r="C142">
        <v>12181</v>
      </c>
      <c r="D142" t="s">
        <v>391</v>
      </c>
      <c r="E142" s="140">
        <v>3928</v>
      </c>
      <c r="F142" s="140">
        <v>79</v>
      </c>
      <c r="G142" s="140">
        <v>0</v>
      </c>
      <c r="H142" s="140">
        <v>79</v>
      </c>
      <c r="I142" s="140">
        <v>4007</v>
      </c>
    </row>
    <row r="143" spans="1:9" s="117" customFormat="1" ht="15" customHeight="1" x14ac:dyDescent="0.25">
      <c r="A143" s="186" t="s">
        <v>443</v>
      </c>
      <c r="B143" t="s">
        <v>989</v>
      </c>
      <c r="C143">
        <v>12182</v>
      </c>
      <c r="D143" t="s">
        <v>393</v>
      </c>
      <c r="E143" s="140">
        <v>309</v>
      </c>
      <c r="F143" s="140">
        <v>67</v>
      </c>
      <c r="G143" s="140">
        <v>-10</v>
      </c>
      <c r="H143" s="140">
        <v>57</v>
      </c>
      <c r="I143" s="140">
        <v>366</v>
      </c>
    </row>
    <row r="144" spans="1:9" s="117" customFormat="1" ht="15" customHeight="1" x14ac:dyDescent="0.25">
      <c r="A144" s="186" t="s">
        <v>444</v>
      </c>
      <c r="B144" t="s">
        <v>990</v>
      </c>
      <c r="C144">
        <v>12183</v>
      </c>
      <c r="D144" t="s">
        <v>120</v>
      </c>
      <c r="E144" s="140">
        <v>161</v>
      </c>
      <c r="F144" s="140">
        <v>5</v>
      </c>
      <c r="G144" s="140">
        <v>0</v>
      </c>
      <c r="H144" s="140">
        <v>5</v>
      </c>
      <c r="I144" s="140">
        <v>166</v>
      </c>
    </row>
    <row r="145" spans="1:9" s="117" customFormat="1" ht="15" customHeight="1" x14ac:dyDescent="0.25">
      <c r="A145" s="186" t="s">
        <v>445</v>
      </c>
      <c r="B145" t="s">
        <v>440</v>
      </c>
      <c r="C145">
        <v>12199</v>
      </c>
      <c r="D145" t="s">
        <v>108</v>
      </c>
      <c r="E145" s="140">
        <v>0</v>
      </c>
      <c r="F145" s="140">
        <v>0</v>
      </c>
      <c r="G145" s="140">
        <v>0</v>
      </c>
      <c r="H145" s="140">
        <v>0</v>
      </c>
      <c r="I145" s="140">
        <v>0</v>
      </c>
    </row>
    <row r="146" spans="1:9" s="117" customFormat="1" ht="15" customHeight="1" x14ac:dyDescent="0.25">
      <c r="A146" s="186" t="s">
        <v>446</v>
      </c>
      <c r="B146" t="s">
        <v>441</v>
      </c>
      <c r="C146">
        <v>121991</v>
      </c>
      <c r="D146" t="s">
        <v>1846</v>
      </c>
      <c r="E146" s="140">
        <v>0</v>
      </c>
      <c r="F146" s="140">
        <v>0</v>
      </c>
      <c r="G146" s="140">
        <v>0</v>
      </c>
      <c r="H146" s="140">
        <v>0</v>
      </c>
      <c r="I146" s="140">
        <v>0</v>
      </c>
    </row>
    <row r="147" spans="1:9" s="117" customFormat="1" ht="15" customHeight="1" x14ac:dyDescent="0.25">
      <c r="A147" s="186" t="s">
        <v>447</v>
      </c>
      <c r="B147" t="s">
        <v>442</v>
      </c>
      <c r="C147">
        <v>12199999</v>
      </c>
      <c r="D147" t="s">
        <v>109</v>
      </c>
      <c r="E147" s="140">
        <v>0</v>
      </c>
      <c r="F147" s="140">
        <v>0</v>
      </c>
      <c r="G147" s="140">
        <v>0</v>
      </c>
      <c r="H147" s="140">
        <v>0</v>
      </c>
      <c r="I147" s="140">
        <v>0</v>
      </c>
    </row>
    <row r="148" spans="1:9" s="117" customFormat="1" ht="15" customHeight="1" x14ac:dyDescent="0.25">
      <c r="A148" s="186" t="s">
        <v>448</v>
      </c>
      <c r="B148" t="s">
        <v>443</v>
      </c>
      <c r="C148">
        <v>122</v>
      </c>
      <c r="D148" t="s">
        <v>1858</v>
      </c>
      <c r="E148" s="140">
        <v>0</v>
      </c>
      <c r="F148" s="140">
        <v>0</v>
      </c>
      <c r="G148" s="140">
        <v>0</v>
      </c>
      <c r="H148" s="140">
        <v>0</v>
      </c>
      <c r="I148" s="140">
        <v>0</v>
      </c>
    </row>
    <row r="149" spans="1:9" s="117" customFormat="1" ht="15" customHeight="1" x14ac:dyDescent="0.25">
      <c r="A149" s="186" t="s">
        <v>449</v>
      </c>
      <c r="B149" t="s">
        <v>444</v>
      </c>
      <c r="C149">
        <v>1221</v>
      </c>
      <c r="D149" t="s">
        <v>1859</v>
      </c>
      <c r="E149" s="140">
        <v>0</v>
      </c>
      <c r="F149" s="140">
        <v>0</v>
      </c>
      <c r="G149" s="140">
        <v>0</v>
      </c>
      <c r="H149" s="140">
        <v>0</v>
      </c>
      <c r="I149" s="140">
        <v>0</v>
      </c>
    </row>
    <row r="150" spans="1:9" s="184" customFormat="1" ht="15" customHeight="1" x14ac:dyDescent="0.3">
      <c r="A150" s="191" t="s">
        <v>991</v>
      </c>
      <c r="B150" t="s">
        <v>445</v>
      </c>
      <c r="C150">
        <v>12211</v>
      </c>
      <c r="D150" t="s">
        <v>1860</v>
      </c>
      <c r="E150" s="140">
        <v>0</v>
      </c>
      <c r="F150" s="140">
        <v>0</v>
      </c>
      <c r="G150" s="140">
        <v>0</v>
      </c>
      <c r="H150" s="140">
        <v>0</v>
      </c>
      <c r="I150" s="140">
        <v>0</v>
      </c>
    </row>
    <row r="151" spans="1:9" ht="15" customHeight="1" x14ac:dyDescent="0.3">
      <c r="A151" s="186" t="s">
        <v>992</v>
      </c>
      <c r="B151" t="s">
        <v>446</v>
      </c>
      <c r="C151">
        <v>12212</v>
      </c>
      <c r="D151" t="s">
        <v>1861</v>
      </c>
      <c r="E151" s="140">
        <v>0</v>
      </c>
      <c r="F151" s="140">
        <v>0</v>
      </c>
      <c r="G151" s="140">
        <v>0</v>
      </c>
      <c r="H151" s="140">
        <v>0</v>
      </c>
      <c r="I151" s="140">
        <v>0</v>
      </c>
    </row>
    <row r="152" spans="1:9" s="117" customFormat="1" ht="15" customHeight="1" x14ac:dyDescent="0.25">
      <c r="A152" s="186" t="s">
        <v>450</v>
      </c>
      <c r="B152" t="s">
        <v>447</v>
      </c>
      <c r="C152">
        <v>1222</v>
      </c>
      <c r="D152" t="s">
        <v>1862</v>
      </c>
      <c r="E152" s="140">
        <v>0</v>
      </c>
      <c r="F152" s="140">
        <v>0</v>
      </c>
      <c r="G152" s="140">
        <v>0</v>
      </c>
      <c r="H152" s="140">
        <v>0</v>
      </c>
      <c r="I152" s="140">
        <v>0</v>
      </c>
    </row>
    <row r="153" spans="1:9" s="117" customFormat="1" ht="15" customHeight="1" x14ac:dyDescent="0.25">
      <c r="A153" s="186" t="s">
        <v>451</v>
      </c>
      <c r="B153" t="s">
        <v>448</v>
      </c>
      <c r="C153">
        <v>12221</v>
      </c>
      <c r="D153" t="s">
        <v>1863</v>
      </c>
      <c r="E153" s="140">
        <v>0</v>
      </c>
      <c r="F153" s="140">
        <v>0</v>
      </c>
      <c r="G153" s="140">
        <v>0</v>
      </c>
      <c r="H153" s="140">
        <v>0</v>
      </c>
      <c r="I153" s="140">
        <v>0</v>
      </c>
    </row>
    <row r="154" spans="1:9" ht="15" customHeight="1" x14ac:dyDescent="0.3">
      <c r="A154" s="186" t="s">
        <v>993</v>
      </c>
      <c r="B154" t="s">
        <v>449</v>
      </c>
      <c r="C154">
        <v>12222</v>
      </c>
      <c r="D154" t="s">
        <v>1864</v>
      </c>
      <c r="E154" s="140">
        <v>0</v>
      </c>
      <c r="F154" s="140">
        <v>0</v>
      </c>
      <c r="G154" s="140">
        <v>0</v>
      </c>
      <c r="H154" s="140">
        <v>0</v>
      </c>
      <c r="I154" s="140">
        <v>0</v>
      </c>
    </row>
    <row r="155" spans="1:9" s="184" customFormat="1" ht="15" customHeight="1" x14ac:dyDescent="0.3">
      <c r="A155" s="191" t="s">
        <v>994</v>
      </c>
      <c r="B155" s="228" t="s">
        <v>991</v>
      </c>
      <c r="C155" s="228">
        <v>123</v>
      </c>
      <c r="D155" s="228" t="s">
        <v>121</v>
      </c>
      <c r="E155" s="282">
        <v>6831</v>
      </c>
      <c r="F155" s="282">
        <v>46</v>
      </c>
      <c r="G155" s="282">
        <v>-428</v>
      </c>
      <c r="H155" s="282">
        <v>-381</v>
      </c>
      <c r="I155" s="282">
        <v>6449</v>
      </c>
    </row>
    <row r="156" spans="1:9" s="184" customFormat="1" ht="15" customHeight="1" x14ac:dyDescent="0.3">
      <c r="A156" s="191" t="s">
        <v>995</v>
      </c>
      <c r="B156" s="228" t="s">
        <v>992</v>
      </c>
      <c r="C156" s="228">
        <v>1231</v>
      </c>
      <c r="D156" s="228" t="s">
        <v>122</v>
      </c>
      <c r="E156" s="282">
        <v>16840</v>
      </c>
      <c r="F156" s="282">
        <v>46</v>
      </c>
      <c r="G156" s="282">
        <v>0</v>
      </c>
      <c r="H156" s="282">
        <v>46</v>
      </c>
      <c r="I156" s="282">
        <v>16886</v>
      </c>
    </row>
    <row r="157" spans="1:9" ht="15" customHeight="1" x14ac:dyDescent="0.3">
      <c r="A157" s="186" t="s">
        <v>996</v>
      </c>
      <c r="B157" t="s">
        <v>450</v>
      </c>
      <c r="C157">
        <v>12311</v>
      </c>
      <c r="D157" t="s">
        <v>1864</v>
      </c>
      <c r="E157" s="140">
        <v>0</v>
      </c>
      <c r="F157" s="140">
        <v>0</v>
      </c>
      <c r="G157" s="140">
        <v>0</v>
      </c>
      <c r="H157" s="140">
        <v>0</v>
      </c>
      <c r="I157" s="140">
        <v>0</v>
      </c>
    </row>
    <row r="158" spans="1:9" s="117" customFormat="1" ht="15" customHeight="1" x14ac:dyDescent="0.25">
      <c r="A158" s="186" t="s">
        <v>452</v>
      </c>
      <c r="B158" t="s">
        <v>451</v>
      </c>
      <c r="C158">
        <v>12312</v>
      </c>
      <c r="D158" t="s">
        <v>1865</v>
      </c>
      <c r="E158" s="140">
        <v>0</v>
      </c>
      <c r="F158" s="140">
        <v>0</v>
      </c>
      <c r="G158" s="140">
        <v>0</v>
      </c>
      <c r="H158" s="140">
        <v>0</v>
      </c>
      <c r="I158" s="140">
        <v>0</v>
      </c>
    </row>
    <row r="159" spans="1:9" s="117" customFormat="1" ht="15" customHeight="1" x14ac:dyDescent="0.25">
      <c r="A159" s="186" t="s">
        <v>453</v>
      </c>
      <c r="B159" t="s">
        <v>993</v>
      </c>
      <c r="C159">
        <v>12313</v>
      </c>
      <c r="D159" t="s">
        <v>123</v>
      </c>
      <c r="E159" s="140">
        <v>2400</v>
      </c>
      <c r="F159" s="140">
        <v>0</v>
      </c>
      <c r="G159" s="140">
        <v>0</v>
      </c>
      <c r="H159" s="140">
        <v>0</v>
      </c>
      <c r="I159" s="140">
        <v>2400</v>
      </c>
    </row>
    <row r="160" spans="1:9" s="117" customFormat="1" ht="15" customHeight="1" x14ac:dyDescent="0.25">
      <c r="A160" s="186" t="s">
        <v>454</v>
      </c>
      <c r="B160" t="s">
        <v>994</v>
      </c>
      <c r="C160">
        <v>12314</v>
      </c>
      <c r="D160" t="s">
        <v>124</v>
      </c>
      <c r="E160" s="140">
        <v>792</v>
      </c>
      <c r="F160" s="140">
        <v>0</v>
      </c>
      <c r="G160" s="140">
        <v>0</v>
      </c>
      <c r="H160" s="140">
        <v>0</v>
      </c>
      <c r="I160" s="140">
        <v>792</v>
      </c>
    </row>
    <row r="161" spans="1:9" s="117" customFormat="1" ht="15" customHeight="1" x14ac:dyDescent="0.25">
      <c r="A161" s="186" t="s">
        <v>455</v>
      </c>
      <c r="B161" t="s">
        <v>995</v>
      </c>
      <c r="C161">
        <v>12315</v>
      </c>
      <c r="D161" t="s">
        <v>125</v>
      </c>
      <c r="E161" s="140">
        <v>11462</v>
      </c>
      <c r="F161" s="140">
        <v>30</v>
      </c>
      <c r="G161" s="140">
        <v>0</v>
      </c>
      <c r="H161" s="140">
        <v>30</v>
      </c>
      <c r="I161" s="140">
        <v>11492</v>
      </c>
    </row>
    <row r="162" spans="1:9" s="117" customFormat="1" ht="15" customHeight="1" x14ac:dyDescent="0.25">
      <c r="A162" s="186" t="s">
        <v>456</v>
      </c>
      <c r="B162" t="s">
        <v>996</v>
      </c>
      <c r="C162">
        <v>12317</v>
      </c>
      <c r="D162" t="s">
        <v>126</v>
      </c>
      <c r="E162" s="140">
        <v>2186</v>
      </c>
      <c r="F162" s="140">
        <v>16</v>
      </c>
      <c r="G162" s="140">
        <v>0</v>
      </c>
      <c r="H162" s="140">
        <v>16</v>
      </c>
      <c r="I162" s="140">
        <v>2202</v>
      </c>
    </row>
    <row r="163" spans="1:9" s="117" customFormat="1" ht="15" customHeight="1" x14ac:dyDescent="0.25">
      <c r="A163" s="186" t="s">
        <v>457</v>
      </c>
      <c r="B163" t="s">
        <v>452</v>
      </c>
      <c r="C163">
        <v>12318</v>
      </c>
      <c r="D163" t="s">
        <v>1866</v>
      </c>
      <c r="E163" s="140">
        <v>0</v>
      </c>
      <c r="F163" s="140">
        <v>0</v>
      </c>
      <c r="G163" s="140">
        <v>0</v>
      </c>
      <c r="H163" s="140">
        <v>0</v>
      </c>
      <c r="I163" s="140">
        <v>0</v>
      </c>
    </row>
    <row r="164" spans="1:9" ht="15" customHeight="1" x14ac:dyDescent="0.3">
      <c r="A164" s="186" t="s">
        <v>997</v>
      </c>
      <c r="B164" t="s">
        <v>453</v>
      </c>
      <c r="C164">
        <v>12319</v>
      </c>
      <c r="D164" t="s">
        <v>1867</v>
      </c>
      <c r="E164" s="140">
        <v>0</v>
      </c>
      <c r="F164" s="140">
        <v>0</v>
      </c>
      <c r="G164" s="140">
        <v>0</v>
      </c>
      <c r="H164" s="140">
        <v>0</v>
      </c>
      <c r="I164" s="140">
        <v>0</v>
      </c>
    </row>
    <row r="165" spans="1:9" s="117" customFormat="1" ht="15" customHeight="1" x14ac:dyDescent="0.25">
      <c r="A165" s="186" t="s">
        <v>459</v>
      </c>
      <c r="B165" t="s">
        <v>454</v>
      </c>
      <c r="C165">
        <v>123111</v>
      </c>
      <c r="D165" t="s">
        <v>1868</v>
      </c>
      <c r="E165" s="140">
        <v>0</v>
      </c>
      <c r="F165" s="140">
        <v>0</v>
      </c>
      <c r="G165" s="140">
        <v>0</v>
      </c>
      <c r="H165" s="140">
        <v>0</v>
      </c>
      <c r="I165" s="140">
        <v>0</v>
      </c>
    </row>
    <row r="166" spans="1:9" ht="15" customHeight="1" x14ac:dyDescent="0.3">
      <c r="A166" s="186" t="s">
        <v>998</v>
      </c>
      <c r="B166" t="s">
        <v>455</v>
      </c>
      <c r="C166">
        <v>123112</v>
      </c>
      <c r="D166" t="s">
        <v>1869</v>
      </c>
      <c r="E166" s="140">
        <v>0</v>
      </c>
      <c r="F166" s="140">
        <v>0</v>
      </c>
      <c r="G166" s="140">
        <v>0</v>
      </c>
      <c r="H166" s="140">
        <v>0</v>
      </c>
      <c r="I166" s="140">
        <v>0</v>
      </c>
    </row>
    <row r="167" spans="1:9" ht="15" customHeight="1" x14ac:dyDescent="0.3">
      <c r="A167" s="186" t="s">
        <v>999</v>
      </c>
      <c r="B167" t="s">
        <v>456</v>
      </c>
      <c r="C167">
        <v>12397</v>
      </c>
      <c r="D167" t="s">
        <v>1870</v>
      </c>
      <c r="E167" s="140">
        <v>0</v>
      </c>
      <c r="F167" s="140">
        <v>0</v>
      </c>
      <c r="G167" s="140">
        <v>0</v>
      </c>
      <c r="H167" s="140">
        <v>0</v>
      </c>
      <c r="I167" s="140">
        <v>0</v>
      </c>
    </row>
    <row r="168" spans="1:9" ht="15" customHeight="1" x14ac:dyDescent="0.3">
      <c r="A168" s="186" t="s">
        <v>1000</v>
      </c>
      <c r="B168" t="s">
        <v>457</v>
      </c>
      <c r="C168">
        <v>123971</v>
      </c>
      <c r="D168" t="s">
        <v>1870</v>
      </c>
      <c r="E168" s="140">
        <v>0</v>
      </c>
      <c r="F168" s="140">
        <v>0</v>
      </c>
      <c r="G168" s="140">
        <v>0</v>
      </c>
      <c r="H168" s="140">
        <v>0</v>
      </c>
      <c r="I168" s="140">
        <v>0</v>
      </c>
    </row>
    <row r="169" spans="1:9" s="185" customFormat="1" ht="15" customHeight="1" x14ac:dyDescent="0.25">
      <c r="A169" s="191" t="s">
        <v>460</v>
      </c>
      <c r="B169" s="228" t="s">
        <v>997</v>
      </c>
      <c r="C169" s="228">
        <v>12398</v>
      </c>
      <c r="D169" s="228" t="s">
        <v>458</v>
      </c>
      <c r="E169" s="282">
        <v>-10009</v>
      </c>
      <c r="F169" s="282">
        <v>0</v>
      </c>
      <c r="G169" s="282">
        <v>-428</v>
      </c>
      <c r="H169" s="282">
        <v>-428</v>
      </c>
      <c r="I169" s="282">
        <v>-10437</v>
      </c>
    </row>
    <row r="170" spans="1:9" ht="15" customHeight="1" x14ac:dyDescent="0.3">
      <c r="A170" s="186" t="s">
        <v>1001</v>
      </c>
      <c r="B170" t="s">
        <v>459</v>
      </c>
      <c r="C170">
        <v>123981</v>
      </c>
      <c r="D170" t="s">
        <v>1871</v>
      </c>
      <c r="E170" s="140">
        <v>0</v>
      </c>
      <c r="F170" s="140">
        <v>0</v>
      </c>
      <c r="G170" s="140">
        <v>0</v>
      </c>
      <c r="H170" s="140">
        <v>0</v>
      </c>
      <c r="I170" s="140">
        <v>0</v>
      </c>
    </row>
    <row r="171" spans="1:9" s="117" customFormat="1" ht="15" customHeight="1" x14ac:dyDescent="0.25">
      <c r="A171" s="186" t="s">
        <v>461</v>
      </c>
      <c r="B171" t="s">
        <v>998</v>
      </c>
      <c r="C171">
        <v>123982</v>
      </c>
      <c r="D171" t="s">
        <v>127</v>
      </c>
      <c r="E171" s="140">
        <v>-479</v>
      </c>
      <c r="F171" s="140">
        <v>0</v>
      </c>
      <c r="G171" s="140">
        <v>-60</v>
      </c>
      <c r="H171" s="140">
        <v>-60</v>
      </c>
      <c r="I171" s="140">
        <v>-539</v>
      </c>
    </row>
    <row r="172" spans="1:9" s="117" customFormat="1" ht="15" customHeight="1" x14ac:dyDescent="0.25">
      <c r="A172" s="186" t="s">
        <v>462</v>
      </c>
      <c r="B172" t="s">
        <v>999</v>
      </c>
      <c r="C172">
        <v>123983</v>
      </c>
      <c r="D172" t="s">
        <v>128</v>
      </c>
      <c r="E172" s="140">
        <v>-715</v>
      </c>
      <c r="F172" s="140">
        <v>0</v>
      </c>
      <c r="G172" s="140">
        <v>-5</v>
      </c>
      <c r="H172" s="140">
        <v>-5</v>
      </c>
      <c r="I172" s="140">
        <v>-721</v>
      </c>
    </row>
    <row r="173" spans="1:9" s="117" customFormat="1" ht="15" customHeight="1" x14ac:dyDescent="0.25">
      <c r="A173" s="186" t="s">
        <v>463</v>
      </c>
      <c r="B173" t="s">
        <v>1000</v>
      </c>
      <c r="C173">
        <v>123984</v>
      </c>
      <c r="D173" t="s">
        <v>129</v>
      </c>
      <c r="E173" s="140">
        <v>-6818</v>
      </c>
      <c r="F173" s="140">
        <v>0</v>
      </c>
      <c r="G173" s="140">
        <v>-353</v>
      </c>
      <c r="H173" s="140">
        <v>-353</v>
      </c>
      <c r="I173" s="140">
        <v>-7171</v>
      </c>
    </row>
    <row r="174" spans="1:9" s="184" customFormat="1" ht="15" customHeight="1" x14ac:dyDescent="0.3">
      <c r="A174" s="191" t="s">
        <v>1002</v>
      </c>
      <c r="B174" t="s">
        <v>460</v>
      </c>
      <c r="C174">
        <v>123985</v>
      </c>
      <c r="D174" t="s">
        <v>1872</v>
      </c>
      <c r="E174" s="140">
        <v>0</v>
      </c>
      <c r="F174" s="140">
        <v>0</v>
      </c>
      <c r="G174" s="140">
        <v>0</v>
      </c>
      <c r="H174" s="140">
        <v>0</v>
      </c>
      <c r="I174" s="140">
        <v>0</v>
      </c>
    </row>
    <row r="175" spans="1:9" ht="15" customHeight="1" x14ac:dyDescent="0.3">
      <c r="A175" s="186" t="s">
        <v>1003</v>
      </c>
      <c r="B175" t="s">
        <v>1001</v>
      </c>
      <c r="C175">
        <v>123986</v>
      </c>
      <c r="D175" t="s">
        <v>130</v>
      </c>
      <c r="E175" s="140">
        <v>-1996</v>
      </c>
      <c r="F175" s="140">
        <v>0</v>
      </c>
      <c r="G175" s="140">
        <v>-10</v>
      </c>
      <c r="H175" s="140">
        <v>-10</v>
      </c>
      <c r="I175" s="140">
        <v>-2006</v>
      </c>
    </row>
    <row r="176" spans="1:9" ht="15" customHeight="1" x14ac:dyDescent="0.3">
      <c r="A176" s="186" t="s">
        <v>1004</v>
      </c>
      <c r="B176" t="s">
        <v>461</v>
      </c>
      <c r="C176">
        <v>123987</v>
      </c>
      <c r="D176" t="s">
        <v>1873</v>
      </c>
      <c r="E176" s="140">
        <v>0</v>
      </c>
      <c r="F176" s="140">
        <v>0</v>
      </c>
      <c r="G176" s="140">
        <v>0</v>
      </c>
      <c r="H176" s="140">
        <v>0</v>
      </c>
      <c r="I176" s="140">
        <v>0</v>
      </c>
    </row>
    <row r="177" spans="1:9" s="117" customFormat="1" ht="15" customHeight="1" x14ac:dyDescent="0.25">
      <c r="A177" s="186" t="s">
        <v>464</v>
      </c>
      <c r="B177" t="s">
        <v>462</v>
      </c>
      <c r="C177">
        <v>123988</v>
      </c>
      <c r="D177" t="s">
        <v>1874</v>
      </c>
      <c r="E177" s="140">
        <v>0</v>
      </c>
      <c r="F177" s="140">
        <v>0</v>
      </c>
      <c r="G177" s="140">
        <v>0</v>
      </c>
      <c r="H177" s="140">
        <v>0</v>
      </c>
      <c r="I177" s="140">
        <v>0</v>
      </c>
    </row>
    <row r="178" spans="1:9" s="117" customFormat="1" ht="15" customHeight="1" x14ac:dyDescent="0.25">
      <c r="A178" s="186" t="s">
        <v>465</v>
      </c>
      <c r="B178" t="s">
        <v>463</v>
      </c>
      <c r="C178">
        <v>1239810</v>
      </c>
      <c r="D178" t="s">
        <v>1875</v>
      </c>
      <c r="E178" s="140">
        <v>0</v>
      </c>
      <c r="F178" s="140">
        <v>0</v>
      </c>
      <c r="G178" s="140">
        <v>0</v>
      </c>
      <c r="H178" s="140">
        <v>0</v>
      </c>
      <c r="I178" s="140">
        <v>0</v>
      </c>
    </row>
    <row r="179" spans="1:9" s="185" customFormat="1" ht="15" customHeight="1" x14ac:dyDescent="0.25">
      <c r="A179" s="191" t="s">
        <v>466</v>
      </c>
      <c r="B179" s="228" t="s">
        <v>1002</v>
      </c>
      <c r="C179" s="228">
        <v>124</v>
      </c>
      <c r="D179" s="228" t="s">
        <v>131</v>
      </c>
      <c r="E179" s="282">
        <v>4179</v>
      </c>
      <c r="F179" s="282">
        <v>0</v>
      </c>
      <c r="G179" s="282">
        <v>-379</v>
      </c>
      <c r="H179" s="282">
        <v>-379</v>
      </c>
      <c r="I179" s="282">
        <v>3800</v>
      </c>
    </row>
    <row r="180" spans="1:9" s="184" customFormat="1" ht="15" customHeight="1" x14ac:dyDescent="0.3">
      <c r="A180" s="191" t="s">
        <v>1005</v>
      </c>
      <c r="B180" s="228" t="s">
        <v>1003</v>
      </c>
      <c r="C180" s="228">
        <v>1241</v>
      </c>
      <c r="D180" s="228" t="s">
        <v>132</v>
      </c>
      <c r="E180" s="282">
        <v>12791</v>
      </c>
      <c r="F180" s="282">
        <v>0</v>
      </c>
      <c r="G180" s="282">
        <v>0</v>
      </c>
      <c r="H180" s="282">
        <v>0</v>
      </c>
      <c r="I180" s="282">
        <v>12791</v>
      </c>
    </row>
    <row r="181" spans="1:9" ht="15" customHeight="1" x14ac:dyDescent="0.3">
      <c r="A181" s="186" t="s">
        <v>1006</v>
      </c>
      <c r="B181" t="s">
        <v>1004</v>
      </c>
      <c r="C181">
        <v>124101</v>
      </c>
      <c r="D181" t="s">
        <v>132</v>
      </c>
      <c r="E181" s="140">
        <v>12791</v>
      </c>
      <c r="F181" s="140">
        <v>0</v>
      </c>
      <c r="G181" s="140">
        <v>0</v>
      </c>
      <c r="H181" s="140">
        <v>0</v>
      </c>
      <c r="I181" s="140">
        <v>12791</v>
      </c>
    </row>
    <row r="182" spans="1:9" s="117" customFormat="1" ht="15" customHeight="1" x14ac:dyDescent="0.25">
      <c r="A182" s="186" t="s">
        <v>467</v>
      </c>
      <c r="B182" t="s">
        <v>464</v>
      </c>
      <c r="C182">
        <v>123110</v>
      </c>
      <c r="D182" t="s">
        <v>1876</v>
      </c>
      <c r="E182" s="140">
        <v>0</v>
      </c>
      <c r="F182" s="140">
        <v>0</v>
      </c>
      <c r="G182" s="140">
        <v>0</v>
      </c>
      <c r="H182" s="140">
        <v>0</v>
      </c>
      <c r="I182" s="140">
        <v>0</v>
      </c>
    </row>
    <row r="183" spans="1:9" s="184" customFormat="1" ht="15" customHeight="1" x14ac:dyDescent="0.3">
      <c r="A183" s="191">
        <v>2</v>
      </c>
      <c r="B183" t="s">
        <v>465</v>
      </c>
      <c r="C183">
        <v>12497</v>
      </c>
      <c r="D183" t="s">
        <v>1877</v>
      </c>
      <c r="E183" s="140">
        <v>0</v>
      </c>
      <c r="F183" s="140">
        <v>0</v>
      </c>
      <c r="G183" s="140">
        <v>0</v>
      </c>
      <c r="H183" s="140">
        <v>0</v>
      </c>
      <c r="I183" s="140">
        <v>0</v>
      </c>
    </row>
    <row r="184" spans="1:9" ht="15" customHeight="1" x14ac:dyDescent="0.3">
      <c r="A184" s="186" t="s">
        <v>1007</v>
      </c>
      <c r="B184" t="s">
        <v>466</v>
      </c>
      <c r="C184">
        <v>124971</v>
      </c>
      <c r="D184" t="s">
        <v>1877</v>
      </c>
      <c r="E184" s="140">
        <v>0</v>
      </c>
      <c r="F184" s="140">
        <v>0</v>
      </c>
      <c r="G184" s="140">
        <v>0</v>
      </c>
      <c r="H184" s="140">
        <v>0</v>
      </c>
      <c r="I184" s="140">
        <v>0</v>
      </c>
    </row>
    <row r="185" spans="1:9" s="184" customFormat="1" ht="15" customHeight="1" x14ac:dyDescent="0.3">
      <c r="A185" s="191" t="s">
        <v>1008</v>
      </c>
      <c r="B185" s="228" t="s">
        <v>1005</v>
      </c>
      <c r="C185" s="228">
        <v>12498</v>
      </c>
      <c r="D185" s="228" t="s">
        <v>133</v>
      </c>
      <c r="E185" s="282">
        <v>-8612</v>
      </c>
      <c r="F185" s="282">
        <v>0</v>
      </c>
      <c r="G185" s="282">
        <v>-379</v>
      </c>
      <c r="H185" s="282">
        <v>-379</v>
      </c>
      <c r="I185" s="282">
        <v>-8991</v>
      </c>
    </row>
    <row r="186" spans="1:9" s="117" customFormat="1" ht="15" customHeight="1" x14ac:dyDescent="0.25">
      <c r="A186" s="186" t="s">
        <v>468</v>
      </c>
      <c r="B186" t="s">
        <v>1006</v>
      </c>
      <c r="C186">
        <v>1242</v>
      </c>
      <c r="D186" t="s">
        <v>134</v>
      </c>
      <c r="E186" s="140">
        <v>-8612</v>
      </c>
      <c r="F186" s="140">
        <v>0</v>
      </c>
      <c r="G186" s="140">
        <v>-379</v>
      </c>
      <c r="H186" s="140">
        <v>-379</v>
      </c>
      <c r="I186" s="140">
        <v>-8991</v>
      </c>
    </row>
    <row r="187" spans="1:9" s="117" customFormat="1" ht="15" customHeight="1" x14ac:dyDescent="0.25">
      <c r="A187" s="186" t="s">
        <v>469</v>
      </c>
      <c r="B187" t="s">
        <v>467</v>
      </c>
      <c r="C187">
        <v>123989</v>
      </c>
      <c r="D187" t="s">
        <v>1878</v>
      </c>
      <c r="E187" s="140">
        <v>0</v>
      </c>
      <c r="F187" s="140">
        <v>0</v>
      </c>
      <c r="G187" s="140">
        <v>0</v>
      </c>
      <c r="H187" s="140">
        <v>0</v>
      </c>
      <c r="I187" s="140">
        <v>0</v>
      </c>
    </row>
    <row r="188" spans="1:9" s="185" customFormat="1" ht="15" customHeight="1" x14ac:dyDescent="0.25">
      <c r="A188" s="191" t="s">
        <v>470</v>
      </c>
      <c r="B188" s="228">
        <v>2</v>
      </c>
      <c r="C188" s="228">
        <v>2</v>
      </c>
      <c r="D188" s="228" t="s">
        <v>135</v>
      </c>
      <c r="E188" s="282">
        <v>-51373</v>
      </c>
      <c r="F188" s="282">
        <v>45900</v>
      </c>
      <c r="G188" s="282">
        <v>-50381</v>
      </c>
      <c r="H188" s="282">
        <v>-4480</v>
      </c>
      <c r="I188" s="282">
        <v>-55854</v>
      </c>
    </row>
    <row r="189" spans="1:9" s="185" customFormat="1" ht="15" customHeight="1" x14ac:dyDescent="0.25">
      <c r="A189" s="191" t="s">
        <v>471</v>
      </c>
      <c r="B189" s="228" t="s">
        <v>1007</v>
      </c>
      <c r="C189" s="228">
        <v>21</v>
      </c>
      <c r="D189" s="228" t="s">
        <v>4</v>
      </c>
      <c r="E189" s="282">
        <v>-19125</v>
      </c>
      <c r="F189" s="282">
        <v>42545</v>
      </c>
      <c r="G189" s="282">
        <v>-40563</v>
      </c>
      <c r="H189" s="282">
        <v>1982</v>
      </c>
      <c r="I189" s="282">
        <v>-17142</v>
      </c>
    </row>
    <row r="190" spans="1:9" s="185" customFormat="1" ht="15" customHeight="1" x14ac:dyDescent="0.25">
      <c r="A190" s="191" t="s">
        <v>472</v>
      </c>
      <c r="B190" s="228" t="s">
        <v>1008</v>
      </c>
      <c r="C190" s="228">
        <v>211</v>
      </c>
      <c r="D190" s="228" t="s">
        <v>136</v>
      </c>
      <c r="E190" s="282">
        <v>-19125</v>
      </c>
      <c r="F190" s="282">
        <v>42545</v>
      </c>
      <c r="G190" s="282">
        <v>-40563</v>
      </c>
      <c r="H190" s="282">
        <v>1982</v>
      </c>
      <c r="I190" s="282">
        <v>-17142</v>
      </c>
    </row>
    <row r="191" spans="1:9" s="117" customFormat="1" ht="15" customHeight="1" x14ac:dyDescent="0.25">
      <c r="A191" s="186" t="s">
        <v>473</v>
      </c>
      <c r="B191" t="s">
        <v>468</v>
      </c>
      <c r="C191">
        <v>2111</v>
      </c>
      <c r="D191" t="s">
        <v>1879</v>
      </c>
      <c r="E191" s="140">
        <v>0</v>
      </c>
      <c r="F191" s="140">
        <v>0</v>
      </c>
      <c r="G191" s="140">
        <v>0</v>
      </c>
      <c r="H191" s="140">
        <v>0</v>
      </c>
      <c r="I191" s="140">
        <v>0</v>
      </c>
    </row>
    <row r="192" spans="1:9" s="184" customFormat="1" ht="15" customHeight="1" x14ac:dyDescent="0.3">
      <c r="A192" s="186" t="s">
        <v>1009</v>
      </c>
      <c r="B192" t="s">
        <v>469</v>
      </c>
      <c r="C192">
        <v>21111</v>
      </c>
      <c r="D192" t="s">
        <v>1880</v>
      </c>
      <c r="E192" s="140">
        <v>0</v>
      </c>
      <c r="F192" s="140">
        <v>0</v>
      </c>
      <c r="G192" s="140">
        <v>0</v>
      </c>
      <c r="H192" s="140">
        <v>0</v>
      </c>
      <c r="I192" s="140">
        <v>0</v>
      </c>
    </row>
    <row r="193" spans="1:9" ht="15" customHeight="1" x14ac:dyDescent="0.3">
      <c r="A193" s="186" t="s">
        <v>1010</v>
      </c>
      <c r="B193" t="s">
        <v>470</v>
      </c>
      <c r="C193">
        <v>21112</v>
      </c>
      <c r="D193" t="s">
        <v>1881</v>
      </c>
      <c r="E193" s="140">
        <v>0</v>
      </c>
      <c r="F193" s="140">
        <v>0</v>
      </c>
      <c r="G193" s="140">
        <v>0</v>
      </c>
      <c r="H193" s="140">
        <v>0</v>
      </c>
      <c r="I193" s="140">
        <v>0</v>
      </c>
    </row>
    <row r="194" spans="1:9" s="117" customFormat="1" ht="15" customHeight="1" x14ac:dyDescent="0.25">
      <c r="A194" s="186" t="s">
        <v>475</v>
      </c>
      <c r="B194" t="s">
        <v>471</v>
      </c>
      <c r="C194">
        <v>2113</v>
      </c>
      <c r="D194" t="s">
        <v>1882</v>
      </c>
      <c r="E194" s="140">
        <v>0</v>
      </c>
      <c r="F194" s="140">
        <v>0</v>
      </c>
      <c r="G194" s="140">
        <v>0</v>
      </c>
      <c r="H194" s="140">
        <v>0</v>
      </c>
      <c r="I194" s="140">
        <v>0</v>
      </c>
    </row>
    <row r="195" spans="1:9" s="117" customFormat="1" ht="15" customHeight="1" x14ac:dyDescent="0.25">
      <c r="A195" s="186" t="s">
        <v>476</v>
      </c>
      <c r="B195" t="s">
        <v>472</v>
      </c>
      <c r="C195">
        <v>21131</v>
      </c>
      <c r="D195" t="s">
        <v>1883</v>
      </c>
      <c r="E195" s="140">
        <v>0</v>
      </c>
      <c r="F195" s="140">
        <v>0</v>
      </c>
      <c r="G195" s="140">
        <v>0</v>
      </c>
      <c r="H195" s="140">
        <v>0</v>
      </c>
      <c r="I195" s="140">
        <v>0</v>
      </c>
    </row>
    <row r="196" spans="1:9" s="117" customFormat="1" ht="15" customHeight="1" x14ac:dyDescent="0.25">
      <c r="A196" s="186" t="s">
        <v>478</v>
      </c>
      <c r="B196" t="s">
        <v>473</v>
      </c>
      <c r="C196">
        <v>21132</v>
      </c>
      <c r="D196" t="s">
        <v>1884</v>
      </c>
      <c r="E196" s="140">
        <v>0</v>
      </c>
      <c r="F196" s="140">
        <v>0</v>
      </c>
      <c r="G196" s="140">
        <v>0</v>
      </c>
      <c r="H196" s="140">
        <v>0</v>
      </c>
      <c r="I196" s="140">
        <v>0</v>
      </c>
    </row>
    <row r="197" spans="1:9" s="185" customFormat="1" ht="15" customHeight="1" x14ac:dyDescent="0.25">
      <c r="A197" s="191" t="s">
        <v>479</v>
      </c>
      <c r="B197" s="228" t="s">
        <v>1009</v>
      </c>
      <c r="C197" s="228">
        <v>2114</v>
      </c>
      <c r="D197" s="228" t="s">
        <v>137</v>
      </c>
      <c r="E197" s="282">
        <v>-306</v>
      </c>
      <c r="F197" s="282">
        <v>8140</v>
      </c>
      <c r="G197" s="282">
        <v>-8390</v>
      </c>
      <c r="H197" s="282">
        <v>-249</v>
      </c>
      <c r="I197" s="282">
        <v>-555</v>
      </c>
    </row>
    <row r="198" spans="1:9" s="117" customFormat="1" ht="15" customHeight="1" x14ac:dyDescent="0.25">
      <c r="A198" s="186" t="s">
        <v>480</v>
      </c>
      <c r="B198" t="s">
        <v>1010</v>
      </c>
      <c r="C198" s="261">
        <v>60444400000000</v>
      </c>
      <c r="D198" t="s">
        <v>474</v>
      </c>
      <c r="E198" s="140">
        <v>0</v>
      </c>
      <c r="F198" s="140">
        <v>114</v>
      </c>
      <c r="G198" s="140">
        <v>-144</v>
      </c>
      <c r="H198" s="140">
        <v>-30</v>
      </c>
      <c r="I198" s="140">
        <v>-30</v>
      </c>
    </row>
    <row r="199" spans="1:9" s="117" customFormat="1" ht="15" customHeight="1" x14ac:dyDescent="0.25">
      <c r="A199" s="186" t="s">
        <v>481</v>
      </c>
      <c r="B199" t="s">
        <v>475</v>
      </c>
      <c r="C199" s="261">
        <v>57143000000000</v>
      </c>
      <c r="D199" t="s">
        <v>1614</v>
      </c>
      <c r="E199" s="140">
        <v>0</v>
      </c>
      <c r="F199" s="140">
        <v>961</v>
      </c>
      <c r="G199" s="140">
        <v>-961</v>
      </c>
      <c r="H199" s="140">
        <v>0</v>
      </c>
      <c r="I199" s="140">
        <v>0</v>
      </c>
    </row>
    <row r="200" spans="1:9" s="117" customFormat="1" ht="15" customHeight="1" x14ac:dyDescent="0.25">
      <c r="A200" s="186" t="s">
        <v>482</v>
      </c>
      <c r="B200" t="s">
        <v>476</v>
      </c>
      <c r="C200" s="261">
        <v>34028300000000</v>
      </c>
      <c r="D200" t="s">
        <v>477</v>
      </c>
      <c r="E200" s="140">
        <v>0</v>
      </c>
      <c r="F200" s="140">
        <v>0</v>
      </c>
      <c r="G200" s="140">
        <v>0</v>
      </c>
      <c r="H200" s="140">
        <v>0</v>
      </c>
      <c r="I200" s="140">
        <v>0</v>
      </c>
    </row>
    <row r="201" spans="1:9" s="117" customFormat="1" ht="15" customHeight="1" x14ac:dyDescent="0.25">
      <c r="A201" s="186" t="s">
        <v>483</v>
      </c>
      <c r="B201" t="s">
        <v>478</v>
      </c>
      <c r="C201" t="s">
        <v>1885</v>
      </c>
      <c r="D201" t="s">
        <v>1886</v>
      </c>
      <c r="E201" s="140">
        <v>0</v>
      </c>
      <c r="F201" s="140">
        <v>0</v>
      </c>
      <c r="G201" s="140">
        <v>0</v>
      </c>
      <c r="H201" s="140">
        <v>0</v>
      </c>
      <c r="I201" s="140">
        <v>0</v>
      </c>
    </row>
    <row r="202" spans="1:9" s="117" customFormat="1" ht="15" customHeight="1" x14ac:dyDescent="0.25">
      <c r="A202" s="186" t="s">
        <v>484</v>
      </c>
      <c r="B202" t="s">
        <v>479</v>
      </c>
      <c r="C202" t="s">
        <v>1887</v>
      </c>
      <c r="D202" t="s">
        <v>1888</v>
      </c>
      <c r="E202" s="140">
        <v>0</v>
      </c>
      <c r="F202" s="140">
        <v>0</v>
      </c>
      <c r="G202" s="140">
        <v>0</v>
      </c>
      <c r="H202" s="140">
        <v>0</v>
      </c>
      <c r="I202" s="140">
        <v>0</v>
      </c>
    </row>
    <row r="203" spans="1:9" ht="15" customHeight="1" x14ac:dyDescent="0.3">
      <c r="A203" s="186" t="s">
        <v>1011</v>
      </c>
      <c r="B203" t="s">
        <v>480</v>
      </c>
      <c r="C203" t="s">
        <v>1889</v>
      </c>
      <c r="D203" t="s">
        <v>1890</v>
      </c>
      <c r="E203" s="140">
        <v>0</v>
      </c>
      <c r="F203" s="140">
        <v>12</v>
      </c>
      <c r="G203" s="140">
        <v>-24</v>
      </c>
      <c r="H203" s="140">
        <v>-12</v>
      </c>
      <c r="I203" s="140">
        <v>-12</v>
      </c>
    </row>
    <row r="204" spans="1:9" s="117" customFormat="1" ht="15" customHeight="1" x14ac:dyDescent="0.25">
      <c r="A204" s="186" t="s">
        <v>486</v>
      </c>
      <c r="B204" t="s">
        <v>481</v>
      </c>
      <c r="C204" s="261">
        <v>1489070000000</v>
      </c>
      <c r="D204" t="s">
        <v>1891</v>
      </c>
      <c r="E204" s="140">
        <v>0</v>
      </c>
      <c r="F204" s="140">
        <v>0</v>
      </c>
      <c r="G204" s="140">
        <v>0</v>
      </c>
      <c r="H204" s="140">
        <v>0</v>
      </c>
      <c r="I204" s="140">
        <v>0</v>
      </c>
    </row>
    <row r="205" spans="1:9" s="117" customFormat="1" ht="15" customHeight="1" x14ac:dyDescent="0.25">
      <c r="A205" s="186" t="s">
        <v>487</v>
      </c>
      <c r="B205" t="s">
        <v>482</v>
      </c>
      <c r="C205" t="s">
        <v>1892</v>
      </c>
      <c r="D205" t="s">
        <v>1893</v>
      </c>
      <c r="E205" s="140">
        <v>0</v>
      </c>
      <c r="F205" s="140">
        <v>0</v>
      </c>
      <c r="G205" s="140">
        <v>0</v>
      </c>
      <c r="H205" s="140">
        <v>0</v>
      </c>
      <c r="I205" s="140">
        <v>0</v>
      </c>
    </row>
    <row r="206" spans="1:9" s="117" customFormat="1" ht="15" customHeight="1" x14ac:dyDescent="0.25">
      <c r="A206" s="186" t="s">
        <v>488</v>
      </c>
      <c r="B206" t="s">
        <v>483</v>
      </c>
      <c r="C206" t="s">
        <v>1894</v>
      </c>
      <c r="D206" t="s">
        <v>1895</v>
      </c>
      <c r="E206" s="140">
        <v>0</v>
      </c>
      <c r="F206" s="140">
        <v>0</v>
      </c>
      <c r="G206" s="140">
        <v>0</v>
      </c>
      <c r="H206" s="140">
        <v>0</v>
      </c>
      <c r="I206" s="140">
        <v>0</v>
      </c>
    </row>
    <row r="207" spans="1:9" s="117" customFormat="1" ht="15" customHeight="1" x14ac:dyDescent="0.25">
      <c r="A207" s="186" t="s">
        <v>489</v>
      </c>
      <c r="B207" t="s">
        <v>484</v>
      </c>
      <c r="C207" t="s">
        <v>1896</v>
      </c>
      <c r="D207" t="s">
        <v>1897</v>
      </c>
      <c r="E207" s="140">
        <v>0</v>
      </c>
      <c r="F207" s="140">
        <v>55</v>
      </c>
      <c r="G207" s="140">
        <v>-55</v>
      </c>
      <c r="H207" s="140">
        <v>0</v>
      </c>
      <c r="I207" s="140">
        <v>0</v>
      </c>
    </row>
    <row r="208" spans="1:9" s="117" customFormat="1" ht="15" customHeight="1" x14ac:dyDescent="0.25">
      <c r="A208" s="186" t="s">
        <v>490</v>
      </c>
      <c r="B208" t="s">
        <v>1011</v>
      </c>
      <c r="C208" t="s">
        <v>485</v>
      </c>
      <c r="D208" t="s">
        <v>138</v>
      </c>
      <c r="E208" s="140">
        <v>-1</v>
      </c>
      <c r="F208" s="140">
        <v>280</v>
      </c>
      <c r="G208" s="140">
        <v>-287</v>
      </c>
      <c r="H208" s="140">
        <v>-7</v>
      </c>
      <c r="I208" s="140">
        <v>-8</v>
      </c>
    </row>
    <row r="209" spans="1:9" s="117" customFormat="1" ht="15" customHeight="1" x14ac:dyDescent="0.25">
      <c r="A209" s="186" t="s">
        <v>491</v>
      </c>
      <c r="B209" t="s">
        <v>486</v>
      </c>
      <c r="C209" t="s">
        <v>1898</v>
      </c>
      <c r="D209" t="s">
        <v>1899</v>
      </c>
      <c r="E209" s="140">
        <v>0</v>
      </c>
      <c r="F209" s="140">
        <v>0</v>
      </c>
      <c r="G209" s="140">
        <v>0</v>
      </c>
      <c r="H209" s="140">
        <v>0</v>
      </c>
      <c r="I209" s="140">
        <v>0</v>
      </c>
    </row>
    <row r="210" spans="1:9" s="117" customFormat="1" ht="15" customHeight="1" x14ac:dyDescent="0.25">
      <c r="A210" s="186" t="s">
        <v>492</v>
      </c>
      <c r="B210" t="s">
        <v>487</v>
      </c>
      <c r="C210" t="s">
        <v>1900</v>
      </c>
      <c r="D210" t="s">
        <v>1901</v>
      </c>
      <c r="E210" s="140">
        <v>0</v>
      </c>
      <c r="F210" s="140">
        <v>0</v>
      </c>
      <c r="G210" s="140">
        <v>0</v>
      </c>
      <c r="H210" s="140">
        <v>0</v>
      </c>
      <c r="I210" s="140">
        <v>0</v>
      </c>
    </row>
    <row r="211" spans="1:9" s="117" customFormat="1" ht="15" customHeight="1" x14ac:dyDescent="0.25">
      <c r="A211" s="186" t="s">
        <v>493</v>
      </c>
      <c r="B211" t="s">
        <v>488</v>
      </c>
      <c r="C211" t="s">
        <v>1902</v>
      </c>
      <c r="D211" t="s">
        <v>1903</v>
      </c>
      <c r="E211" s="140">
        <v>0</v>
      </c>
      <c r="F211" s="140">
        <v>0</v>
      </c>
      <c r="G211" s="140">
        <v>0</v>
      </c>
      <c r="H211" s="140">
        <v>0</v>
      </c>
      <c r="I211" s="140">
        <v>0</v>
      </c>
    </row>
    <row r="212" spans="1:9" s="117" customFormat="1" ht="15" customHeight="1" x14ac:dyDescent="0.25">
      <c r="A212" s="186" t="s">
        <v>494</v>
      </c>
      <c r="B212" t="s">
        <v>489</v>
      </c>
      <c r="C212" t="s">
        <v>1904</v>
      </c>
      <c r="D212" t="s">
        <v>1905</v>
      </c>
      <c r="E212" s="140">
        <v>0</v>
      </c>
      <c r="F212" s="140">
        <v>0</v>
      </c>
      <c r="G212" s="140">
        <v>0</v>
      </c>
      <c r="H212" s="140">
        <v>0</v>
      </c>
      <c r="I212" s="140">
        <v>0</v>
      </c>
    </row>
    <row r="213" spans="1:9" s="117" customFormat="1" ht="15" customHeight="1" x14ac:dyDescent="0.25">
      <c r="A213" s="186" t="s">
        <v>495</v>
      </c>
      <c r="B213" t="s">
        <v>490</v>
      </c>
      <c r="C213" t="s">
        <v>1906</v>
      </c>
      <c r="D213" t="s">
        <v>1907</v>
      </c>
      <c r="E213" s="140">
        <v>0</v>
      </c>
      <c r="F213" s="140">
        <v>0</v>
      </c>
      <c r="G213" s="140">
        <v>0</v>
      </c>
      <c r="H213" s="140">
        <v>0</v>
      </c>
      <c r="I213" s="140">
        <v>0</v>
      </c>
    </row>
    <row r="214" spans="1:9" s="117" customFormat="1" ht="15" customHeight="1" x14ac:dyDescent="0.25">
      <c r="A214" s="186" t="s">
        <v>496</v>
      </c>
      <c r="B214" t="s">
        <v>491</v>
      </c>
      <c r="C214" t="s">
        <v>1908</v>
      </c>
      <c r="D214" t="s">
        <v>1909</v>
      </c>
      <c r="E214" s="140">
        <v>0</v>
      </c>
      <c r="F214" s="140">
        <v>0</v>
      </c>
      <c r="G214" s="140">
        <v>0</v>
      </c>
      <c r="H214" s="140">
        <v>0</v>
      </c>
      <c r="I214" s="140">
        <v>0</v>
      </c>
    </row>
    <row r="215" spans="1:9" s="117" customFormat="1" ht="15" customHeight="1" x14ac:dyDescent="0.25">
      <c r="A215" s="186" t="s">
        <v>497</v>
      </c>
      <c r="B215" t="s">
        <v>492</v>
      </c>
      <c r="C215" t="s">
        <v>1910</v>
      </c>
      <c r="D215" t="s">
        <v>1911</v>
      </c>
      <c r="E215" s="140">
        <v>0</v>
      </c>
      <c r="F215" s="140">
        <v>0</v>
      </c>
      <c r="G215" s="140">
        <v>0</v>
      </c>
      <c r="H215" s="140">
        <v>0</v>
      </c>
      <c r="I215" s="140">
        <v>0</v>
      </c>
    </row>
    <row r="216" spans="1:9" s="117" customFormat="1" ht="15" customHeight="1" x14ac:dyDescent="0.25">
      <c r="A216" s="186" t="s">
        <v>498</v>
      </c>
      <c r="B216" t="s">
        <v>493</v>
      </c>
      <c r="C216" t="s">
        <v>1912</v>
      </c>
      <c r="D216" t="s">
        <v>1913</v>
      </c>
      <c r="E216" s="140">
        <v>0</v>
      </c>
      <c r="F216" s="140">
        <v>0</v>
      </c>
      <c r="G216" s="140">
        <v>0</v>
      </c>
      <c r="H216" s="140">
        <v>0</v>
      </c>
      <c r="I216" s="140">
        <v>0</v>
      </c>
    </row>
    <row r="217" spans="1:9" s="117" customFormat="1" ht="15" customHeight="1" x14ac:dyDescent="0.25">
      <c r="A217" s="186" t="s">
        <v>499</v>
      </c>
      <c r="B217" t="s">
        <v>494</v>
      </c>
      <c r="C217" t="s">
        <v>1914</v>
      </c>
      <c r="D217" t="s">
        <v>1915</v>
      </c>
      <c r="E217" s="140">
        <v>0</v>
      </c>
      <c r="F217" s="140">
        <v>0</v>
      </c>
      <c r="G217" s="140">
        <v>0</v>
      </c>
      <c r="H217" s="140">
        <v>0</v>
      </c>
      <c r="I217" s="140">
        <v>0</v>
      </c>
    </row>
    <row r="218" spans="1:9" s="117" customFormat="1" ht="15" customHeight="1" x14ac:dyDescent="0.25">
      <c r="A218" s="186" t="s">
        <v>500</v>
      </c>
      <c r="B218" t="s">
        <v>495</v>
      </c>
      <c r="C218" t="s">
        <v>1916</v>
      </c>
      <c r="D218" t="s">
        <v>1917</v>
      </c>
      <c r="E218" s="140">
        <v>0</v>
      </c>
      <c r="F218" s="140">
        <v>0</v>
      </c>
      <c r="G218" s="140">
        <v>0</v>
      </c>
      <c r="H218" s="140">
        <v>0</v>
      </c>
      <c r="I218" s="140">
        <v>0</v>
      </c>
    </row>
    <row r="219" spans="1:9" s="117" customFormat="1" ht="15" customHeight="1" x14ac:dyDescent="0.25">
      <c r="A219" s="186" t="s">
        <v>501</v>
      </c>
      <c r="B219" t="s">
        <v>496</v>
      </c>
      <c r="C219" t="s">
        <v>1918</v>
      </c>
      <c r="D219" t="s">
        <v>1919</v>
      </c>
      <c r="E219" s="140">
        <v>0</v>
      </c>
      <c r="F219" s="140">
        <v>0</v>
      </c>
      <c r="G219" s="140">
        <v>0</v>
      </c>
      <c r="H219" s="140">
        <v>0</v>
      </c>
      <c r="I219" s="140">
        <v>0</v>
      </c>
    </row>
    <row r="220" spans="1:9" s="117" customFormat="1" ht="15" customHeight="1" x14ac:dyDescent="0.25">
      <c r="A220" s="186" t="s">
        <v>502</v>
      </c>
      <c r="B220" t="s">
        <v>497</v>
      </c>
      <c r="C220" t="s">
        <v>1920</v>
      </c>
      <c r="D220" t="s">
        <v>1921</v>
      </c>
      <c r="E220" s="140">
        <v>0</v>
      </c>
      <c r="F220" s="140">
        <v>0</v>
      </c>
      <c r="G220" s="140">
        <v>0</v>
      </c>
      <c r="H220" s="140">
        <v>0</v>
      </c>
      <c r="I220" s="140">
        <v>0</v>
      </c>
    </row>
    <row r="221" spans="1:9" s="117" customFormat="1" ht="15" customHeight="1" x14ac:dyDescent="0.25">
      <c r="A221" s="186" t="s">
        <v>503</v>
      </c>
      <c r="B221" t="s">
        <v>498</v>
      </c>
      <c r="C221" t="s">
        <v>1922</v>
      </c>
      <c r="D221" t="s">
        <v>1923</v>
      </c>
      <c r="E221" s="140">
        <v>0</v>
      </c>
      <c r="F221" s="140">
        <v>0</v>
      </c>
      <c r="G221" s="140">
        <v>0</v>
      </c>
      <c r="H221" s="140">
        <v>0</v>
      </c>
      <c r="I221" s="140">
        <v>0</v>
      </c>
    </row>
    <row r="222" spans="1:9" s="117" customFormat="1" ht="15" customHeight="1" x14ac:dyDescent="0.25">
      <c r="A222" s="186" t="s">
        <v>504</v>
      </c>
      <c r="B222" t="s">
        <v>499</v>
      </c>
      <c r="C222" t="s">
        <v>1924</v>
      </c>
      <c r="D222" t="s">
        <v>1925</v>
      </c>
      <c r="E222" s="140">
        <v>0</v>
      </c>
      <c r="F222" s="140">
        <v>0</v>
      </c>
      <c r="G222" s="140">
        <v>0</v>
      </c>
      <c r="H222" s="140">
        <v>0</v>
      </c>
      <c r="I222" s="140">
        <v>0</v>
      </c>
    </row>
    <row r="223" spans="1:9" s="117" customFormat="1" ht="15" customHeight="1" x14ac:dyDescent="0.25">
      <c r="A223" s="186" t="s">
        <v>505</v>
      </c>
      <c r="B223" t="s">
        <v>500</v>
      </c>
      <c r="C223" t="s">
        <v>1926</v>
      </c>
      <c r="D223" t="s">
        <v>1927</v>
      </c>
      <c r="E223" s="140">
        <v>0</v>
      </c>
      <c r="F223" s="140">
        <v>0</v>
      </c>
      <c r="G223" s="140">
        <v>0</v>
      </c>
      <c r="H223" s="140">
        <v>0</v>
      </c>
      <c r="I223" s="140">
        <v>0</v>
      </c>
    </row>
    <row r="224" spans="1:9" s="117" customFormat="1" ht="15" customHeight="1" x14ac:dyDescent="0.25">
      <c r="A224" s="186" t="s">
        <v>508</v>
      </c>
      <c r="B224" t="s">
        <v>501</v>
      </c>
      <c r="C224" t="s">
        <v>1928</v>
      </c>
      <c r="D224" t="s">
        <v>1929</v>
      </c>
      <c r="E224" s="140">
        <v>0</v>
      </c>
      <c r="F224" s="140">
        <v>0</v>
      </c>
      <c r="G224" s="140">
        <v>0</v>
      </c>
      <c r="H224" s="140">
        <v>0</v>
      </c>
      <c r="I224" s="140">
        <v>0</v>
      </c>
    </row>
    <row r="225" spans="1:9" s="117" customFormat="1" ht="15" customHeight="1" x14ac:dyDescent="0.25">
      <c r="A225" s="186" t="s">
        <v>509</v>
      </c>
      <c r="B225" t="s">
        <v>502</v>
      </c>
      <c r="C225" t="s">
        <v>1930</v>
      </c>
      <c r="D225" t="s">
        <v>1931</v>
      </c>
      <c r="E225" s="140">
        <v>0</v>
      </c>
      <c r="F225" s="140">
        <v>0</v>
      </c>
      <c r="G225" s="140">
        <v>0</v>
      </c>
      <c r="H225" s="140">
        <v>0</v>
      </c>
      <c r="I225" s="140">
        <v>0</v>
      </c>
    </row>
    <row r="226" spans="1:9" s="117" customFormat="1" ht="15" customHeight="1" x14ac:dyDescent="0.25">
      <c r="A226" s="186" t="s">
        <v>510</v>
      </c>
      <c r="B226" t="s">
        <v>503</v>
      </c>
      <c r="C226" t="s">
        <v>1932</v>
      </c>
      <c r="D226" t="s">
        <v>1933</v>
      </c>
      <c r="E226" s="140">
        <v>0</v>
      </c>
      <c r="F226" s="140">
        <v>0</v>
      </c>
      <c r="G226" s="140">
        <v>0</v>
      </c>
      <c r="H226" s="140">
        <v>0</v>
      </c>
      <c r="I226" s="140">
        <v>0</v>
      </c>
    </row>
    <row r="227" spans="1:9" s="117" customFormat="1" ht="15" customHeight="1" x14ac:dyDescent="0.25">
      <c r="A227" s="186" t="s">
        <v>511</v>
      </c>
      <c r="B227" t="s">
        <v>504</v>
      </c>
      <c r="C227" t="s">
        <v>1934</v>
      </c>
      <c r="D227" t="s">
        <v>1935</v>
      </c>
      <c r="E227" s="140">
        <v>0</v>
      </c>
      <c r="F227" s="140">
        <v>0</v>
      </c>
      <c r="G227" s="140">
        <v>0</v>
      </c>
      <c r="H227" s="140">
        <v>0</v>
      </c>
      <c r="I227" s="140">
        <v>0</v>
      </c>
    </row>
    <row r="228" spans="1:9" s="117" customFormat="1" ht="15" customHeight="1" x14ac:dyDescent="0.25">
      <c r="A228" s="186" t="s">
        <v>512</v>
      </c>
      <c r="B228" t="s">
        <v>505</v>
      </c>
      <c r="C228" t="s">
        <v>506</v>
      </c>
      <c r="D228" t="s">
        <v>507</v>
      </c>
      <c r="E228" s="140">
        <v>0</v>
      </c>
      <c r="F228" s="140">
        <v>16</v>
      </c>
      <c r="G228" s="140">
        <v>-16</v>
      </c>
      <c r="H228" s="140">
        <v>0</v>
      </c>
      <c r="I228" s="140">
        <v>0</v>
      </c>
    </row>
    <row r="229" spans="1:9" s="117" customFormat="1" ht="15" customHeight="1" x14ac:dyDescent="0.25">
      <c r="A229" s="186" t="s">
        <v>513</v>
      </c>
      <c r="B229" t="s">
        <v>508</v>
      </c>
      <c r="C229" t="s">
        <v>1936</v>
      </c>
      <c r="D229" t="s">
        <v>1937</v>
      </c>
      <c r="E229" s="140">
        <v>0</v>
      </c>
      <c r="F229" s="140">
        <v>0</v>
      </c>
      <c r="G229" s="140">
        <v>0</v>
      </c>
      <c r="H229" s="140">
        <v>0</v>
      </c>
      <c r="I229" s="140">
        <v>0</v>
      </c>
    </row>
    <row r="230" spans="1:9" s="117" customFormat="1" ht="15" customHeight="1" x14ac:dyDescent="0.25">
      <c r="A230" s="186" t="s">
        <v>514</v>
      </c>
      <c r="B230" t="s">
        <v>509</v>
      </c>
      <c r="C230" t="s">
        <v>1938</v>
      </c>
      <c r="D230" t="s">
        <v>1939</v>
      </c>
      <c r="E230" s="140">
        <v>0</v>
      </c>
      <c r="F230" s="140">
        <v>0</v>
      </c>
      <c r="G230" s="140">
        <v>0</v>
      </c>
      <c r="H230" s="140">
        <v>0</v>
      </c>
      <c r="I230" s="140">
        <v>0</v>
      </c>
    </row>
    <row r="231" spans="1:9" s="185" customFormat="1" ht="15" customHeight="1" x14ac:dyDescent="0.25">
      <c r="A231" s="191" t="s">
        <v>515</v>
      </c>
      <c r="B231" t="s">
        <v>510</v>
      </c>
      <c r="C231" t="s">
        <v>1940</v>
      </c>
      <c r="D231" t="s">
        <v>1941</v>
      </c>
      <c r="E231" s="140">
        <v>0</v>
      </c>
      <c r="F231" s="140">
        <v>0</v>
      </c>
      <c r="G231" s="140">
        <v>0</v>
      </c>
      <c r="H231" s="140">
        <v>0</v>
      </c>
      <c r="I231" s="140">
        <v>0</v>
      </c>
    </row>
    <row r="232" spans="1:9" s="117" customFormat="1" ht="15" customHeight="1" x14ac:dyDescent="0.25">
      <c r="A232" s="186" t="s">
        <v>516</v>
      </c>
      <c r="B232" t="s">
        <v>511</v>
      </c>
      <c r="C232" t="s">
        <v>1942</v>
      </c>
      <c r="D232" t="s">
        <v>1943</v>
      </c>
      <c r="E232" s="140">
        <v>0</v>
      </c>
      <c r="F232" s="140">
        <v>0</v>
      </c>
      <c r="G232" s="140">
        <v>0</v>
      </c>
      <c r="H232" s="140">
        <v>0</v>
      </c>
      <c r="I232" s="140">
        <v>0</v>
      </c>
    </row>
    <row r="233" spans="1:9" s="117" customFormat="1" ht="15" customHeight="1" x14ac:dyDescent="0.25">
      <c r="A233" s="186" t="s">
        <v>517</v>
      </c>
      <c r="B233" t="s">
        <v>512</v>
      </c>
      <c r="C233" t="s">
        <v>1944</v>
      </c>
      <c r="D233" t="s">
        <v>1945</v>
      </c>
      <c r="E233" s="140">
        <v>0</v>
      </c>
      <c r="F233" s="140">
        <v>0</v>
      </c>
      <c r="G233" s="140">
        <v>0</v>
      </c>
      <c r="H233" s="140">
        <v>0</v>
      </c>
      <c r="I233" s="140">
        <v>0</v>
      </c>
    </row>
    <row r="234" spans="1:9" s="117" customFormat="1" ht="15" customHeight="1" x14ac:dyDescent="0.25">
      <c r="A234" s="186" t="s">
        <v>520</v>
      </c>
      <c r="B234" t="s">
        <v>513</v>
      </c>
      <c r="C234" t="s">
        <v>1946</v>
      </c>
      <c r="D234" t="s">
        <v>1947</v>
      </c>
      <c r="E234" s="140">
        <v>0</v>
      </c>
      <c r="F234" s="140">
        <v>0</v>
      </c>
      <c r="G234" s="140">
        <v>0</v>
      </c>
      <c r="H234" s="140">
        <v>0</v>
      </c>
      <c r="I234" s="140">
        <v>0</v>
      </c>
    </row>
    <row r="235" spans="1:9" s="117" customFormat="1" ht="15" customHeight="1" x14ac:dyDescent="0.25">
      <c r="A235" s="186" t="s">
        <v>521</v>
      </c>
      <c r="B235" t="s">
        <v>514</v>
      </c>
      <c r="C235" t="s">
        <v>1948</v>
      </c>
      <c r="D235" t="s">
        <v>1949</v>
      </c>
      <c r="E235" s="140">
        <v>0</v>
      </c>
      <c r="F235" s="140">
        <v>0</v>
      </c>
      <c r="G235" s="140">
        <v>0</v>
      </c>
      <c r="H235" s="140">
        <v>0</v>
      </c>
      <c r="I235" s="140">
        <v>0</v>
      </c>
    </row>
    <row r="236" spans="1:9" s="117" customFormat="1" ht="15" customHeight="1" x14ac:dyDescent="0.25">
      <c r="A236" s="186" t="s">
        <v>522</v>
      </c>
      <c r="B236" t="s">
        <v>515</v>
      </c>
      <c r="C236" t="s">
        <v>1950</v>
      </c>
      <c r="D236" t="s">
        <v>1951</v>
      </c>
      <c r="E236" s="140">
        <v>0</v>
      </c>
      <c r="F236" s="140">
        <v>0</v>
      </c>
      <c r="G236" s="140">
        <v>0</v>
      </c>
      <c r="H236" s="140">
        <v>0</v>
      </c>
      <c r="I236" s="140">
        <v>0</v>
      </c>
    </row>
    <row r="237" spans="1:9" s="117" customFormat="1" ht="15" customHeight="1" x14ac:dyDescent="0.25">
      <c r="A237" s="186" t="s">
        <v>523</v>
      </c>
      <c r="B237" t="s">
        <v>516</v>
      </c>
      <c r="C237" t="s">
        <v>1952</v>
      </c>
      <c r="D237" t="s">
        <v>1953</v>
      </c>
      <c r="E237" s="140">
        <v>0</v>
      </c>
      <c r="F237" s="140">
        <v>0</v>
      </c>
      <c r="G237" s="140">
        <v>0</v>
      </c>
      <c r="H237" s="140">
        <v>0</v>
      </c>
      <c r="I237" s="140">
        <v>0</v>
      </c>
    </row>
    <row r="238" spans="1:9" s="117" customFormat="1" ht="15" customHeight="1" x14ac:dyDescent="0.25">
      <c r="A238" s="186" t="s">
        <v>524</v>
      </c>
      <c r="B238" t="s">
        <v>517</v>
      </c>
      <c r="C238" t="s">
        <v>518</v>
      </c>
      <c r="D238" t="s">
        <v>519</v>
      </c>
      <c r="E238" s="140">
        <v>0</v>
      </c>
      <c r="F238" s="140">
        <v>473</v>
      </c>
      <c r="G238" s="140">
        <v>-473</v>
      </c>
      <c r="H238" s="140">
        <v>0</v>
      </c>
      <c r="I238" s="140">
        <v>0</v>
      </c>
    </row>
    <row r="239" spans="1:9" s="117" customFormat="1" ht="15" customHeight="1" x14ac:dyDescent="0.25">
      <c r="A239" s="186" t="s">
        <v>525</v>
      </c>
      <c r="B239" t="s">
        <v>520</v>
      </c>
      <c r="C239" t="s">
        <v>1954</v>
      </c>
      <c r="D239" t="s">
        <v>1955</v>
      </c>
      <c r="E239" s="140">
        <v>0</v>
      </c>
      <c r="F239" s="140">
        <v>0</v>
      </c>
      <c r="G239" s="140">
        <v>0</v>
      </c>
      <c r="H239" s="140">
        <v>0</v>
      </c>
      <c r="I239" s="140">
        <v>0</v>
      </c>
    </row>
    <row r="240" spans="1:9" s="117" customFormat="1" ht="15" customHeight="1" x14ac:dyDescent="0.25">
      <c r="A240" s="186" t="s">
        <v>526</v>
      </c>
      <c r="B240" t="s">
        <v>521</v>
      </c>
      <c r="C240" t="s">
        <v>1956</v>
      </c>
      <c r="D240" t="s">
        <v>1957</v>
      </c>
      <c r="E240" s="140">
        <v>0</v>
      </c>
      <c r="F240" s="140">
        <v>0</v>
      </c>
      <c r="G240" s="140">
        <v>0</v>
      </c>
      <c r="H240" s="140">
        <v>0</v>
      </c>
      <c r="I240" s="140">
        <v>0</v>
      </c>
    </row>
    <row r="241" spans="1:9" s="117" customFormat="1" ht="15" customHeight="1" x14ac:dyDescent="0.25">
      <c r="A241" s="186" t="s">
        <v>527</v>
      </c>
      <c r="B241" t="s">
        <v>522</v>
      </c>
      <c r="C241" t="s">
        <v>1958</v>
      </c>
      <c r="D241" t="s">
        <v>1959</v>
      </c>
      <c r="E241" s="140">
        <v>0</v>
      </c>
      <c r="F241" s="140">
        <v>0</v>
      </c>
      <c r="G241" s="140">
        <v>0</v>
      </c>
      <c r="H241" s="140">
        <v>0</v>
      </c>
      <c r="I241" s="140">
        <v>0</v>
      </c>
    </row>
    <row r="242" spans="1:9" s="117" customFormat="1" ht="15" customHeight="1" x14ac:dyDescent="0.25">
      <c r="A242" s="186" t="s">
        <v>528</v>
      </c>
      <c r="B242" t="s">
        <v>523</v>
      </c>
      <c r="C242" t="s">
        <v>1960</v>
      </c>
      <c r="D242" t="s">
        <v>1961</v>
      </c>
      <c r="E242" s="140">
        <v>0</v>
      </c>
      <c r="F242" s="140">
        <v>0</v>
      </c>
      <c r="G242" s="140">
        <v>0</v>
      </c>
      <c r="H242" s="140">
        <v>0</v>
      </c>
      <c r="I242" s="140">
        <v>0</v>
      </c>
    </row>
    <row r="243" spans="1:9" s="117" customFormat="1" ht="15" customHeight="1" x14ac:dyDescent="0.25">
      <c r="A243" s="186" t="s">
        <v>529</v>
      </c>
      <c r="B243" t="s">
        <v>524</v>
      </c>
      <c r="C243" t="s">
        <v>1962</v>
      </c>
      <c r="D243" t="s">
        <v>1963</v>
      </c>
      <c r="E243" s="140">
        <v>0</v>
      </c>
      <c r="F243" s="140">
        <v>0</v>
      </c>
      <c r="G243" s="140">
        <v>0</v>
      </c>
      <c r="H243" s="140">
        <v>0</v>
      </c>
      <c r="I243" s="140">
        <v>0</v>
      </c>
    </row>
    <row r="244" spans="1:9" s="185" customFormat="1" ht="15" customHeight="1" x14ac:dyDescent="0.25">
      <c r="A244" s="191" t="s">
        <v>530</v>
      </c>
      <c r="B244" t="s">
        <v>525</v>
      </c>
      <c r="C244" t="s">
        <v>1964</v>
      </c>
      <c r="D244" t="s">
        <v>1965</v>
      </c>
      <c r="E244" s="140">
        <v>0</v>
      </c>
      <c r="F244" s="140">
        <v>0</v>
      </c>
      <c r="G244" s="140">
        <v>0</v>
      </c>
      <c r="H244" s="140">
        <v>0</v>
      </c>
      <c r="I244" s="140">
        <v>0</v>
      </c>
    </row>
    <row r="245" spans="1:9" s="117" customFormat="1" ht="15" customHeight="1" x14ac:dyDescent="0.25">
      <c r="A245" s="186" t="s">
        <v>531</v>
      </c>
      <c r="B245" t="s">
        <v>526</v>
      </c>
      <c r="C245" t="s">
        <v>1966</v>
      </c>
      <c r="D245" t="s">
        <v>1967</v>
      </c>
      <c r="E245" s="140">
        <v>0</v>
      </c>
      <c r="F245" s="140">
        <v>0</v>
      </c>
      <c r="G245" s="140">
        <v>0</v>
      </c>
      <c r="H245" s="140">
        <v>0</v>
      </c>
      <c r="I245" s="140">
        <v>0</v>
      </c>
    </row>
    <row r="246" spans="1:9" s="117" customFormat="1" ht="15" customHeight="1" x14ac:dyDescent="0.25">
      <c r="A246" s="186" t="s">
        <v>532</v>
      </c>
      <c r="B246" t="s">
        <v>527</v>
      </c>
      <c r="C246" t="s">
        <v>1968</v>
      </c>
      <c r="D246" t="s">
        <v>1969</v>
      </c>
      <c r="E246" s="140">
        <v>0</v>
      </c>
      <c r="F246" s="140">
        <v>0</v>
      </c>
      <c r="G246" s="140">
        <v>0</v>
      </c>
      <c r="H246" s="140">
        <v>0</v>
      </c>
      <c r="I246" s="140">
        <v>0</v>
      </c>
    </row>
    <row r="247" spans="1:9" s="117" customFormat="1" ht="15" customHeight="1" x14ac:dyDescent="0.25">
      <c r="A247" s="186" t="s">
        <v>533</v>
      </c>
      <c r="B247" t="s">
        <v>528</v>
      </c>
      <c r="C247" t="s">
        <v>1970</v>
      </c>
      <c r="D247" t="s">
        <v>1971</v>
      </c>
      <c r="E247" s="140">
        <v>0</v>
      </c>
      <c r="F247" s="140">
        <v>0</v>
      </c>
      <c r="G247" s="140">
        <v>0</v>
      </c>
      <c r="H247" s="140">
        <v>0</v>
      </c>
      <c r="I247" s="140">
        <v>0</v>
      </c>
    </row>
    <row r="248" spans="1:9" s="117" customFormat="1" ht="15" customHeight="1" x14ac:dyDescent="0.25">
      <c r="A248" s="186" t="s">
        <v>534</v>
      </c>
      <c r="B248" t="s">
        <v>529</v>
      </c>
      <c r="C248" t="s">
        <v>1972</v>
      </c>
      <c r="D248" t="s">
        <v>1973</v>
      </c>
      <c r="E248" s="140">
        <v>0</v>
      </c>
      <c r="F248" s="140">
        <v>0</v>
      </c>
      <c r="G248" s="140">
        <v>0</v>
      </c>
      <c r="H248" s="140">
        <v>0</v>
      </c>
      <c r="I248" s="140">
        <v>0</v>
      </c>
    </row>
    <row r="249" spans="1:9" s="185" customFormat="1" ht="15" customHeight="1" x14ac:dyDescent="0.25">
      <c r="A249" s="191" t="s">
        <v>535</v>
      </c>
      <c r="B249" t="s">
        <v>530</v>
      </c>
      <c r="C249" t="s">
        <v>1974</v>
      </c>
      <c r="D249" t="s">
        <v>1975</v>
      </c>
      <c r="E249" s="140">
        <v>0</v>
      </c>
      <c r="F249" s="140">
        <v>0</v>
      </c>
      <c r="G249" s="140">
        <v>0</v>
      </c>
      <c r="H249" s="140">
        <v>0</v>
      </c>
      <c r="I249" s="140">
        <v>0</v>
      </c>
    </row>
    <row r="250" spans="1:9" s="117" customFormat="1" ht="15" customHeight="1" x14ac:dyDescent="0.25">
      <c r="A250" s="186" t="s">
        <v>536</v>
      </c>
      <c r="B250" t="s">
        <v>531</v>
      </c>
      <c r="C250" t="s">
        <v>1976</v>
      </c>
      <c r="D250" t="s">
        <v>1977</v>
      </c>
      <c r="E250" s="140">
        <v>0</v>
      </c>
      <c r="F250" s="140">
        <v>0</v>
      </c>
      <c r="G250" s="140">
        <v>0</v>
      </c>
      <c r="H250" s="140">
        <v>0</v>
      </c>
      <c r="I250" s="140">
        <v>0</v>
      </c>
    </row>
    <row r="251" spans="1:9" s="117" customFormat="1" ht="15" customHeight="1" x14ac:dyDescent="0.25">
      <c r="A251" s="186" t="s">
        <v>537</v>
      </c>
      <c r="B251" t="s">
        <v>532</v>
      </c>
      <c r="C251" t="s">
        <v>1978</v>
      </c>
      <c r="D251" t="s">
        <v>1979</v>
      </c>
      <c r="E251" s="140">
        <v>0</v>
      </c>
      <c r="F251" s="140">
        <v>0</v>
      </c>
      <c r="G251" s="140">
        <v>0</v>
      </c>
      <c r="H251" s="140">
        <v>0</v>
      </c>
      <c r="I251" s="140">
        <v>0</v>
      </c>
    </row>
    <row r="252" spans="1:9" s="117" customFormat="1" ht="15" customHeight="1" x14ac:dyDescent="0.25">
      <c r="A252" s="186" t="s">
        <v>538</v>
      </c>
      <c r="B252" t="s">
        <v>533</v>
      </c>
      <c r="C252" t="s">
        <v>1980</v>
      </c>
      <c r="D252" t="s">
        <v>1981</v>
      </c>
      <c r="E252" s="140">
        <v>0</v>
      </c>
      <c r="F252" s="140">
        <v>0</v>
      </c>
      <c r="G252" s="140">
        <v>0</v>
      </c>
      <c r="H252" s="140">
        <v>0</v>
      </c>
      <c r="I252" s="140">
        <v>0</v>
      </c>
    </row>
    <row r="253" spans="1:9" s="117" customFormat="1" ht="15" customHeight="1" x14ac:dyDescent="0.25">
      <c r="A253" s="186" t="s">
        <v>539</v>
      </c>
      <c r="B253" t="s">
        <v>534</v>
      </c>
      <c r="C253" t="s">
        <v>1982</v>
      </c>
      <c r="D253" t="s">
        <v>1983</v>
      </c>
      <c r="E253" s="140">
        <v>0</v>
      </c>
      <c r="F253" s="140">
        <v>0</v>
      </c>
      <c r="G253" s="140">
        <v>0</v>
      </c>
      <c r="H253" s="140">
        <v>0</v>
      </c>
      <c r="I253" s="140">
        <v>0</v>
      </c>
    </row>
    <row r="254" spans="1:9" s="117" customFormat="1" ht="15" customHeight="1" x14ac:dyDescent="0.25">
      <c r="A254" s="186" t="s">
        <v>540</v>
      </c>
      <c r="B254" t="s">
        <v>535</v>
      </c>
      <c r="C254" t="s">
        <v>1984</v>
      </c>
      <c r="D254" t="s">
        <v>1985</v>
      </c>
      <c r="E254" s="140">
        <v>0</v>
      </c>
      <c r="F254" s="140">
        <v>0</v>
      </c>
      <c r="G254" s="140">
        <v>0</v>
      </c>
      <c r="H254" s="140">
        <v>0</v>
      </c>
      <c r="I254" s="140">
        <v>0</v>
      </c>
    </row>
    <row r="255" spans="1:9" s="117" customFormat="1" ht="15" customHeight="1" x14ac:dyDescent="0.25">
      <c r="A255" s="186" t="s">
        <v>541</v>
      </c>
      <c r="B255" t="s">
        <v>536</v>
      </c>
      <c r="C255" t="s">
        <v>1986</v>
      </c>
      <c r="D255" t="s">
        <v>1987</v>
      </c>
      <c r="E255" s="140">
        <v>0</v>
      </c>
      <c r="F255" s="140">
        <v>0</v>
      </c>
      <c r="G255" s="140">
        <v>0</v>
      </c>
      <c r="H255" s="140">
        <v>0</v>
      </c>
      <c r="I255" s="140">
        <v>0</v>
      </c>
    </row>
    <row r="256" spans="1:9" s="117" customFormat="1" ht="15" customHeight="1" x14ac:dyDescent="0.25">
      <c r="A256" s="186" t="s">
        <v>542</v>
      </c>
      <c r="B256" t="s">
        <v>537</v>
      </c>
      <c r="C256" t="s">
        <v>1988</v>
      </c>
      <c r="D256" t="s">
        <v>1989</v>
      </c>
      <c r="E256" s="140">
        <v>0</v>
      </c>
      <c r="F256" s="140">
        <v>0</v>
      </c>
      <c r="G256" s="140">
        <v>0</v>
      </c>
      <c r="H256" s="140">
        <v>0</v>
      </c>
      <c r="I256" s="140">
        <v>0</v>
      </c>
    </row>
    <row r="257" spans="1:9" s="117" customFormat="1" ht="15" customHeight="1" x14ac:dyDescent="0.25">
      <c r="A257" s="186" t="s">
        <v>543</v>
      </c>
      <c r="B257" t="s">
        <v>538</v>
      </c>
      <c r="C257" t="s">
        <v>1990</v>
      </c>
      <c r="D257" t="s">
        <v>1991</v>
      </c>
      <c r="E257" s="140">
        <v>0</v>
      </c>
      <c r="F257" s="140">
        <v>0</v>
      </c>
      <c r="G257" s="140">
        <v>0</v>
      </c>
      <c r="H257" s="140">
        <v>0</v>
      </c>
      <c r="I257" s="140">
        <v>0</v>
      </c>
    </row>
    <row r="258" spans="1:9" s="117" customFormat="1" ht="15" customHeight="1" x14ac:dyDescent="0.25">
      <c r="A258" s="186" t="s">
        <v>545</v>
      </c>
      <c r="B258" t="s">
        <v>539</v>
      </c>
      <c r="C258" t="s">
        <v>1992</v>
      </c>
      <c r="D258" t="s">
        <v>1993</v>
      </c>
      <c r="E258" s="140">
        <v>0</v>
      </c>
      <c r="F258" s="140">
        <v>0</v>
      </c>
      <c r="G258" s="140">
        <v>0</v>
      </c>
      <c r="H258" s="140">
        <v>0</v>
      </c>
      <c r="I258" s="140">
        <v>0</v>
      </c>
    </row>
    <row r="259" spans="1:9" s="185" customFormat="1" ht="15" customHeight="1" x14ac:dyDescent="0.25">
      <c r="A259" s="191" t="s">
        <v>546</v>
      </c>
      <c r="B259" t="s">
        <v>540</v>
      </c>
      <c r="C259" t="s">
        <v>1994</v>
      </c>
      <c r="D259" t="s">
        <v>1995</v>
      </c>
      <c r="E259" s="140">
        <v>0</v>
      </c>
      <c r="F259" s="140">
        <v>0</v>
      </c>
      <c r="G259" s="140">
        <v>0</v>
      </c>
      <c r="H259" s="140">
        <v>0</v>
      </c>
      <c r="I259" s="140">
        <v>0</v>
      </c>
    </row>
    <row r="260" spans="1:9" s="117" customFormat="1" ht="15" customHeight="1" x14ac:dyDescent="0.25">
      <c r="A260" s="186" t="s">
        <v>547</v>
      </c>
      <c r="B260" t="s">
        <v>541</v>
      </c>
      <c r="C260" t="s">
        <v>1996</v>
      </c>
      <c r="D260" t="s">
        <v>1997</v>
      </c>
      <c r="E260" s="140">
        <v>0</v>
      </c>
      <c r="F260" s="140">
        <v>0</v>
      </c>
      <c r="G260" s="140">
        <v>0</v>
      </c>
      <c r="H260" s="140">
        <v>0</v>
      </c>
      <c r="I260" s="140">
        <v>0</v>
      </c>
    </row>
    <row r="261" spans="1:9" s="117" customFormat="1" ht="15" customHeight="1" x14ac:dyDescent="0.25">
      <c r="A261" s="186" t="s">
        <v>549</v>
      </c>
      <c r="B261" t="s">
        <v>542</v>
      </c>
      <c r="C261" t="s">
        <v>1998</v>
      </c>
      <c r="D261" t="s">
        <v>1999</v>
      </c>
      <c r="E261" s="140">
        <v>0</v>
      </c>
      <c r="F261" s="140">
        <v>0</v>
      </c>
      <c r="G261" s="140">
        <v>0</v>
      </c>
      <c r="H261" s="140">
        <v>0</v>
      </c>
      <c r="I261" s="140">
        <v>0</v>
      </c>
    </row>
    <row r="262" spans="1:9" s="117" customFormat="1" ht="15" customHeight="1" x14ac:dyDescent="0.25">
      <c r="A262" s="186" t="s">
        <v>550</v>
      </c>
      <c r="B262" t="s">
        <v>543</v>
      </c>
      <c r="C262" t="s">
        <v>544</v>
      </c>
      <c r="D262" t="s">
        <v>139</v>
      </c>
      <c r="E262" s="140">
        <v>0</v>
      </c>
      <c r="F262" s="140">
        <v>0</v>
      </c>
      <c r="G262" s="140">
        <v>0</v>
      </c>
      <c r="H262" s="140">
        <v>0</v>
      </c>
      <c r="I262" s="140">
        <v>0</v>
      </c>
    </row>
    <row r="263" spans="1:9" s="117" customFormat="1" ht="15" customHeight="1" x14ac:dyDescent="0.25">
      <c r="A263" s="186" t="s">
        <v>551</v>
      </c>
      <c r="B263" t="s">
        <v>545</v>
      </c>
      <c r="C263" t="s">
        <v>2000</v>
      </c>
      <c r="D263" t="s">
        <v>2001</v>
      </c>
      <c r="E263" s="140">
        <v>0</v>
      </c>
      <c r="F263" s="140">
        <v>0</v>
      </c>
      <c r="G263" s="140">
        <v>0</v>
      </c>
      <c r="H263" s="140">
        <v>0</v>
      </c>
      <c r="I263" s="140">
        <v>0</v>
      </c>
    </row>
    <row r="264" spans="1:9" s="117" customFormat="1" ht="15" customHeight="1" x14ac:dyDescent="0.25">
      <c r="A264" s="186" t="s">
        <v>552</v>
      </c>
      <c r="B264" t="s">
        <v>546</v>
      </c>
      <c r="C264" t="s">
        <v>2002</v>
      </c>
      <c r="D264" t="s">
        <v>2003</v>
      </c>
      <c r="E264" s="140">
        <v>0</v>
      </c>
      <c r="F264" s="140">
        <v>0</v>
      </c>
      <c r="G264" s="140">
        <v>0</v>
      </c>
      <c r="H264" s="140">
        <v>0</v>
      </c>
      <c r="I264" s="140">
        <v>0</v>
      </c>
    </row>
    <row r="265" spans="1:9" s="117" customFormat="1" ht="15" customHeight="1" x14ac:dyDescent="0.25">
      <c r="A265" s="186" t="s">
        <v>553</v>
      </c>
      <c r="B265" t="s">
        <v>547</v>
      </c>
      <c r="C265" t="s">
        <v>548</v>
      </c>
      <c r="D265" t="s">
        <v>140</v>
      </c>
      <c r="E265" s="140">
        <v>0</v>
      </c>
      <c r="F265" s="140">
        <v>0</v>
      </c>
      <c r="G265" s="140">
        <v>0</v>
      </c>
      <c r="H265" s="140">
        <v>0</v>
      </c>
      <c r="I265" s="140">
        <v>0</v>
      </c>
    </row>
    <row r="266" spans="1:9" s="117" customFormat="1" ht="15" customHeight="1" x14ac:dyDescent="0.25">
      <c r="A266" s="186" t="s">
        <v>554</v>
      </c>
      <c r="B266" t="s">
        <v>549</v>
      </c>
      <c r="C266" t="s">
        <v>2004</v>
      </c>
      <c r="D266" t="s">
        <v>2005</v>
      </c>
      <c r="E266" s="140">
        <v>0</v>
      </c>
      <c r="F266" s="140">
        <v>0</v>
      </c>
      <c r="G266" s="140">
        <v>0</v>
      </c>
      <c r="H266" s="140">
        <v>0</v>
      </c>
      <c r="I266" s="140">
        <v>0</v>
      </c>
    </row>
    <row r="267" spans="1:9" ht="15" customHeight="1" x14ac:dyDescent="0.3">
      <c r="A267" s="186" t="s">
        <v>1012</v>
      </c>
      <c r="B267" t="s">
        <v>550</v>
      </c>
      <c r="C267" t="s">
        <v>2006</v>
      </c>
      <c r="D267" t="s">
        <v>2007</v>
      </c>
      <c r="E267" s="140">
        <v>0</v>
      </c>
      <c r="F267" s="140">
        <v>0</v>
      </c>
      <c r="G267" s="140">
        <v>0</v>
      </c>
      <c r="H267" s="140">
        <v>0</v>
      </c>
      <c r="I267" s="140">
        <v>0</v>
      </c>
    </row>
    <row r="268" spans="1:9" s="185" customFormat="1" ht="15" customHeight="1" x14ac:dyDescent="0.25">
      <c r="A268" s="191" t="s">
        <v>557</v>
      </c>
      <c r="B268" t="s">
        <v>551</v>
      </c>
      <c r="C268" t="s">
        <v>2008</v>
      </c>
      <c r="D268" t="s">
        <v>2009</v>
      </c>
      <c r="E268" s="140">
        <v>0</v>
      </c>
      <c r="F268" s="140">
        <v>0</v>
      </c>
      <c r="G268" s="140">
        <v>0</v>
      </c>
      <c r="H268" s="140">
        <v>0</v>
      </c>
      <c r="I268" s="140">
        <v>0</v>
      </c>
    </row>
    <row r="269" spans="1:9" s="117" customFormat="1" ht="15" customHeight="1" x14ac:dyDescent="0.25">
      <c r="A269" s="186" t="s">
        <v>558</v>
      </c>
      <c r="B269" t="s">
        <v>552</v>
      </c>
      <c r="C269" t="s">
        <v>2010</v>
      </c>
      <c r="D269" t="s">
        <v>2011</v>
      </c>
      <c r="E269" s="140">
        <v>0</v>
      </c>
      <c r="F269" s="140">
        <v>0</v>
      </c>
      <c r="G269" s="140">
        <v>0</v>
      </c>
      <c r="H269" s="140">
        <v>0</v>
      </c>
      <c r="I269" s="140">
        <v>0</v>
      </c>
    </row>
    <row r="270" spans="1:9" s="117" customFormat="1" ht="15" customHeight="1" x14ac:dyDescent="0.25">
      <c r="A270" s="186" t="s">
        <v>559</v>
      </c>
      <c r="B270" t="s">
        <v>553</v>
      </c>
      <c r="C270" t="s">
        <v>2012</v>
      </c>
      <c r="D270" t="s">
        <v>2013</v>
      </c>
      <c r="E270" s="140">
        <v>0</v>
      </c>
      <c r="F270" s="140">
        <v>0</v>
      </c>
      <c r="G270" s="140">
        <v>0</v>
      </c>
      <c r="H270" s="140">
        <v>0</v>
      </c>
      <c r="I270" s="140">
        <v>0</v>
      </c>
    </row>
    <row r="271" spans="1:9" s="117" customFormat="1" ht="15" customHeight="1" x14ac:dyDescent="0.25">
      <c r="A271" s="186" t="s">
        <v>560</v>
      </c>
      <c r="B271" t="s">
        <v>554</v>
      </c>
      <c r="C271" t="s">
        <v>2014</v>
      </c>
      <c r="D271" t="s">
        <v>2015</v>
      </c>
      <c r="E271" s="140">
        <v>0</v>
      </c>
      <c r="F271" s="140">
        <v>0</v>
      </c>
      <c r="G271" s="140">
        <v>0</v>
      </c>
      <c r="H271" s="140">
        <v>0</v>
      </c>
      <c r="I271" s="140">
        <v>0</v>
      </c>
    </row>
    <row r="272" spans="1:9" ht="15" customHeight="1" x14ac:dyDescent="0.3">
      <c r="A272" s="186" t="s">
        <v>1013</v>
      </c>
      <c r="B272" t="s">
        <v>1012</v>
      </c>
      <c r="C272" t="s">
        <v>555</v>
      </c>
      <c r="D272" t="s">
        <v>556</v>
      </c>
      <c r="E272" s="140">
        <v>0</v>
      </c>
      <c r="F272" s="140">
        <v>8</v>
      </c>
      <c r="G272" s="140">
        <v>-17</v>
      </c>
      <c r="H272" s="140">
        <v>-8</v>
      </c>
      <c r="I272" s="140">
        <v>-8</v>
      </c>
    </row>
    <row r="273" spans="1:9" s="117" customFormat="1" ht="15" customHeight="1" x14ac:dyDescent="0.25">
      <c r="A273" s="186" t="s">
        <v>563</v>
      </c>
      <c r="B273" t="s">
        <v>557</v>
      </c>
      <c r="C273" t="s">
        <v>2016</v>
      </c>
      <c r="D273" t="s">
        <v>2017</v>
      </c>
      <c r="E273" s="140">
        <v>0</v>
      </c>
      <c r="F273" s="140">
        <v>0</v>
      </c>
      <c r="G273" s="140">
        <v>0</v>
      </c>
      <c r="H273" s="140">
        <v>0</v>
      </c>
      <c r="I273" s="140">
        <v>0</v>
      </c>
    </row>
    <row r="274" spans="1:9" s="117" customFormat="1" ht="15" customHeight="1" x14ac:dyDescent="0.25">
      <c r="A274" s="186" t="s">
        <v>564</v>
      </c>
      <c r="B274" t="s">
        <v>558</v>
      </c>
      <c r="C274" t="s">
        <v>2018</v>
      </c>
      <c r="D274" t="s">
        <v>2019</v>
      </c>
      <c r="E274" s="140">
        <v>0</v>
      </c>
      <c r="F274" s="140">
        <v>0</v>
      </c>
      <c r="G274" s="140">
        <v>0</v>
      </c>
      <c r="H274" s="140">
        <v>0</v>
      </c>
      <c r="I274" s="140">
        <v>0</v>
      </c>
    </row>
    <row r="275" spans="1:9" s="185" customFormat="1" ht="15" customHeight="1" x14ac:dyDescent="0.25">
      <c r="A275" s="191" t="s">
        <v>565</v>
      </c>
      <c r="B275" t="s">
        <v>559</v>
      </c>
      <c r="C275" t="s">
        <v>2020</v>
      </c>
      <c r="D275" t="s">
        <v>2021</v>
      </c>
      <c r="E275" s="140">
        <v>0</v>
      </c>
      <c r="F275" s="140">
        <v>0</v>
      </c>
      <c r="G275" s="140">
        <v>0</v>
      </c>
      <c r="H275" s="140">
        <v>0</v>
      </c>
      <c r="I275" s="140">
        <v>0</v>
      </c>
    </row>
    <row r="276" spans="1:9" s="117" customFormat="1" ht="15" customHeight="1" x14ac:dyDescent="0.25">
      <c r="A276" s="186" t="s">
        <v>566</v>
      </c>
      <c r="B276" t="s">
        <v>560</v>
      </c>
      <c r="C276" t="s">
        <v>2022</v>
      </c>
      <c r="D276" t="s">
        <v>2023</v>
      </c>
      <c r="E276" s="140">
        <v>0</v>
      </c>
      <c r="F276" s="140">
        <v>0</v>
      </c>
      <c r="G276" s="140">
        <v>0</v>
      </c>
      <c r="H276" s="140">
        <v>0</v>
      </c>
      <c r="I276" s="140">
        <v>0</v>
      </c>
    </row>
    <row r="277" spans="1:9" s="185" customFormat="1" ht="15" customHeight="1" x14ac:dyDescent="0.25">
      <c r="A277" s="191" t="s">
        <v>567</v>
      </c>
      <c r="B277" t="s">
        <v>1013</v>
      </c>
      <c r="C277" t="s">
        <v>561</v>
      </c>
      <c r="D277" t="s">
        <v>562</v>
      </c>
      <c r="E277" s="140">
        <v>0</v>
      </c>
      <c r="F277" s="140">
        <v>6</v>
      </c>
      <c r="G277" s="140">
        <v>-9</v>
      </c>
      <c r="H277" s="140">
        <v>-3</v>
      </c>
      <c r="I277" s="140">
        <v>-3</v>
      </c>
    </row>
    <row r="278" spans="1:9" s="117" customFormat="1" ht="15" customHeight="1" x14ac:dyDescent="0.25">
      <c r="A278" s="186" t="s">
        <v>568</v>
      </c>
      <c r="B278" t="s">
        <v>563</v>
      </c>
      <c r="C278" t="s">
        <v>2024</v>
      </c>
      <c r="D278" t="s">
        <v>2025</v>
      </c>
      <c r="E278" s="140">
        <v>0</v>
      </c>
      <c r="F278" s="140">
        <v>0</v>
      </c>
      <c r="G278" s="140">
        <v>0</v>
      </c>
      <c r="H278" s="140">
        <v>0</v>
      </c>
      <c r="I278" s="140">
        <v>0</v>
      </c>
    </row>
    <row r="279" spans="1:9" s="117" customFormat="1" ht="15" customHeight="1" x14ac:dyDescent="0.25">
      <c r="A279" s="186" t="s">
        <v>569</v>
      </c>
      <c r="B279" t="s">
        <v>564</v>
      </c>
      <c r="C279" t="s">
        <v>2026</v>
      </c>
      <c r="D279" t="s">
        <v>2027</v>
      </c>
      <c r="E279" s="140">
        <v>0</v>
      </c>
      <c r="F279" s="140">
        <v>0</v>
      </c>
      <c r="G279" s="140">
        <v>0</v>
      </c>
      <c r="H279" s="140">
        <v>0</v>
      </c>
      <c r="I279" s="140">
        <v>0</v>
      </c>
    </row>
    <row r="280" spans="1:9" s="117" customFormat="1" ht="15" customHeight="1" x14ac:dyDescent="0.25">
      <c r="A280" s="186" t="s">
        <v>570</v>
      </c>
      <c r="B280" t="s">
        <v>565</v>
      </c>
      <c r="C280" t="s">
        <v>2028</v>
      </c>
      <c r="D280" t="s">
        <v>2029</v>
      </c>
      <c r="E280" s="140">
        <v>0</v>
      </c>
      <c r="F280" s="140">
        <v>0</v>
      </c>
      <c r="G280" s="140">
        <v>0</v>
      </c>
      <c r="H280" s="140">
        <v>0</v>
      </c>
      <c r="I280" s="140">
        <v>0</v>
      </c>
    </row>
    <row r="281" spans="1:9" s="185" customFormat="1" ht="15" customHeight="1" x14ac:dyDescent="0.25">
      <c r="A281" s="191" t="s">
        <v>571</v>
      </c>
      <c r="B281" t="s">
        <v>566</v>
      </c>
      <c r="C281" t="s">
        <v>2030</v>
      </c>
      <c r="D281" t="s">
        <v>2031</v>
      </c>
      <c r="E281" s="140">
        <v>0</v>
      </c>
      <c r="F281" s="140">
        <v>0</v>
      </c>
      <c r="G281" s="140">
        <v>0</v>
      </c>
      <c r="H281" s="140">
        <v>0</v>
      </c>
      <c r="I281" s="140">
        <v>0</v>
      </c>
    </row>
    <row r="282" spans="1:9" s="117" customFormat="1" ht="15" customHeight="1" x14ac:dyDescent="0.25">
      <c r="A282" s="186" t="s">
        <v>572</v>
      </c>
      <c r="B282" t="s">
        <v>567</v>
      </c>
      <c r="C282" t="s">
        <v>2032</v>
      </c>
      <c r="D282" t="s">
        <v>2033</v>
      </c>
      <c r="E282" s="140">
        <v>0</v>
      </c>
      <c r="F282" s="140">
        <v>0</v>
      </c>
      <c r="G282" s="140">
        <v>0</v>
      </c>
      <c r="H282" s="140">
        <v>0</v>
      </c>
      <c r="I282" s="140">
        <v>0</v>
      </c>
    </row>
    <row r="283" spans="1:9" s="185" customFormat="1" ht="15" customHeight="1" x14ac:dyDescent="0.25">
      <c r="A283" s="191" t="s">
        <v>573</v>
      </c>
      <c r="B283" t="s">
        <v>568</v>
      </c>
      <c r="C283" t="s">
        <v>2034</v>
      </c>
      <c r="D283" t="s">
        <v>2035</v>
      </c>
      <c r="E283" s="140">
        <v>0</v>
      </c>
      <c r="F283" s="140">
        <v>0</v>
      </c>
      <c r="G283" s="140">
        <v>0</v>
      </c>
      <c r="H283" s="140">
        <v>0</v>
      </c>
      <c r="I283" s="140">
        <v>0</v>
      </c>
    </row>
    <row r="284" spans="1:9" s="185" customFormat="1" ht="15" customHeight="1" x14ac:dyDescent="0.25">
      <c r="A284" s="191" t="s">
        <v>574</v>
      </c>
      <c r="B284" t="s">
        <v>569</v>
      </c>
      <c r="C284" t="s">
        <v>2036</v>
      </c>
      <c r="D284" t="s">
        <v>2037</v>
      </c>
      <c r="E284" s="140">
        <v>0</v>
      </c>
      <c r="F284" s="140">
        <v>0</v>
      </c>
      <c r="G284" s="140">
        <v>0</v>
      </c>
      <c r="H284" s="140">
        <v>0</v>
      </c>
      <c r="I284" s="140">
        <v>0</v>
      </c>
    </row>
    <row r="285" spans="1:9" s="185" customFormat="1" ht="15" customHeight="1" x14ac:dyDescent="0.25">
      <c r="A285" s="191" t="s">
        <v>575</v>
      </c>
      <c r="B285" t="s">
        <v>570</v>
      </c>
      <c r="C285" t="s">
        <v>2038</v>
      </c>
      <c r="D285" t="s">
        <v>2039</v>
      </c>
      <c r="E285" s="140">
        <v>0</v>
      </c>
      <c r="F285" s="140">
        <v>0</v>
      </c>
      <c r="G285" s="140">
        <v>0</v>
      </c>
      <c r="H285" s="140">
        <v>0</v>
      </c>
      <c r="I285" s="140">
        <v>0</v>
      </c>
    </row>
    <row r="286" spans="1:9" s="117" customFormat="1" ht="15" customHeight="1" x14ac:dyDescent="0.25">
      <c r="A286" s="186" t="s">
        <v>576</v>
      </c>
      <c r="B286" t="s">
        <v>571</v>
      </c>
      <c r="C286">
        <v>211049</v>
      </c>
      <c r="D286" t="s">
        <v>2040</v>
      </c>
      <c r="E286" s="140">
        <v>0</v>
      </c>
      <c r="F286" s="140">
        <v>0</v>
      </c>
      <c r="G286" s="140">
        <v>0</v>
      </c>
      <c r="H286" s="140">
        <v>0</v>
      </c>
      <c r="I286" s="140">
        <v>0</v>
      </c>
    </row>
    <row r="287" spans="1:9" s="117" customFormat="1" ht="15" customHeight="1" x14ac:dyDescent="0.25">
      <c r="A287" s="186" t="s">
        <v>577</v>
      </c>
      <c r="B287" t="s">
        <v>572</v>
      </c>
      <c r="C287" t="s">
        <v>2041</v>
      </c>
      <c r="D287" t="s">
        <v>2042</v>
      </c>
      <c r="E287" s="140">
        <v>0</v>
      </c>
      <c r="F287" s="140">
        <v>0</v>
      </c>
      <c r="G287" s="140">
        <v>0</v>
      </c>
      <c r="H287" s="140">
        <v>0</v>
      </c>
      <c r="I287" s="140">
        <v>0</v>
      </c>
    </row>
    <row r="288" spans="1:9" s="117" customFormat="1" ht="15" customHeight="1" x14ac:dyDescent="0.25">
      <c r="A288" s="186" t="s">
        <v>578</v>
      </c>
      <c r="B288" t="s">
        <v>573</v>
      </c>
      <c r="C288" t="s">
        <v>2043</v>
      </c>
      <c r="D288" t="s">
        <v>2044</v>
      </c>
      <c r="E288" s="140">
        <v>0</v>
      </c>
      <c r="F288" s="140">
        <v>0</v>
      </c>
      <c r="G288" s="140">
        <v>0</v>
      </c>
      <c r="H288" s="140">
        <v>0</v>
      </c>
      <c r="I288" s="140">
        <v>0</v>
      </c>
    </row>
    <row r="289" spans="1:9" s="117" customFormat="1" ht="15" customHeight="1" x14ac:dyDescent="0.25">
      <c r="A289" s="186" t="s">
        <v>579</v>
      </c>
      <c r="B289" t="s">
        <v>574</v>
      </c>
      <c r="C289" s="261">
        <v>60925200000000</v>
      </c>
      <c r="D289" t="s">
        <v>2045</v>
      </c>
      <c r="E289" s="140">
        <v>0</v>
      </c>
      <c r="F289" s="140">
        <v>0</v>
      </c>
      <c r="G289" s="140">
        <v>0</v>
      </c>
      <c r="H289" s="140">
        <v>0</v>
      </c>
      <c r="I289" s="140">
        <v>0</v>
      </c>
    </row>
    <row r="290" spans="1:9" s="117" customFormat="1" ht="15" customHeight="1" x14ac:dyDescent="0.25">
      <c r="A290" s="186" t="s">
        <v>580</v>
      </c>
      <c r="B290" t="s">
        <v>575</v>
      </c>
      <c r="C290" s="261">
        <v>5633720000000</v>
      </c>
      <c r="D290" t="s">
        <v>2046</v>
      </c>
      <c r="E290" s="140">
        <v>0</v>
      </c>
      <c r="F290" s="140">
        <v>0</v>
      </c>
      <c r="G290" s="140">
        <v>0</v>
      </c>
      <c r="H290" s="140">
        <v>0</v>
      </c>
      <c r="I290" s="140">
        <v>0</v>
      </c>
    </row>
    <row r="291" spans="1:9" s="117" customFormat="1" ht="15" customHeight="1" x14ac:dyDescent="0.25">
      <c r="A291" s="186" t="s">
        <v>581</v>
      </c>
      <c r="B291" t="s">
        <v>576</v>
      </c>
      <c r="C291" t="s">
        <v>2047</v>
      </c>
      <c r="D291" t="s">
        <v>2048</v>
      </c>
      <c r="E291" s="140">
        <v>0</v>
      </c>
      <c r="F291" s="140">
        <v>0</v>
      </c>
      <c r="G291" s="140">
        <v>0</v>
      </c>
      <c r="H291" s="140">
        <v>0</v>
      </c>
      <c r="I291" s="140">
        <v>0</v>
      </c>
    </row>
    <row r="292" spans="1:9" s="117" customFormat="1" ht="15" customHeight="1" x14ac:dyDescent="0.25">
      <c r="A292" s="186" t="s">
        <v>582</v>
      </c>
      <c r="B292" t="s">
        <v>577</v>
      </c>
      <c r="C292" t="s">
        <v>2049</v>
      </c>
      <c r="D292" t="s">
        <v>2050</v>
      </c>
      <c r="E292" s="140">
        <v>0</v>
      </c>
      <c r="F292" s="140">
        <v>0</v>
      </c>
      <c r="G292" s="140">
        <v>0</v>
      </c>
      <c r="H292" s="140">
        <v>0</v>
      </c>
      <c r="I292" s="140">
        <v>0</v>
      </c>
    </row>
    <row r="293" spans="1:9" ht="15" customHeight="1" x14ac:dyDescent="0.3">
      <c r="A293" s="186" t="s">
        <v>1014</v>
      </c>
      <c r="B293" t="s">
        <v>578</v>
      </c>
      <c r="C293" t="s">
        <v>2051</v>
      </c>
      <c r="D293" t="s">
        <v>2052</v>
      </c>
      <c r="E293" s="140">
        <v>0</v>
      </c>
      <c r="F293" s="140">
        <v>0</v>
      </c>
      <c r="G293" s="140">
        <v>0</v>
      </c>
      <c r="H293" s="140">
        <v>0</v>
      </c>
      <c r="I293" s="140">
        <v>0</v>
      </c>
    </row>
    <row r="294" spans="1:9" s="117" customFormat="1" ht="15" customHeight="1" x14ac:dyDescent="0.25">
      <c r="A294" s="186" t="s">
        <v>584</v>
      </c>
      <c r="B294" t="s">
        <v>579</v>
      </c>
      <c r="C294" t="s">
        <v>2053</v>
      </c>
      <c r="D294" t="s">
        <v>2054</v>
      </c>
      <c r="E294" s="140">
        <v>0</v>
      </c>
      <c r="F294" s="140">
        <v>0</v>
      </c>
      <c r="G294" s="140">
        <v>0</v>
      </c>
      <c r="H294" s="140">
        <v>0</v>
      </c>
      <c r="I294" s="140">
        <v>0</v>
      </c>
    </row>
    <row r="295" spans="1:9" s="117" customFormat="1" ht="15" customHeight="1" x14ac:dyDescent="0.25">
      <c r="A295" s="186" t="s">
        <v>585</v>
      </c>
      <c r="B295" t="s">
        <v>580</v>
      </c>
      <c r="C295" t="s">
        <v>2055</v>
      </c>
      <c r="D295" t="s">
        <v>2056</v>
      </c>
      <c r="E295" s="140">
        <v>0</v>
      </c>
      <c r="F295" s="140">
        <v>0</v>
      </c>
      <c r="G295" s="140">
        <v>0</v>
      </c>
      <c r="H295" s="140">
        <v>0</v>
      </c>
      <c r="I295" s="140">
        <v>0</v>
      </c>
    </row>
    <row r="296" spans="1:9" s="117" customFormat="1" ht="15" customHeight="1" x14ac:dyDescent="0.25">
      <c r="A296" s="186" t="s">
        <v>586</v>
      </c>
      <c r="B296" t="s">
        <v>581</v>
      </c>
      <c r="C296" t="s">
        <v>2057</v>
      </c>
      <c r="D296" t="s">
        <v>2058</v>
      </c>
      <c r="E296" s="140">
        <v>0</v>
      </c>
      <c r="F296" s="140">
        <v>0</v>
      </c>
      <c r="G296" s="140">
        <v>0</v>
      </c>
      <c r="H296" s="140">
        <v>0</v>
      </c>
      <c r="I296" s="140">
        <v>0</v>
      </c>
    </row>
    <row r="297" spans="1:9" s="117" customFormat="1" ht="15" customHeight="1" x14ac:dyDescent="0.25">
      <c r="A297" s="186" t="s">
        <v>587</v>
      </c>
      <c r="B297" t="s">
        <v>582</v>
      </c>
      <c r="C297" t="s">
        <v>2059</v>
      </c>
      <c r="D297" t="s">
        <v>2060</v>
      </c>
      <c r="E297" s="140">
        <v>0</v>
      </c>
      <c r="F297" s="140">
        <v>0</v>
      </c>
      <c r="G297" s="140">
        <v>0</v>
      </c>
      <c r="H297" s="140">
        <v>0</v>
      </c>
      <c r="I297" s="140">
        <v>0</v>
      </c>
    </row>
    <row r="298" spans="1:9" s="117" customFormat="1" ht="15" customHeight="1" x14ac:dyDescent="0.25">
      <c r="A298" s="186" t="s">
        <v>588</v>
      </c>
      <c r="B298" t="s">
        <v>1014</v>
      </c>
      <c r="C298" t="s">
        <v>583</v>
      </c>
      <c r="D298" t="s">
        <v>141</v>
      </c>
      <c r="E298" s="140">
        <v>-2</v>
      </c>
      <c r="F298" s="140">
        <v>4</v>
      </c>
      <c r="G298" s="140">
        <v>-2</v>
      </c>
      <c r="H298" s="140">
        <v>1</v>
      </c>
      <c r="I298" s="140">
        <v>-1</v>
      </c>
    </row>
    <row r="299" spans="1:9" s="117" customFormat="1" ht="15" customHeight="1" x14ac:dyDescent="0.25">
      <c r="A299" s="186" t="s">
        <v>589</v>
      </c>
      <c r="B299" t="s">
        <v>584</v>
      </c>
      <c r="C299" t="s">
        <v>2061</v>
      </c>
      <c r="D299" t="s">
        <v>2062</v>
      </c>
      <c r="E299" s="140">
        <v>0</v>
      </c>
      <c r="F299" s="140">
        <v>0</v>
      </c>
      <c r="G299" s="140">
        <v>0</v>
      </c>
      <c r="H299" s="140">
        <v>0</v>
      </c>
      <c r="I299" s="140">
        <v>0</v>
      </c>
    </row>
    <row r="300" spans="1:9" s="117" customFormat="1" ht="15" customHeight="1" x14ac:dyDescent="0.25">
      <c r="A300" s="186" t="s">
        <v>590</v>
      </c>
      <c r="B300" t="s">
        <v>585</v>
      </c>
      <c r="C300" t="s">
        <v>2063</v>
      </c>
      <c r="D300" t="s">
        <v>2064</v>
      </c>
      <c r="E300" s="140">
        <v>0</v>
      </c>
      <c r="F300" s="140">
        <v>1</v>
      </c>
      <c r="G300" s="140">
        <v>-1</v>
      </c>
      <c r="H300" s="140">
        <v>0</v>
      </c>
      <c r="I300" s="140">
        <v>0</v>
      </c>
    </row>
    <row r="301" spans="1:9" s="117" customFormat="1" ht="15" customHeight="1" x14ac:dyDescent="0.25">
      <c r="A301" s="186" t="s">
        <v>591</v>
      </c>
      <c r="B301" t="s">
        <v>586</v>
      </c>
      <c r="C301" t="s">
        <v>2065</v>
      </c>
      <c r="D301" t="s">
        <v>2066</v>
      </c>
      <c r="E301" s="140">
        <v>0</v>
      </c>
      <c r="F301" s="140">
        <v>0</v>
      </c>
      <c r="G301" s="140">
        <v>0</v>
      </c>
      <c r="H301" s="140">
        <v>0</v>
      </c>
      <c r="I301" s="140">
        <v>0</v>
      </c>
    </row>
    <row r="302" spans="1:9" s="117" customFormat="1" ht="15" customHeight="1" x14ac:dyDescent="0.25">
      <c r="A302" s="186" t="s">
        <v>592</v>
      </c>
      <c r="B302" t="s">
        <v>587</v>
      </c>
      <c r="C302" t="s">
        <v>2067</v>
      </c>
      <c r="D302" t="s">
        <v>2068</v>
      </c>
      <c r="E302" s="140">
        <v>0</v>
      </c>
      <c r="F302" s="140">
        <v>0</v>
      </c>
      <c r="G302" s="140">
        <v>0</v>
      </c>
      <c r="H302" s="140">
        <v>0</v>
      </c>
      <c r="I302" s="140">
        <v>0</v>
      </c>
    </row>
    <row r="303" spans="1:9" s="117" customFormat="1" ht="15" customHeight="1" x14ac:dyDescent="0.25">
      <c r="A303" s="186" t="s">
        <v>594</v>
      </c>
      <c r="B303" t="s">
        <v>588</v>
      </c>
      <c r="C303" t="s">
        <v>2069</v>
      </c>
      <c r="D303" t="s">
        <v>2070</v>
      </c>
      <c r="E303" s="140">
        <v>0</v>
      </c>
      <c r="F303" s="140">
        <v>0</v>
      </c>
      <c r="G303" s="140">
        <v>0</v>
      </c>
      <c r="H303" s="140">
        <v>0</v>
      </c>
      <c r="I303" s="140">
        <v>0</v>
      </c>
    </row>
    <row r="304" spans="1:9" s="117" customFormat="1" ht="15" customHeight="1" x14ac:dyDescent="0.25">
      <c r="A304" s="186" t="s">
        <v>595</v>
      </c>
      <c r="B304" t="s">
        <v>589</v>
      </c>
      <c r="C304" t="s">
        <v>2071</v>
      </c>
      <c r="D304" t="s">
        <v>2072</v>
      </c>
      <c r="E304" s="140">
        <v>0</v>
      </c>
      <c r="F304" s="140">
        <v>0</v>
      </c>
      <c r="G304" s="140">
        <v>0</v>
      </c>
      <c r="H304" s="140">
        <v>0</v>
      </c>
      <c r="I304" s="140">
        <v>0</v>
      </c>
    </row>
    <row r="305" spans="1:9" s="185" customFormat="1" ht="15" customHeight="1" x14ac:dyDescent="0.25">
      <c r="A305" s="191" t="s">
        <v>596</v>
      </c>
      <c r="B305" t="s">
        <v>590</v>
      </c>
      <c r="C305" t="s">
        <v>2073</v>
      </c>
      <c r="D305" t="s">
        <v>2074</v>
      </c>
      <c r="E305" s="140">
        <v>0</v>
      </c>
      <c r="F305" s="140">
        <v>0</v>
      </c>
      <c r="G305" s="140">
        <v>0</v>
      </c>
      <c r="H305" s="140">
        <v>0</v>
      </c>
      <c r="I305" s="140">
        <v>0</v>
      </c>
    </row>
    <row r="306" spans="1:9" s="185" customFormat="1" ht="15" customHeight="1" x14ac:dyDescent="0.25">
      <c r="A306" s="191" t="s">
        <v>597</v>
      </c>
      <c r="B306" t="s">
        <v>591</v>
      </c>
      <c r="C306" t="s">
        <v>2075</v>
      </c>
      <c r="D306" t="s">
        <v>2076</v>
      </c>
      <c r="E306" s="140">
        <v>0</v>
      </c>
      <c r="F306" s="140">
        <v>0</v>
      </c>
      <c r="G306" s="140">
        <v>0</v>
      </c>
      <c r="H306" s="140">
        <v>0</v>
      </c>
      <c r="I306" s="140">
        <v>0</v>
      </c>
    </row>
    <row r="307" spans="1:9" s="185" customFormat="1" ht="15" customHeight="1" x14ac:dyDescent="0.25">
      <c r="A307" s="191" t="s">
        <v>598</v>
      </c>
      <c r="B307" t="s">
        <v>592</v>
      </c>
      <c r="C307" t="s">
        <v>593</v>
      </c>
      <c r="D307" t="s">
        <v>142</v>
      </c>
      <c r="E307" s="140">
        <v>0</v>
      </c>
      <c r="F307" s="140">
        <v>0</v>
      </c>
      <c r="G307" s="140">
        <v>0</v>
      </c>
      <c r="H307" s="140">
        <v>0</v>
      </c>
      <c r="I307" s="140">
        <v>0</v>
      </c>
    </row>
    <row r="308" spans="1:9" s="185" customFormat="1" ht="15" customHeight="1" x14ac:dyDescent="0.25">
      <c r="A308" s="191" t="s">
        <v>599</v>
      </c>
      <c r="B308" t="s">
        <v>594</v>
      </c>
      <c r="C308" t="s">
        <v>2077</v>
      </c>
      <c r="D308" t="s">
        <v>2078</v>
      </c>
      <c r="E308" s="140">
        <v>0</v>
      </c>
      <c r="F308" s="140">
        <v>0</v>
      </c>
      <c r="G308" s="140">
        <v>0</v>
      </c>
      <c r="H308" s="140">
        <v>0</v>
      </c>
      <c r="I308" s="140">
        <v>0</v>
      </c>
    </row>
    <row r="309" spans="1:9" s="117" customFormat="1" ht="15" customHeight="1" x14ac:dyDescent="0.25">
      <c r="A309" s="186" t="s">
        <v>600</v>
      </c>
      <c r="B309" t="s">
        <v>595</v>
      </c>
      <c r="C309" t="s">
        <v>2079</v>
      </c>
      <c r="D309" t="s">
        <v>2080</v>
      </c>
      <c r="E309" s="140">
        <v>0</v>
      </c>
      <c r="F309" s="140">
        <v>0</v>
      </c>
      <c r="G309" s="140">
        <v>0</v>
      </c>
      <c r="H309" s="140">
        <v>0</v>
      </c>
      <c r="I309" s="140">
        <v>0</v>
      </c>
    </row>
    <row r="310" spans="1:9" s="185" customFormat="1" ht="15" customHeight="1" x14ac:dyDescent="0.25">
      <c r="A310" s="191" t="s">
        <v>601</v>
      </c>
      <c r="B310" t="s">
        <v>596</v>
      </c>
      <c r="C310" t="s">
        <v>2081</v>
      </c>
      <c r="D310" t="s">
        <v>2082</v>
      </c>
      <c r="E310" s="140">
        <v>0</v>
      </c>
      <c r="F310" s="140">
        <v>0</v>
      </c>
      <c r="G310" s="140">
        <v>0</v>
      </c>
      <c r="H310" s="140">
        <v>0</v>
      </c>
      <c r="I310" s="140">
        <v>0</v>
      </c>
    </row>
    <row r="311" spans="1:9" s="185" customFormat="1" ht="15" customHeight="1" x14ac:dyDescent="0.25">
      <c r="A311" s="191" t="s">
        <v>602</v>
      </c>
      <c r="B311" t="s">
        <v>597</v>
      </c>
      <c r="C311">
        <v>110245</v>
      </c>
      <c r="D311" t="s">
        <v>2083</v>
      </c>
      <c r="E311" s="140">
        <v>0</v>
      </c>
      <c r="F311" s="140">
        <v>0</v>
      </c>
      <c r="G311" s="140">
        <v>0</v>
      </c>
      <c r="H311" s="140">
        <v>0</v>
      </c>
      <c r="I311" s="140">
        <v>0</v>
      </c>
    </row>
    <row r="312" spans="1:9" s="185" customFormat="1" ht="15" customHeight="1" x14ac:dyDescent="0.25">
      <c r="A312" s="191" t="s">
        <v>603</v>
      </c>
      <c r="B312" t="s">
        <v>598</v>
      </c>
      <c r="C312" t="s">
        <v>2084</v>
      </c>
      <c r="D312" t="s">
        <v>2085</v>
      </c>
      <c r="E312" s="140">
        <v>0</v>
      </c>
      <c r="F312" s="140">
        <v>0</v>
      </c>
      <c r="G312" s="140">
        <v>0</v>
      </c>
      <c r="H312" s="140">
        <v>0</v>
      </c>
      <c r="I312" s="140">
        <v>0</v>
      </c>
    </row>
    <row r="313" spans="1:9" s="117" customFormat="1" ht="15" customHeight="1" x14ac:dyDescent="0.25">
      <c r="A313" s="186" t="s">
        <v>604</v>
      </c>
      <c r="B313" t="s">
        <v>599</v>
      </c>
      <c r="C313" t="s">
        <v>2086</v>
      </c>
      <c r="D313" t="s">
        <v>2087</v>
      </c>
      <c r="E313" s="140">
        <v>0</v>
      </c>
      <c r="F313" s="140">
        <v>0</v>
      </c>
      <c r="G313" s="140">
        <v>0</v>
      </c>
      <c r="H313" s="140">
        <v>0</v>
      </c>
      <c r="I313" s="140">
        <v>0</v>
      </c>
    </row>
    <row r="314" spans="1:9" s="117" customFormat="1" ht="15" customHeight="1" x14ac:dyDescent="0.25">
      <c r="A314" s="186" t="s">
        <v>605</v>
      </c>
      <c r="B314" t="s">
        <v>600</v>
      </c>
      <c r="C314" t="s">
        <v>2088</v>
      </c>
      <c r="D314" t="s">
        <v>2089</v>
      </c>
      <c r="E314" s="140">
        <v>0</v>
      </c>
      <c r="F314" s="140">
        <v>0</v>
      </c>
      <c r="G314" s="140">
        <v>0</v>
      </c>
      <c r="H314" s="140">
        <v>0</v>
      </c>
      <c r="I314" s="140">
        <v>0</v>
      </c>
    </row>
    <row r="315" spans="1:9" s="185" customFormat="1" ht="15" customHeight="1" x14ac:dyDescent="0.25">
      <c r="A315" s="191" t="s">
        <v>606</v>
      </c>
      <c r="B315" t="s">
        <v>601</v>
      </c>
      <c r="C315" t="s">
        <v>2090</v>
      </c>
      <c r="D315" t="s">
        <v>2091</v>
      </c>
      <c r="E315" s="140">
        <v>0</v>
      </c>
      <c r="F315" s="140">
        <v>0</v>
      </c>
      <c r="G315" s="140">
        <v>0</v>
      </c>
      <c r="H315" s="140">
        <v>0</v>
      </c>
      <c r="I315" s="140">
        <v>0</v>
      </c>
    </row>
    <row r="316" spans="1:9" s="185" customFormat="1" ht="15" customHeight="1" x14ac:dyDescent="0.25">
      <c r="A316" s="191" t="s">
        <v>607</v>
      </c>
      <c r="B316" t="s">
        <v>602</v>
      </c>
      <c r="C316" t="s">
        <v>2092</v>
      </c>
      <c r="D316" t="s">
        <v>2093</v>
      </c>
      <c r="E316" s="140">
        <v>0</v>
      </c>
      <c r="F316" s="140">
        <v>0</v>
      </c>
      <c r="G316" s="140">
        <v>0</v>
      </c>
      <c r="H316" s="140">
        <v>0</v>
      </c>
      <c r="I316" s="140">
        <v>0</v>
      </c>
    </row>
    <row r="317" spans="1:9" s="117" customFormat="1" ht="15" customHeight="1" x14ac:dyDescent="0.25">
      <c r="A317" s="186" t="s">
        <v>608</v>
      </c>
      <c r="B317" t="s">
        <v>603</v>
      </c>
      <c r="C317" t="s">
        <v>2094</v>
      </c>
      <c r="D317" t="s">
        <v>2095</v>
      </c>
      <c r="E317" s="140">
        <v>0</v>
      </c>
      <c r="F317" s="140">
        <v>0</v>
      </c>
      <c r="G317" s="140">
        <v>0</v>
      </c>
      <c r="H317" s="140">
        <v>0</v>
      </c>
      <c r="I317" s="140">
        <v>0</v>
      </c>
    </row>
    <row r="318" spans="1:9" s="117" customFormat="1" ht="15" customHeight="1" x14ac:dyDescent="0.25">
      <c r="A318" s="186" t="s">
        <v>609</v>
      </c>
      <c r="B318" t="s">
        <v>604</v>
      </c>
      <c r="C318" t="s">
        <v>2096</v>
      </c>
      <c r="D318" t="s">
        <v>2097</v>
      </c>
      <c r="E318" s="140">
        <v>0</v>
      </c>
      <c r="F318" s="140">
        <v>0</v>
      </c>
      <c r="G318" s="140">
        <v>0</v>
      </c>
      <c r="H318" s="140">
        <v>0</v>
      </c>
      <c r="I318" s="140">
        <v>0</v>
      </c>
    </row>
    <row r="319" spans="1:9" s="185" customFormat="1" ht="15" customHeight="1" x14ac:dyDescent="0.25">
      <c r="A319" s="191" t="s">
        <v>610</v>
      </c>
      <c r="B319" t="s">
        <v>605</v>
      </c>
      <c r="C319" t="s">
        <v>2098</v>
      </c>
      <c r="D319" t="s">
        <v>2099</v>
      </c>
      <c r="E319" s="140">
        <v>0</v>
      </c>
      <c r="F319" s="140">
        <v>0</v>
      </c>
      <c r="G319" s="140">
        <v>0</v>
      </c>
      <c r="H319" s="140">
        <v>0</v>
      </c>
      <c r="I319" s="140">
        <v>0</v>
      </c>
    </row>
    <row r="320" spans="1:9" s="185" customFormat="1" ht="15" customHeight="1" x14ac:dyDescent="0.25">
      <c r="A320" s="191" t="s">
        <v>611</v>
      </c>
      <c r="B320" t="s">
        <v>606</v>
      </c>
      <c r="C320" t="s">
        <v>2100</v>
      </c>
      <c r="D320" t="s">
        <v>2101</v>
      </c>
      <c r="E320" s="140">
        <v>0</v>
      </c>
      <c r="F320" s="140">
        <v>0</v>
      </c>
      <c r="G320" s="140">
        <v>0</v>
      </c>
      <c r="H320" s="140">
        <v>0</v>
      </c>
      <c r="I320" s="140">
        <v>0</v>
      </c>
    </row>
    <row r="321" spans="1:9" s="117" customFormat="1" ht="15" customHeight="1" x14ac:dyDescent="0.25">
      <c r="A321" s="186" t="s">
        <v>612</v>
      </c>
      <c r="B321" t="s">
        <v>607</v>
      </c>
      <c r="C321" t="s">
        <v>2102</v>
      </c>
      <c r="D321" t="s">
        <v>2103</v>
      </c>
      <c r="E321" s="140">
        <v>0</v>
      </c>
      <c r="F321" s="140">
        <v>0</v>
      </c>
      <c r="G321" s="140">
        <v>0</v>
      </c>
      <c r="H321" s="140">
        <v>0</v>
      </c>
      <c r="I321" s="140">
        <v>0</v>
      </c>
    </row>
    <row r="322" spans="1:9" s="117" customFormat="1" ht="15" customHeight="1" x14ac:dyDescent="0.25">
      <c r="A322" s="186" t="s">
        <v>613</v>
      </c>
      <c r="B322" t="s">
        <v>608</v>
      </c>
      <c r="C322" t="s">
        <v>1615</v>
      </c>
      <c r="D322" t="s">
        <v>1616</v>
      </c>
      <c r="E322" s="140">
        <v>0</v>
      </c>
      <c r="F322" s="140">
        <v>0</v>
      </c>
      <c r="G322" s="140">
        <v>0</v>
      </c>
      <c r="H322" s="140">
        <v>0</v>
      </c>
      <c r="I322" s="140">
        <v>0</v>
      </c>
    </row>
    <row r="323" spans="1:9" s="185" customFormat="1" ht="15" customHeight="1" x14ac:dyDescent="0.25">
      <c r="A323" s="191" t="s">
        <v>614</v>
      </c>
      <c r="B323" t="s">
        <v>609</v>
      </c>
      <c r="C323" t="s">
        <v>2104</v>
      </c>
      <c r="D323" t="s">
        <v>2105</v>
      </c>
      <c r="E323" s="140">
        <v>0</v>
      </c>
      <c r="F323" s="140">
        <v>0</v>
      </c>
      <c r="G323" s="140">
        <v>0</v>
      </c>
      <c r="H323" s="140">
        <v>0</v>
      </c>
      <c r="I323" s="140">
        <v>0</v>
      </c>
    </row>
    <row r="324" spans="1:9" s="185" customFormat="1" ht="15" customHeight="1" x14ac:dyDescent="0.25">
      <c r="A324" s="191" t="s">
        <v>615</v>
      </c>
      <c r="B324" t="s">
        <v>610</v>
      </c>
      <c r="C324" t="s">
        <v>2106</v>
      </c>
      <c r="D324" t="s">
        <v>2107</v>
      </c>
      <c r="E324" s="140">
        <v>0</v>
      </c>
      <c r="F324" s="140">
        <v>0</v>
      </c>
      <c r="G324" s="140">
        <v>0</v>
      </c>
      <c r="H324" s="140">
        <v>0</v>
      </c>
      <c r="I324" s="140">
        <v>0</v>
      </c>
    </row>
    <row r="325" spans="1:9" s="117" customFormat="1" ht="15" customHeight="1" x14ac:dyDescent="0.25">
      <c r="A325" s="186" t="s">
        <v>616</v>
      </c>
      <c r="B325" t="s">
        <v>611</v>
      </c>
      <c r="C325" t="s">
        <v>2108</v>
      </c>
      <c r="D325" t="s">
        <v>2109</v>
      </c>
      <c r="E325" s="140">
        <v>0</v>
      </c>
      <c r="F325" s="140">
        <v>0</v>
      </c>
      <c r="G325" s="140">
        <v>0</v>
      </c>
      <c r="H325" s="140">
        <v>0</v>
      </c>
      <c r="I325" s="140">
        <v>0</v>
      </c>
    </row>
    <row r="326" spans="1:9" s="185" customFormat="1" ht="15" customHeight="1" x14ac:dyDescent="0.25">
      <c r="A326" s="191" t="s">
        <v>617</v>
      </c>
      <c r="B326" t="s">
        <v>612</v>
      </c>
      <c r="C326" t="s">
        <v>2110</v>
      </c>
      <c r="D326" t="s">
        <v>2111</v>
      </c>
      <c r="E326" s="140">
        <v>0</v>
      </c>
      <c r="F326" s="140">
        <v>0</v>
      </c>
      <c r="G326" s="140">
        <v>0</v>
      </c>
      <c r="H326" s="140">
        <v>0</v>
      </c>
      <c r="I326" s="140">
        <v>0</v>
      </c>
    </row>
    <row r="327" spans="1:9" s="117" customFormat="1" ht="15" customHeight="1" x14ac:dyDescent="0.25">
      <c r="A327" s="186" t="s">
        <v>618</v>
      </c>
      <c r="B327" t="s">
        <v>613</v>
      </c>
      <c r="C327" t="s">
        <v>2112</v>
      </c>
      <c r="D327" t="s">
        <v>2113</v>
      </c>
      <c r="E327" s="140">
        <v>0</v>
      </c>
      <c r="F327" s="140">
        <v>0</v>
      </c>
      <c r="G327" s="140">
        <v>0</v>
      </c>
      <c r="H327" s="140">
        <v>0</v>
      </c>
      <c r="I327" s="140">
        <v>0</v>
      </c>
    </row>
    <row r="328" spans="1:9" s="185" customFormat="1" ht="15" customHeight="1" x14ac:dyDescent="0.25">
      <c r="A328" s="191" t="s">
        <v>619</v>
      </c>
      <c r="B328" t="s">
        <v>614</v>
      </c>
      <c r="C328" t="s">
        <v>2114</v>
      </c>
      <c r="D328" t="s">
        <v>2115</v>
      </c>
      <c r="E328" s="140">
        <v>0</v>
      </c>
      <c r="F328" s="140">
        <v>0</v>
      </c>
      <c r="G328" s="140">
        <v>0</v>
      </c>
      <c r="H328" s="140">
        <v>0</v>
      </c>
      <c r="I328" s="140">
        <v>0</v>
      </c>
    </row>
    <row r="329" spans="1:9" s="117" customFormat="1" ht="15" customHeight="1" x14ac:dyDescent="0.25">
      <c r="A329" s="186" t="s">
        <v>621</v>
      </c>
      <c r="B329" t="s">
        <v>615</v>
      </c>
      <c r="C329" t="s">
        <v>2116</v>
      </c>
      <c r="D329" t="s">
        <v>2117</v>
      </c>
      <c r="E329" s="140">
        <v>0</v>
      </c>
      <c r="F329" s="140">
        <v>0</v>
      </c>
      <c r="G329" s="140">
        <v>0</v>
      </c>
      <c r="H329" s="140">
        <v>0</v>
      </c>
      <c r="I329" s="140">
        <v>0</v>
      </c>
    </row>
    <row r="330" spans="1:9" s="185" customFormat="1" ht="15" customHeight="1" x14ac:dyDescent="0.25">
      <c r="A330" s="191" t="s">
        <v>622</v>
      </c>
      <c r="B330" t="s">
        <v>616</v>
      </c>
      <c r="C330" t="s">
        <v>2118</v>
      </c>
      <c r="D330" t="s">
        <v>2119</v>
      </c>
      <c r="E330" s="140">
        <v>0</v>
      </c>
      <c r="F330" s="140">
        <v>0</v>
      </c>
      <c r="G330" s="140">
        <v>0</v>
      </c>
      <c r="H330" s="140">
        <v>0</v>
      </c>
      <c r="I330" s="140">
        <v>0</v>
      </c>
    </row>
    <row r="331" spans="1:9" s="185" customFormat="1" ht="15" customHeight="1" x14ac:dyDescent="0.25">
      <c r="A331" s="191" t="s">
        <v>623</v>
      </c>
      <c r="B331" t="s">
        <v>617</v>
      </c>
      <c r="C331" t="s">
        <v>2120</v>
      </c>
      <c r="D331" t="s">
        <v>2121</v>
      </c>
      <c r="E331" s="140">
        <v>0</v>
      </c>
      <c r="F331" s="140">
        <v>0</v>
      </c>
      <c r="G331" s="140">
        <v>0</v>
      </c>
      <c r="H331" s="140">
        <v>0</v>
      </c>
      <c r="I331" s="140">
        <v>0</v>
      </c>
    </row>
    <row r="332" spans="1:9" s="185" customFormat="1" ht="15" customHeight="1" x14ac:dyDescent="0.25">
      <c r="A332" s="191" t="s">
        <v>624</v>
      </c>
      <c r="B332" t="s">
        <v>618</v>
      </c>
      <c r="C332" t="s">
        <v>2122</v>
      </c>
      <c r="D332" t="s">
        <v>2123</v>
      </c>
      <c r="E332" s="140">
        <v>0</v>
      </c>
      <c r="F332" s="140">
        <v>0</v>
      </c>
      <c r="G332" s="140">
        <v>0</v>
      </c>
      <c r="H332" s="140">
        <v>0</v>
      </c>
      <c r="I332" s="140">
        <v>0</v>
      </c>
    </row>
    <row r="333" spans="1:9" s="185" customFormat="1" ht="15" customHeight="1" x14ac:dyDescent="0.25">
      <c r="A333" s="191" t="s">
        <v>625</v>
      </c>
      <c r="B333" t="s">
        <v>619</v>
      </c>
      <c r="C333" s="261">
        <v>33634300000000</v>
      </c>
      <c r="D333" t="s">
        <v>620</v>
      </c>
      <c r="E333" s="140">
        <v>0</v>
      </c>
      <c r="F333" s="140">
        <v>0</v>
      </c>
      <c r="G333" s="140">
        <v>0</v>
      </c>
      <c r="H333" s="140">
        <v>0</v>
      </c>
      <c r="I333" s="140">
        <v>0</v>
      </c>
    </row>
    <row r="334" spans="1:9" s="117" customFormat="1" ht="15" customHeight="1" x14ac:dyDescent="0.25">
      <c r="A334" s="186" t="s">
        <v>626</v>
      </c>
      <c r="B334" t="s">
        <v>621</v>
      </c>
      <c r="C334" t="s">
        <v>2124</v>
      </c>
      <c r="D334" t="s">
        <v>2125</v>
      </c>
      <c r="E334" s="140">
        <v>0</v>
      </c>
      <c r="F334" s="140">
        <v>0</v>
      </c>
      <c r="G334" s="140">
        <v>0</v>
      </c>
      <c r="H334" s="140">
        <v>0</v>
      </c>
      <c r="I334" s="140">
        <v>0</v>
      </c>
    </row>
    <row r="335" spans="1:9" s="117" customFormat="1" ht="15" customHeight="1" x14ac:dyDescent="0.25">
      <c r="A335" s="186" t="s">
        <v>627</v>
      </c>
      <c r="B335" t="s">
        <v>622</v>
      </c>
      <c r="C335" t="s">
        <v>2126</v>
      </c>
      <c r="D335" t="s">
        <v>2127</v>
      </c>
      <c r="E335" s="140">
        <v>0</v>
      </c>
      <c r="F335" s="140">
        <v>0</v>
      </c>
      <c r="G335" s="140">
        <v>0</v>
      </c>
      <c r="H335" s="140">
        <v>0</v>
      </c>
      <c r="I335" s="140">
        <v>0</v>
      </c>
    </row>
    <row r="336" spans="1:9" s="117" customFormat="1" ht="15" customHeight="1" x14ac:dyDescent="0.25">
      <c r="A336" s="186" t="s">
        <v>628</v>
      </c>
      <c r="B336" t="s">
        <v>623</v>
      </c>
      <c r="C336" t="s">
        <v>2128</v>
      </c>
      <c r="D336" t="s">
        <v>2129</v>
      </c>
      <c r="E336" s="140">
        <v>0</v>
      </c>
      <c r="F336" s="140">
        <v>0</v>
      </c>
      <c r="G336" s="140">
        <v>0</v>
      </c>
      <c r="H336" s="140">
        <v>0</v>
      </c>
      <c r="I336" s="140">
        <v>0</v>
      </c>
    </row>
    <row r="337" spans="1:9" s="117" customFormat="1" ht="15" customHeight="1" x14ac:dyDescent="0.25">
      <c r="A337" s="186" t="s">
        <v>629</v>
      </c>
      <c r="B337" t="s">
        <v>624</v>
      </c>
      <c r="C337" t="s">
        <v>2130</v>
      </c>
      <c r="D337" t="s">
        <v>2131</v>
      </c>
      <c r="E337" s="140">
        <v>0</v>
      </c>
      <c r="F337" s="140">
        <v>0</v>
      </c>
      <c r="G337" s="140">
        <v>0</v>
      </c>
      <c r="H337" s="140">
        <v>0</v>
      </c>
      <c r="I337" s="140">
        <v>0</v>
      </c>
    </row>
    <row r="338" spans="1:9" s="117" customFormat="1" ht="15" customHeight="1" x14ac:dyDescent="0.25">
      <c r="A338" s="186" t="s">
        <v>630</v>
      </c>
      <c r="B338" t="s">
        <v>625</v>
      </c>
      <c r="C338" t="s">
        <v>2132</v>
      </c>
      <c r="D338" t="s">
        <v>2133</v>
      </c>
      <c r="E338" s="140">
        <v>0</v>
      </c>
      <c r="F338" s="140">
        <v>0</v>
      </c>
      <c r="G338" s="140">
        <v>0</v>
      </c>
      <c r="H338" s="140">
        <v>0</v>
      </c>
      <c r="I338" s="140">
        <v>0</v>
      </c>
    </row>
    <row r="339" spans="1:9" s="117" customFormat="1" ht="15" customHeight="1" x14ac:dyDescent="0.25">
      <c r="A339" s="186" t="s">
        <v>633</v>
      </c>
      <c r="B339" t="s">
        <v>626</v>
      </c>
      <c r="C339" t="s">
        <v>2134</v>
      </c>
      <c r="D339" t="s">
        <v>2135</v>
      </c>
      <c r="E339" s="140">
        <v>0</v>
      </c>
      <c r="F339" s="140">
        <v>0</v>
      </c>
      <c r="G339" s="140">
        <v>0</v>
      </c>
      <c r="H339" s="140">
        <v>0</v>
      </c>
      <c r="I339" s="140">
        <v>0</v>
      </c>
    </row>
    <row r="340" spans="1:9" s="185" customFormat="1" ht="15" customHeight="1" x14ac:dyDescent="0.25">
      <c r="A340" s="191" t="s">
        <v>634</v>
      </c>
      <c r="B340" t="s">
        <v>627</v>
      </c>
      <c r="C340" t="s">
        <v>2136</v>
      </c>
      <c r="D340" t="s">
        <v>2137</v>
      </c>
      <c r="E340" s="140">
        <v>0</v>
      </c>
      <c r="F340" s="140">
        <v>0</v>
      </c>
      <c r="G340" s="140">
        <v>0</v>
      </c>
      <c r="H340" s="140">
        <v>0</v>
      </c>
      <c r="I340" s="140">
        <v>0</v>
      </c>
    </row>
    <row r="341" spans="1:9" s="117" customFormat="1" ht="15" customHeight="1" x14ac:dyDescent="0.25">
      <c r="A341" s="186" t="s">
        <v>635</v>
      </c>
      <c r="B341" t="s">
        <v>628</v>
      </c>
      <c r="C341" t="s">
        <v>2138</v>
      </c>
      <c r="D341" t="s">
        <v>2139</v>
      </c>
      <c r="E341" s="140">
        <v>0</v>
      </c>
      <c r="F341" s="140">
        <v>0</v>
      </c>
      <c r="G341" s="140">
        <v>0</v>
      </c>
      <c r="H341" s="140">
        <v>0</v>
      </c>
      <c r="I341" s="140">
        <v>0</v>
      </c>
    </row>
    <row r="342" spans="1:9" s="117" customFormat="1" ht="15" customHeight="1" x14ac:dyDescent="0.25">
      <c r="A342" s="186" t="s">
        <v>636</v>
      </c>
      <c r="B342" t="s">
        <v>629</v>
      </c>
      <c r="C342" t="s">
        <v>2140</v>
      </c>
      <c r="D342" t="s">
        <v>2141</v>
      </c>
      <c r="E342" s="140">
        <v>0</v>
      </c>
      <c r="F342" s="140">
        <v>0</v>
      </c>
      <c r="G342" s="140">
        <v>0</v>
      </c>
      <c r="H342" s="140">
        <v>0</v>
      </c>
      <c r="I342" s="140">
        <v>0</v>
      </c>
    </row>
    <row r="343" spans="1:9" s="117" customFormat="1" ht="15" customHeight="1" x14ac:dyDescent="0.25">
      <c r="A343" s="186" t="s">
        <v>637</v>
      </c>
      <c r="B343" t="s">
        <v>630</v>
      </c>
      <c r="C343" t="s">
        <v>631</v>
      </c>
      <c r="D343" t="s">
        <v>632</v>
      </c>
      <c r="E343" s="140">
        <v>0</v>
      </c>
      <c r="F343" s="140">
        <v>3</v>
      </c>
      <c r="G343" s="140">
        <v>-4</v>
      </c>
      <c r="H343" s="140">
        <v>-1</v>
      </c>
      <c r="I343" s="140">
        <v>-1</v>
      </c>
    </row>
    <row r="344" spans="1:9" s="117" customFormat="1" ht="15" customHeight="1" x14ac:dyDescent="0.25">
      <c r="A344" s="186" t="s">
        <v>638</v>
      </c>
      <c r="B344" t="s">
        <v>633</v>
      </c>
      <c r="C344" t="s">
        <v>2142</v>
      </c>
      <c r="D344" t="s">
        <v>2143</v>
      </c>
      <c r="E344" s="140">
        <v>0</v>
      </c>
      <c r="F344" s="140">
        <v>0</v>
      </c>
      <c r="G344" s="140">
        <v>0</v>
      </c>
      <c r="H344" s="140">
        <v>0</v>
      </c>
      <c r="I344" s="140">
        <v>0</v>
      </c>
    </row>
    <row r="345" spans="1:9" s="117" customFormat="1" ht="15" customHeight="1" x14ac:dyDescent="0.25">
      <c r="A345" s="186" t="s">
        <v>639</v>
      </c>
      <c r="B345" t="s">
        <v>634</v>
      </c>
      <c r="C345" t="s">
        <v>2144</v>
      </c>
      <c r="D345" t="s">
        <v>2145</v>
      </c>
      <c r="E345" s="140">
        <v>0</v>
      </c>
      <c r="F345" s="140">
        <v>0</v>
      </c>
      <c r="G345" s="140">
        <v>0</v>
      </c>
      <c r="H345" s="140">
        <v>0</v>
      </c>
      <c r="I345" s="140">
        <v>0</v>
      </c>
    </row>
    <row r="346" spans="1:9" s="117" customFormat="1" ht="15" customHeight="1" x14ac:dyDescent="0.25">
      <c r="A346" s="186" t="s">
        <v>640</v>
      </c>
      <c r="B346" t="s">
        <v>635</v>
      </c>
      <c r="C346" t="s">
        <v>2146</v>
      </c>
      <c r="D346" t="s">
        <v>2147</v>
      </c>
      <c r="E346" s="140">
        <v>0</v>
      </c>
      <c r="F346" s="140">
        <v>0</v>
      </c>
      <c r="G346" s="140">
        <v>0</v>
      </c>
      <c r="H346" s="140">
        <v>0</v>
      </c>
      <c r="I346" s="140">
        <v>0</v>
      </c>
    </row>
    <row r="347" spans="1:9" s="185" customFormat="1" ht="15" customHeight="1" x14ac:dyDescent="0.25">
      <c r="A347" s="191" t="s">
        <v>641</v>
      </c>
      <c r="B347" t="s">
        <v>636</v>
      </c>
      <c r="C347" t="s">
        <v>2148</v>
      </c>
      <c r="D347" t="s">
        <v>2149</v>
      </c>
      <c r="E347" s="140">
        <v>0</v>
      </c>
      <c r="F347" s="140">
        <v>0</v>
      </c>
      <c r="G347" s="140">
        <v>0</v>
      </c>
      <c r="H347" s="140">
        <v>0</v>
      </c>
      <c r="I347" s="140">
        <v>0</v>
      </c>
    </row>
    <row r="348" spans="1:9" s="117" customFormat="1" ht="15" customHeight="1" x14ac:dyDescent="0.25">
      <c r="A348" s="186" t="s">
        <v>642</v>
      </c>
      <c r="B348" t="s">
        <v>637</v>
      </c>
      <c r="C348" t="s">
        <v>2150</v>
      </c>
      <c r="D348" t="s">
        <v>2151</v>
      </c>
      <c r="E348" s="140">
        <v>0</v>
      </c>
      <c r="F348" s="140">
        <v>0</v>
      </c>
      <c r="G348" s="140">
        <v>0</v>
      </c>
      <c r="H348" s="140">
        <v>0</v>
      </c>
      <c r="I348" s="140">
        <v>0</v>
      </c>
    </row>
    <row r="349" spans="1:9" s="117" customFormat="1" ht="15" customHeight="1" x14ac:dyDescent="0.25">
      <c r="A349" s="186" t="s">
        <v>643</v>
      </c>
      <c r="B349" t="s">
        <v>638</v>
      </c>
      <c r="C349" t="s">
        <v>2152</v>
      </c>
      <c r="D349" t="s">
        <v>2153</v>
      </c>
      <c r="E349" s="140">
        <v>0</v>
      </c>
      <c r="F349" s="140">
        <v>0</v>
      </c>
      <c r="G349" s="140">
        <v>0</v>
      </c>
      <c r="H349" s="140">
        <v>0</v>
      </c>
      <c r="I349" s="140">
        <v>0</v>
      </c>
    </row>
    <row r="350" spans="1:9" s="117" customFormat="1" ht="15" customHeight="1" x14ac:dyDescent="0.25">
      <c r="A350" s="186" t="s">
        <v>644</v>
      </c>
      <c r="B350" t="s">
        <v>639</v>
      </c>
      <c r="C350" t="s">
        <v>2154</v>
      </c>
      <c r="D350" t="s">
        <v>2155</v>
      </c>
      <c r="E350" s="140">
        <v>0</v>
      </c>
      <c r="F350" s="140">
        <v>0</v>
      </c>
      <c r="G350" s="140">
        <v>0</v>
      </c>
      <c r="H350" s="140">
        <v>0</v>
      </c>
      <c r="I350" s="140">
        <v>0</v>
      </c>
    </row>
    <row r="351" spans="1:9" s="117" customFormat="1" ht="15" customHeight="1" x14ac:dyDescent="0.25">
      <c r="A351" s="186" t="s">
        <v>645</v>
      </c>
      <c r="B351" t="s">
        <v>640</v>
      </c>
      <c r="C351" t="s">
        <v>2156</v>
      </c>
      <c r="D351" t="s">
        <v>2157</v>
      </c>
      <c r="E351" s="140">
        <v>0</v>
      </c>
      <c r="F351" s="140">
        <v>0</v>
      </c>
      <c r="G351" s="140">
        <v>0</v>
      </c>
      <c r="H351" s="140">
        <v>0</v>
      </c>
      <c r="I351" s="140">
        <v>0</v>
      </c>
    </row>
    <row r="352" spans="1:9" s="117" customFormat="1" ht="15" customHeight="1" x14ac:dyDescent="0.25">
      <c r="A352" s="186" t="s">
        <v>647</v>
      </c>
      <c r="B352" t="s">
        <v>641</v>
      </c>
      <c r="C352" t="s">
        <v>2158</v>
      </c>
      <c r="D352" t="s">
        <v>2159</v>
      </c>
      <c r="E352" s="140">
        <v>0</v>
      </c>
      <c r="F352" s="140">
        <v>0</v>
      </c>
      <c r="G352" s="140">
        <v>0</v>
      </c>
      <c r="H352" s="140">
        <v>0</v>
      </c>
      <c r="I352" s="140">
        <v>0</v>
      </c>
    </row>
    <row r="353" spans="1:9" s="117" customFormat="1" ht="15" customHeight="1" x14ac:dyDescent="0.25">
      <c r="A353" s="186" t="s">
        <v>648</v>
      </c>
      <c r="B353" t="s">
        <v>642</v>
      </c>
      <c r="C353" t="s">
        <v>2160</v>
      </c>
      <c r="D353" t="s">
        <v>2161</v>
      </c>
      <c r="E353" s="140">
        <v>0</v>
      </c>
      <c r="F353" s="140">
        <v>0</v>
      </c>
      <c r="G353" s="140">
        <v>0</v>
      </c>
      <c r="H353" s="140">
        <v>0</v>
      </c>
      <c r="I353" s="140">
        <v>0</v>
      </c>
    </row>
    <row r="354" spans="1:9" s="117" customFormat="1" ht="15" customHeight="1" x14ac:dyDescent="0.25">
      <c r="A354" s="186" t="s">
        <v>649</v>
      </c>
      <c r="B354" t="s">
        <v>643</v>
      </c>
      <c r="C354" t="s">
        <v>2162</v>
      </c>
      <c r="D354" t="s">
        <v>2163</v>
      </c>
      <c r="E354" s="140">
        <v>0</v>
      </c>
      <c r="F354" s="140">
        <v>0</v>
      </c>
      <c r="G354" s="140">
        <v>0</v>
      </c>
      <c r="H354" s="140">
        <v>0</v>
      </c>
      <c r="I354" s="140">
        <v>0</v>
      </c>
    </row>
    <row r="355" spans="1:9" s="117" customFormat="1" ht="15" customHeight="1" x14ac:dyDescent="0.25">
      <c r="A355" s="186" t="s">
        <v>650</v>
      </c>
      <c r="B355" t="s">
        <v>644</v>
      </c>
      <c r="C355" t="s">
        <v>2164</v>
      </c>
      <c r="D355" t="s">
        <v>2165</v>
      </c>
      <c r="E355" s="140">
        <v>0</v>
      </c>
      <c r="F355" s="140">
        <v>0</v>
      </c>
      <c r="G355" s="140">
        <v>0</v>
      </c>
      <c r="H355" s="140">
        <v>0</v>
      </c>
      <c r="I355" s="140">
        <v>0</v>
      </c>
    </row>
    <row r="356" spans="1:9" s="117" customFormat="1" ht="15" customHeight="1" x14ac:dyDescent="0.25">
      <c r="A356" s="186" t="s">
        <v>651</v>
      </c>
      <c r="B356" t="s">
        <v>645</v>
      </c>
      <c r="C356" s="261">
        <v>30033800000000</v>
      </c>
      <c r="D356" t="s">
        <v>646</v>
      </c>
      <c r="E356" s="140">
        <v>0</v>
      </c>
      <c r="F356" s="140">
        <v>0</v>
      </c>
      <c r="G356" s="140">
        <v>0</v>
      </c>
      <c r="H356" s="140">
        <v>0</v>
      </c>
      <c r="I356" s="140">
        <v>0</v>
      </c>
    </row>
    <row r="357" spans="1:9" s="185" customFormat="1" ht="15" customHeight="1" x14ac:dyDescent="0.25">
      <c r="A357" s="191" t="s">
        <v>652</v>
      </c>
      <c r="B357" t="s">
        <v>647</v>
      </c>
      <c r="C357" t="s">
        <v>2166</v>
      </c>
      <c r="D357" t="s">
        <v>2167</v>
      </c>
      <c r="E357" s="140">
        <v>0</v>
      </c>
      <c r="F357" s="140">
        <v>0</v>
      </c>
      <c r="G357" s="140">
        <v>0</v>
      </c>
      <c r="H357" s="140">
        <v>0</v>
      </c>
      <c r="I357" s="140">
        <v>0</v>
      </c>
    </row>
    <row r="358" spans="1:9" s="336" customFormat="1" ht="15" customHeight="1" x14ac:dyDescent="0.25">
      <c r="A358" s="335" t="s">
        <v>653</v>
      </c>
      <c r="B358" t="s">
        <v>648</v>
      </c>
      <c r="C358" t="s">
        <v>2168</v>
      </c>
      <c r="D358" t="s">
        <v>2169</v>
      </c>
      <c r="E358" s="140">
        <v>0</v>
      </c>
      <c r="F358" s="140">
        <v>0</v>
      </c>
      <c r="G358" s="140">
        <v>0</v>
      </c>
      <c r="H358" s="140">
        <v>0</v>
      </c>
      <c r="I358" s="140">
        <v>0</v>
      </c>
    </row>
    <row r="359" spans="1:9" s="117" customFormat="1" ht="15" customHeight="1" x14ac:dyDescent="0.25">
      <c r="A359" s="186" t="s">
        <v>654</v>
      </c>
      <c r="B359" t="s">
        <v>649</v>
      </c>
      <c r="C359" t="s">
        <v>2170</v>
      </c>
      <c r="D359" t="s">
        <v>2171</v>
      </c>
      <c r="E359" s="140">
        <v>0</v>
      </c>
      <c r="F359" s="140">
        <v>0</v>
      </c>
      <c r="G359" s="140">
        <v>0</v>
      </c>
      <c r="H359" s="140">
        <v>0</v>
      </c>
      <c r="I359" s="140">
        <v>0</v>
      </c>
    </row>
    <row r="360" spans="1:9" s="117" customFormat="1" ht="15" customHeight="1" x14ac:dyDescent="0.25">
      <c r="A360" s="186" t="s">
        <v>655</v>
      </c>
      <c r="B360" t="s">
        <v>650</v>
      </c>
      <c r="C360" t="s">
        <v>2172</v>
      </c>
      <c r="D360" t="s">
        <v>2173</v>
      </c>
      <c r="E360" s="140">
        <v>0</v>
      </c>
      <c r="F360" s="140">
        <v>0</v>
      </c>
      <c r="G360" s="140">
        <v>0</v>
      </c>
      <c r="H360" s="140">
        <v>0</v>
      </c>
      <c r="I360" s="140">
        <v>0</v>
      </c>
    </row>
    <row r="361" spans="1:9" s="117" customFormat="1" ht="15" customHeight="1" x14ac:dyDescent="0.25">
      <c r="A361" s="186" t="s">
        <v>656</v>
      </c>
      <c r="B361" t="s">
        <v>651</v>
      </c>
      <c r="C361" t="s">
        <v>2174</v>
      </c>
      <c r="D361" t="s">
        <v>2175</v>
      </c>
      <c r="E361" s="140">
        <v>0</v>
      </c>
      <c r="F361" s="140">
        <v>0</v>
      </c>
      <c r="G361" s="140">
        <v>0</v>
      </c>
      <c r="H361" s="140">
        <v>0</v>
      </c>
      <c r="I361" s="140">
        <v>0</v>
      </c>
    </row>
    <row r="362" spans="1:9" s="117" customFormat="1" ht="15" customHeight="1" x14ac:dyDescent="0.25">
      <c r="A362" s="186" t="s">
        <v>657</v>
      </c>
      <c r="B362" t="s">
        <v>652</v>
      </c>
      <c r="C362" t="s">
        <v>2176</v>
      </c>
      <c r="D362" t="s">
        <v>2177</v>
      </c>
      <c r="E362" s="140">
        <v>0</v>
      </c>
      <c r="F362" s="140">
        <v>0</v>
      </c>
      <c r="G362" s="140">
        <v>0</v>
      </c>
      <c r="H362" s="140">
        <v>0</v>
      </c>
      <c r="I362" s="140">
        <v>0</v>
      </c>
    </row>
    <row r="363" spans="1:9" s="117" customFormat="1" ht="15" customHeight="1" x14ac:dyDescent="0.25">
      <c r="A363" s="186" t="s">
        <v>658</v>
      </c>
      <c r="B363" t="s">
        <v>653</v>
      </c>
      <c r="C363" t="s">
        <v>2178</v>
      </c>
      <c r="D363" t="s">
        <v>2179</v>
      </c>
      <c r="E363" s="140">
        <v>0</v>
      </c>
      <c r="F363" s="140">
        <v>0</v>
      </c>
      <c r="G363" s="140">
        <v>0</v>
      </c>
      <c r="H363" s="140">
        <v>0</v>
      </c>
      <c r="I363" s="140">
        <v>0</v>
      </c>
    </row>
    <row r="364" spans="1:9" s="117" customFormat="1" ht="15" customHeight="1" x14ac:dyDescent="0.25">
      <c r="A364" s="186" t="s">
        <v>659</v>
      </c>
      <c r="B364" t="s">
        <v>654</v>
      </c>
      <c r="C364" t="s">
        <v>2180</v>
      </c>
      <c r="D364" t="s">
        <v>2181</v>
      </c>
      <c r="E364" s="140">
        <v>0</v>
      </c>
      <c r="F364" s="140">
        <v>0</v>
      </c>
      <c r="G364" s="140">
        <v>0</v>
      </c>
      <c r="H364" s="140">
        <v>0</v>
      </c>
      <c r="I364" s="140">
        <v>0</v>
      </c>
    </row>
    <row r="365" spans="1:9" s="117" customFormat="1" ht="15" customHeight="1" x14ac:dyDescent="0.25">
      <c r="A365" s="186" t="s">
        <v>660</v>
      </c>
      <c r="B365" t="s">
        <v>655</v>
      </c>
      <c r="C365" t="s">
        <v>2182</v>
      </c>
      <c r="D365" t="s">
        <v>2183</v>
      </c>
      <c r="E365" s="140">
        <v>0</v>
      </c>
      <c r="F365" s="140">
        <v>0</v>
      </c>
      <c r="G365" s="140">
        <v>0</v>
      </c>
      <c r="H365" s="140">
        <v>0</v>
      </c>
      <c r="I365" s="140">
        <v>0</v>
      </c>
    </row>
    <row r="366" spans="1:9" s="185" customFormat="1" ht="15" customHeight="1" x14ac:dyDescent="0.25">
      <c r="A366" s="191" t="s">
        <v>661</v>
      </c>
      <c r="B366" t="s">
        <v>656</v>
      </c>
      <c r="C366" t="s">
        <v>2184</v>
      </c>
      <c r="D366" t="s">
        <v>2185</v>
      </c>
      <c r="E366" s="140">
        <v>0</v>
      </c>
      <c r="F366" s="140">
        <v>0</v>
      </c>
      <c r="G366" s="140">
        <v>0</v>
      </c>
      <c r="H366" s="140">
        <v>0</v>
      </c>
      <c r="I366" s="140">
        <v>0</v>
      </c>
    </row>
    <row r="367" spans="1:9" s="185" customFormat="1" ht="15" customHeight="1" x14ac:dyDescent="0.25">
      <c r="A367" s="191" t="s">
        <v>662</v>
      </c>
      <c r="B367" t="s">
        <v>657</v>
      </c>
      <c r="C367" t="s">
        <v>2186</v>
      </c>
      <c r="D367" t="s">
        <v>2187</v>
      </c>
      <c r="E367" s="140">
        <v>0</v>
      </c>
      <c r="F367" s="140">
        <v>0</v>
      </c>
      <c r="G367" s="140">
        <v>0</v>
      </c>
      <c r="H367" s="140">
        <v>0</v>
      </c>
      <c r="I367" s="140">
        <v>0</v>
      </c>
    </row>
    <row r="368" spans="1:9" s="117" customFormat="1" ht="15" customHeight="1" x14ac:dyDescent="0.25">
      <c r="A368" s="186" t="s">
        <v>663</v>
      </c>
      <c r="B368" t="s">
        <v>658</v>
      </c>
      <c r="C368" t="s">
        <v>2188</v>
      </c>
      <c r="D368" t="s">
        <v>2189</v>
      </c>
      <c r="E368" s="140">
        <v>0</v>
      </c>
      <c r="F368" s="140">
        <v>0</v>
      </c>
      <c r="G368" s="140">
        <v>0</v>
      </c>
      <c r="H368" s="140">
        <v>0</v>
      </c>
      <c r="I368" s="140">
        <v>0</v>
      </c>
    </row>
    <row r="369" spans="1:9" s="117" customFormat="1" ht="15" customHeight="1" x14ac:dyDescent="0.25">
      <c r="A369" s="186" t="s">
        <v>664</v>
      </c>
      <c r="B369" t="s">
        <v>659</v>
      </c>
      <c r="C369" t="s">
        <v>2190</v>
      </c>
      <c r="D369" t="s">
        <v>2191</v>
      </c>
      <c r="E369" s="140">
        <v>0</v>
      </c>
      <c r="F369" s="140">
        <v>0</v>
      </c>
      <c r="G369" s="140">
        <v>0</v>
      </c>
      <c r="H369" s="140">
        <v>0</v>
      </c>
      <c r="I369" s="140">
        <v>0</v>
      </c>
    </row>
    <row r="370" spans="1:9" s="185" customFormat="1" ht="15" customHeight="1" x14ac:dyDescent="0.25">
      <c r="A370" s="191" t="s">
        <v>665</v>
      </c>
      <c r="B370" t="s">
        <v>660</v>
      </c>
      <c r="C370" t="s">
        <v>2192</v>
      </c>
      <c r="D370" t="s">
        <v>2193</v>
      </c>
      <c r="E370" s="140">
        <v>0</v>
      </c>
      <c r="F370" s="140">
        <v>0</v>
      </c>
      <c r="G370" s="140">
        <v>0</v>
      </c>
      <c r="H370" s="140">
        <v>0</v>
      </c>
      <c r="I370" s="140">
        <v>0</v>
      </c>
    </row>
    <row r="371" spans="1:9" s="336" customFormat="1" ht="15" customHeight="1" x14ac:dyDescent="0.25">
      <c r="A371" s="335" t="s">
        <v>666</v>
      </c>
      <c r="B371" t="s">
        <v>661</v>
      </c>
      <c r="C371" t="s">
        <v>2194</v>
      </c>
      <c r="D371" t="s">
        <v>2195</v>
      </c>
      <c r="E371" s="140">
        <v>0</v>
      </c>
      <c r="F371" s="140">
        <v>0</v>
      </c>
      <c r="G371" s="140">
        <v>0</v>
      </c>
      <c r="H371" s="140">
        <v>0</v>
      </c>
      <c r="I371" s="140">
        <v>0</v>
      </c>
    </row>
    <row r="372" spans="1:9" s="338" customFormat="1" ht="15" customHeight="1" x14ac:dyDescent="0.25">
      <c r="A372" s="337" t="s">
        <v>667</v>
      </c>
      <c r="B372" t="s">
        <v>662</v>
      </c>
      <c r="C372" t="s">
        <v>2196</v>
      </c>
      <c r="D372" t="s">
        <v>2197</v>
      </c>
      <c r="E372" s="140">
        <v>0</v>
      </c>
      <c r="F372" s="140">
        <v>0</v>
      </c>
      <c r="G372" s="140">
        <v>0</v>
      </c>
      <c r="H372" s="140">
        <v>0</v>
      </c>
      <c r="I372" s="140">
        <v>0</v>
      </c>
    </row>
    <row r="373" spans="1:9" s="117" customFormat="1" ht="15" customHeight="1" x14ac:dyDescent="0.25">
      <c r="A373" s="186" t="s">
        <v>668</v>
      </c>
      <c r="B373" t="s">
        <v>663</v>
      </c>
      <c r="C373" t="s">
        <v>2198</v>
      </c>
      <c r="D373" t="s">
        <v>2199</v>
      </c>
      <c r="E373" s="140">
        <v>0</v>
      </c>
      <c r="F373" s="140">
        <v>0</v>
      </c>
      <c r="G373" s="140">
        <v>0</v>
      </c>
      <c r="H373" s="140">
        <v>0</v>
      </c>
      <c r="I373" s="140">
        <v>0</v>
      </c>
    </row>
    <row r="374" spans="1:9" s="117" customFormat="1" ht="15" customHeight="1" x14ac:dyDescent="0.25">
      <c r="A374" s="186" t="s">
        <v>669</v>
      </c>
      <c r="B374" t="s">
        <v>664</v>
      </c>
      <c r="C374" t="s">
        <v>2200</v>
      </c>
      <c r="D374" t="s">
        <v>2201</v>
      </c>
      <c r="E374" s="140">
        <v>0</v>
      </c>
      <c r="F374" s="140">
        <v>0</v>
      </c>
      <c r="G374" s="140">
        <v>0</v>
      </c>
      <c r="H374" s="140">
        <v>0</v>
      </c>
      <c r="I374" s="140">
        <v>0</v>
      </c>
    </row>
    <row r="375" spans="1:9" s="176" customFormat="1" ht="15" customHeight="1" x14ac:dyDescent="0.25">
      <c r="A375" s="275" t="s">
        <v>670</v>
      </c>
      <c r="B375" t="s">
        <v>665</v>
      </c>
      <c r="C375" t="s">
        <v>2202</v>
      </c>
      <c r="D375" t="s">
        <v>2203</v>
      </c>
      <c r="E375" s="140">
        <v>0</v>
      </c>
      <c r="F375" s="140">
        <v>0</v>
      </c>
      <c r="G375" s="140">
        <v>0</v>
      </c>
      <c r="H375" s="140">
        <v>0</v>
      </c>
      <c r="I375" s="140">
        <v>0</v>
      </c>
    </row>
    <row r="376" spans="1:9" s="117" customFormat="1" ht="15" customHeight="1" x14ac:dyDescent="0.25">
      <c r="A376" s="186" t="s">
        <v>671</v>
      </c>
      <c r="B376" t="s">
        <v>666</v>
      </c>
      <c r="C376" t="s">
        <v>2204</v>
      </c>
      <c r="D376" t="s">
        <v>2205</v>
      </c>
      <c r="E376" s="140">
        <v>0</v>
      </c>
      <c r="F376" s="140">
        <v>0</v>
      </c>
      <c r="G376" s="140">
        <v>0</v>
      </c>
      <c r="H376" s="140">
        <v>0</v>
      </c>
      <c r="I376" s="140">
        <v>0</v>
      </c>
    </row>
    <row r="377" spans="1:9" s="117" customFormat="1" ht="15" customHeight="1" x14ac:dyDescent="0.25">
      <c r="A377" s="186" t="s">
        <v>672</v>
      </c>
      <c r="B377" t="s">
        <v>667</v>
      </c>
      <c r="C377" t="s">
        <v>2206</v>
      </c>
      <c r="D377" t="s">
        <v>2207</v>
      </c>
      <c r="E377" s="140">
        <v>0</v>
      </c>
      <c r="F377" s="140">
        <v>0</v>
      </c>
      <c r="G377" s="140">
        <v>0</v>
      </c>
      <c r="H377" s="140">
        <v>0</v>
      </c>
      <c r="I377" s="140">
        <v>0</v>
      </c>
    </row>
    <row r="378" spans="1:9" s="117" customFormat="1" ht="15" customHeight="1" x14ac:dyDescent="0.25">
      <c r="A378" s="186" t="s">
        <v>673</v>
      </c>
      <c r="B378" t="s">
        <v>668</v>
      </c>
      <c r="C378" t="s">
        <v>2208</v>
      </c>
      <c r="D378" t="s">
        <v>2209</v>
      </c>
      <c r="E378" s="140">
        <v>0</v>
      </c>
      <c r="F378" s="140">
        <v>0</v>
      </c>
      <c r="G378" s="140">
        <v>0</v>
      </c>
      <c r="H378" s="140">
        <v>0</v>
      </c>
      <c r="I378" s="140">
        <v>0</v>
      </c>
    </row>
    <row r="379" spans="1:9" s="117" customFormat="1" ht="15" customHeight="1" x14ac:dyDescent="0.25">
      <c r="A379" s="186" t="s">
        <v>674</v>
      </c>
      <c r="B379" t="s">
        <v>669</v>
      </c>
      <c r="C379" t="s">
        <v>2210</v>
      </c>
      <c r="D379" t="s">
        <v>2211</v>
      </c>
      <c r="E379" s="140">
        <v>0</v>
      </c>
      <c r="F379" s="140">
        <v>0</v>
      </c>
      <c r="G379" s="140">
        <v>0</v>
      </c>
      <c r="H379" s="140">
        <v>0</v>
      </c>
      <c r="I379" s="140">
        <v>0</v>
      </c>
    </row>
    <row r="380" spans="1:9" s="336" customFormat="1" ht="15" customHeight="1" x14ac:dyDescent="0.25">
      <c r="A380" s="335" t="s">
        <v>675</v>
      </c>
      <c r="B380" t="s">
        <v>670</v>
      </c>
      <c r="C380" t="s">
        <v>2212</v>
      </c>
      <c r="D380" t="s">
        <v>2213</v>
      </c>
      <c r="E380" s="140">
        <v>0</v>
      </c>
      <c r="F380" s="140">
        <v>0</v>
      </c>
      <c r="G380" s="140">
        <v>0</v>
      </c>
      <c r="H380" s="140">
        <v>0</v>
      </c>
      <c r="I380" s="140">
        <v>0</v>
      </c>
    </row>
    <row r="381" spans="1:9" s="338" customFormat="1" ht="15" customHeight="1" x14ac:dyDescent="0.25">
      <c r="A381" s="337" t="s">
        <v>676</v>
      </c>
      <c r="B381" t="s">
        <v>671</v>
      </c>
      <c r="C381" t="s">
        <v>2214</v>
      </c>
      <c r="D381" t="s">
        <v>2215</v>
      </c>
      <c r="E381" s="140">
        <v>0</v>
      </c>
      <c r="F381" s="140">
        <v>0</v>
      </c>
      <c r="G381" s="140">
        <v>0</v>
      </c>
      <c r="H381" s="140">
        <v>0</v>
      </c>
      <c r="I381" s="140">
        <v>0</v>
      </c>
    </row>
    <row r="382" spans="1:9" s="338" customFormat="1" ht="15" customHeight="1" x14ac:dyDescent="0.25">
      <c r="A382" s="337" t="s">
        <v>677</v>
      </c>
      <c r="B382" t="s">
        <v>672</v>
      </c>
      <c r="C382" t="s">
        <v>2216</v>
      </c>
      <c r="D382" t="s">
        <v>2217</v>
      </c>
      <c r="E382" s="140">
        <v>0</v>
      </c>
      <c r="F382" s="140">
        <v>0</v>
      </c>
      <c r="G382" s="140">
        <v>0</v>
      </c>
      <c r="H382" s="140">
        <v>0</v>
      </c>
      <c r="I382" s="140">
        <v>0</v>
      </c>
    </row>
    <row r="383" spans="1:9" s="117" customFormat="1" ht="15" customHeight="1" x14ac:dyDescent="0.25">
      <c r="A383" s="186" t="s">
        <v>678</v>
      </c>
      <c r="B383" t="s">
        <v>673</v>
      </c>
      <c r="C383" t="s">
        <v>2218</v>
      </c>
      <c r="D383" t="s">
        <v>2219</v>
      </c>
      <c r="E383" s="140">
        <v>0</v>
      </c>
      <c r="F383" s="140">
        <v>0</v>
      </c>
      <c r="G383" s="140">
        <v>0</v>
      </c>
      <c r="H383" s="140">
        <v>0</v>
      </c>
      <c r="I383" s="140">
        <v>0</v>
      </c>
    </row>
    <row r="384" spans="1:9" s="117" customFormat="1" ht="15" customHeight="1" x14ac:dyDescent="0.25">
      <c r="A384" s="186" t="s">
        <v>679</v>
      </c>
      <c r="B384" t="s">
        <v>674</v>
      </c>
      <c r="C384" t="s">
        <v>2220</v>
      </c>
      <c r="D384" t="s">
        <v>2221</v>
      </c>
      <c r="E384" s="140">
        <v>0</v>
      </c>
      <c r="F384" s="140">
        <v>0</v>
      </c>
      <c r="G384" s="140">
        <v>0</v>
      </c>
      <c r="H384" s="140">
        <v>0</v>
      </c>
      <c r="I384" s="140">
        <v>0</v>
      </c>
    </row>
    <row r="385" spans="1:9" s="117" customFormat="1" ht="15" customHeight="1" x14ac:dyDescent="0.25">
      <c r="A385" s="186" t="s">
        <v>680</v>
      </c>
      <c r="B385" t="s">
        <v>675</v>
      </c>
      <c r="C385" t="s">
        <v>2222</v>
      </c>
      <c r="D385" t="s">
        <v>2223</v>
      </c>
      <c r="E385" s="140">
        <v>0</v>
      </c>
      <c r="F385" s="140">
        <v>0</v>
      </c>
      <c r="G385" s="140">
        <v>0</v>
      </c>
      <c r="H385" s="140">
        <v>0</v>
      </c>
      <c r="I385" s="140">
        <v>0</v>
      </c>
    </row>
    <row r="386" spans="1:9" s="117" customFormat="1" ht="15" customHeight="1" x14ac:dyDescent="0.25">
      <c r="A386" s="186" t="s">
        <v>681</v>
      </c>
      <c r="B386" t="s">
        <v>676</v>
      </c>
      <c r="C386" t="s">
        <v>1617</v>
      </c>
      <c r="D386" t="s">
        <v>1618</v>
      </c>
      <c r="E386" s="140">
        <v>0</v>
      </c>
      <c r="F386" s="140">
        <v>0</v>
      </c>
      <c r="G386" s="140">
        <v>0</v>
      </c>
      <c r="H386" s="140">
        <v>0</v>
      </c>
      <c r="I386" s="140">
        <v>0</v>
      </c>
    </row>
    <row r="387" spans="1:9" s="117" customFormat="1" ht="15" customHeight="1" x14ac:dyDescent="0.25">
      <c r="A387" s="186" t="s">
        <v>682</v>
      </c>
      <c r="B387" t="s">
        <v>677</v>
      </c>
      <c r="C387" t="s">
        <v>2224</v>
      </c>
      <c r="D387" t="s">
        <v>2225</v>
      </c>
      <c r="E387" s="140">
        <v>0</v>
      </c>
      <c r="F387" s="140">
        <v>0</v>
      </c>
      <c r="G387" s="140">
        <v>0</v>
      </c>
      <c r="H387" s="140">
        <v>0</v>
      </c>
      <c r="I387" s="140">
        <v>0</v>
      </c>
    </row>
    <row r="388" spans="1:9" s="185" customFormat="1" ht="15" customHeight="1" x14ac:dyDescent="0.25">
      <c r="A388" s="191" t="s">
        <v>683</v>
      </c>
      <c r="B388" t="s">
        <v>678</v>
      </c>
      <c r="C388" t="s">
        <v>2226</v>
      </c>
      <c r="D388" t="s">
        <v>2227</v>
      </c>
      <c r="E388" s="140">
        <v>0</v>
      </c>
      <c r="F388" s="140">
        <v>0</v>
      </c>
      <c r="G388" s="140">
        <v>0</v>
      </c>
      <c r="H388" s="140">
        <v>0</v>
      </c>
      <c r="I388" s="140">
        <v>0</v>
      </c>
    </row>
    <row r="389" spans="1:9" s="185" customFormat="1" ht="15" customHeight="1" x14ac:dyDescent="0.25">
      <c r="A389" s="191" t="s">
        <v>684</v>
      </c>
      <c r="B389" t="s">
        <v>679</v>
      </c>
      <c r="C389" t="s">
        <v>2228</v>
      </c>
      <c r="D389" t="s">
        <v>2229</v>
      </c>
      <c r="E389" s="140">
        <v>0</v>
      </c>
      <c r="F389" s="140">
        <v>0</v>
      </c>
      <c r="G389" s="140">
        <v>0</v>
      </c>
      <c r="H389" s="140">
        <v>0</v>
      </c>
      <c r="I389" s="140">
        <v>0</v>
      </c>
    </row>
    <row r="390" spans="1:9" s="185" customFormat="1" ht="15" customHeight="1" x14ac:dyDescent="0.25">
      <c r="A390" s="191" t="s">
        <v>685</v>
      </c>
      <c r="B390" t="s">
        <v>680</v>
      </c>
      <c r="C390" t="s">
        <v>2230</v>
      </c>
      <c r="D390" t="s">
        <v>2231</v>
      </c>
      <c r="E390" s="140">
        <v>0</v>
      </c>
      <c r="F390" s="140">
        <v>0</v>
      </c>
      <c r="G390" s="140">
        <v>0</v>
      </c>
      <c r="H390" s="140">
        <v>0</v>
      </c>
      <c r="I390" s="140">
        <v>0</v>
      </c>
    </row>
    <row r="391" spans="1:9" s="117" customFormat="1" ht="15" customHeight="1" x14ac:dyDescent="0.25">
      <c r="A391" s="186" t="s">
        <v>686</v>
      </c>
      <c r="B391" t="s">
        <v>681</v>
      </c>
      <c r="C391" t="s">
        <v>2232</v>
      </c>
      <c r="D391" t="s">
        <v>2233</v>
      </c>
      <c r="E391" s="140">
        <v>0</v>
      </c>
      <c r="F391" s="140">
        <v>0</v>
      </c>
      <c r="G391" s="140">
        <v>0</v>
      </c>
      <c r="H391" s="140">
        <v>0</v>
      </c>
      <c r="I391" s="140">
        <v>0</v>
      </c>
    </row>
    <row r="392" spans="1:9" s="117" customFormat="1" ht="15" customHeight="1" x14ac:dyDescent="0.25">
      <c r="A392" s="186" t="s">
        <v>687</v>
      </c>
      <c r="B392" t="s">
        <v>682</v>
      </c>
      <c r="C392" t="s">
        <v>2234</v>
      </c>
      <c r="D392" t="s">
        <v>2235</v>
      </c>
      <c r="E392" s="140">
        <v>0</v>
      </c>
      <c r="F392" s="140">
        <v>0</v>
      </c>
      <c r="G392" s="140">
        <v>0</v>
      </c>
      <c r="H392" s="140">
        <v>0</v>
      </c>
      <c r="I392" s="140">
        <v>0</v>
      </c>
    </row>
    <row r="393" spans="1:9" s="117" customFormat="1" ht="15" customHeight="1" x14ac:dyDescent="0.25">
      <c r="A393" s="186" t="s">
        <v>688</v>
      </c>
      <c r="B393" t="s">
        <v>683</v>
      </c>
      <c r="C393" t="s">
        <v>2236</v>
      </c>
      <c r="D393" t="s">
        <v>2237</v>
      </c>
      <c r="E393" s="140">
        <v>0</v>
      </c>
      <c r="F393" s="140">
        <v>0</v>
      </c>
      <c r="G393" s="140">
        <v>0</v>
      </c>
      <c r="H393" s="140">
        <v>0</v>
      </c>
      <c r="I393" s="140">
        <v>0</v>
      </c>
    </row>
    <row r="394" spans="1:9" s="117" customFormat="1" ht="15" customHeight="1" x14ac:dyDescent="0.25">
      <c r="A394" s="186" t="s">
        <v>689</v>
      </c>
      <c r="B394" t="s">
        <v>684</v>
      </c>
      <c r="C394" t="s">
        <v>2238</v>
      </c>
      <c r="D394" t="s">
        <v>2239</v>
      </c>
      <c r="E394" s="140">
        <v>0</v>
      </c>
      <c r="F394" s="140">
        <v>0</v>
      </c>
      <c r="G394" s="140">
        <v>0</v>
      </c>
      <c r="H394" s="140">
        <v>0</v>
      </c>
      <c r="I394" s="140">
        <v>0</v>
      </c>
    </row>
    <row r="395" spans="1:9" s="117" customFormat="1" ht="15" customHeight="1" x14ac:dyDescent="0.25">
      <c r="A395" s="186" t="s">
        <v>690</v>
      </c>
      <c r="B395" t="s">
        <v>685</v>
      </c>
      <c r="C395" t="s">
        <v>2240</v>
      </c>
      <c r="D395" t="s">
        <v>2241</v>
      </c>
      <c r="E395" s="140">
        <v>0</v>
      </c>
      <c r="F395" s="140">
        <v>0</v>
      </c>
      <c r="G395" s="140">
        <v>0</v>
      </c>
      <c r="H395" s="140">
        <v>0</v>
      </c>
      <c r="I395" s="140">
        <v>0</v>
      </c>
    </row>
    <row r="396" spans="1:9" s="185" customFormat="1" ht="15" customHeight="1" x14ac:dyDescent="0.25">
      <c r="A396" s="191" t="s">
        <v>691</v>
      </c>
      <c r="B396" t="s">
        <v>686</v>
      </c>
      <c r="C396" s="261">
        <v>1554290000000</v>
      </c>
      <c r="D396" t="s">
        <v>2242</v>
      </c>
      <c r="E396" s="140">
        <v>0</v>
      </c>
      <c r="F396" s="140">
        <v>0</v>
      </c>
      <c r="G396" s="140">
        <v>0</v>
      </c>
      <c r="H396" s="140">
        <v>0</v>
      </c>
      <c r="I396" s="140">
        <v>0</v>
      </c>
    </row>
    <row r="397" spans="1:9" s="117" customFormat="1" ht="15" customHeight="1" x14ac:dyDescent="0.25">
      <c r="A397" s="186" t="s">
        <v>692</v>
      </c>
      <c r="B397" t="s">
        <v>687</v>
      </c>
      <c r="C397" t="s">
        <v>2243</v>
      </c>
      <c r="D397" t="s">
        <v>2244</v>
      </c>
      <c r="E397" s="140">
        <v>0</v>
      </c>
      <c r="F397" s="140">
        <v>0</v>
      </c>
      <c r="G397" s="140">
        <v>0</v>
      </c>
      <c r="H397" s="140">
        <v>0</v>
      </c>
      <c r="I397" s="140">
        <v>0</v>
      </c>
    </row>
    <row r="398" spans="1:9" s="117" customFormat="1" ht="15" customHeight="1" x14ac:dyDescent="0.25">
      <c r="A398" s="186" t="s">
        <v>693</v>
      </c>
      <c r="B398" t="s">
        <v>688</v>
      </c>
      <c r="C398" t="s">
        <v>2245</v>
      </c>
      <c r="D398" t="s">
        <v>2246</v>
      </c>
      <c r="E398" s="140">
        <v>0</v>
      </c>
      <c r="F398" s="140">
        <v>0</v>
      </c>
      <c r="G398" s="140">
        <v>0</v>
      </c>
      <c r="H398" s="140">
        <v>0</v>
      </c>
      <c r="I398" s="140">
        <v>0</v>
      </c>
    </row>
    <row r="399" spans="1:9" s="117" customFormat="1" ht="15" customHeight="1" x14ac:dyDescent="0.25">
      <c r="A399" s="186" t="s">
        <v>694</v>
      </c>
      <c r="B399" t="s">
        <v>689</v>
      </c>
      <c r="C399" t="s">
        <v>2247</v>
      </c>
      <c r="D399" t="s">
        <v>2248</v>
      </c>
      <c r="E399" s="140">
        <v>0</v>
      </c>
      <c r="F399" s="140">
        <v>0</v>
      </c>
      <c r="G399" s="140">
        <v>0</v>
      </c>
      <c r="H399" s="140">
        <v>0</v>
      </c>
      <c r="I399" s="140">
        <v>0</v>
      </c>
    </row>
    <row r="400" spans="1:9" s="117" customFormat="1" ht="15" customHeight="1" x14ac:dyDescent="0.25">
      <c r="A400" s="186" t="s">
        <v>695</v>
      </c>
      <c r="B400" t="s">
        <v>690</v>
      </c>
      <c r="C400" t="s">
        <v>2249</v>
      </c>
      <c r="D400" t="s">
        <v>2250</v>
      </c>
      <c r="E400" s="140">
        <v>0</v>
      </c>
      <c r="F400" s="140">
        <v>0</v>
      </c>
      <c r="G400" s="140">
        <v>0</v>
      </c>
      <c r="H400" s="140">
        <v>0</v>
      </c>
      <c r="I400" s="140">
        <v>0</v>
      </c>
    </row>
    <row r="401" spans="1:9" s="117" customFormat="1" ht="15" customHeight="1" x14ac:dyDescent="0.25">
      <c r="A401" s="186" t="s">
        <v>696</v>
      </c>
      <c r="B401" t="s">
        <v>691</v>
      </c>
      <c r="C401" t="s">
        <v>2251</v>
      </c>
      <c r="D401" t="s">
        <v>2252</v>
      </c>
      <c r="E401" s="140">
        <v>0</v>
      </c>
      <c r="F401" s="140">
        <v>0</v>
      </c>
      <c r="G401" s="140">
        <v>0</v>
      </c>
      <c r="H401" s="140">
        <v>0</v>
      </c>
      <c r="I401" s="140">
        <v>0</v>
      </c>
    </row>
    <row r="402" spans="1:9" s="117" customFormat="1" ht="15" customHeight="1" x14ac:dyDescent="0.25">
      <c r="A402" s="186" t="s">
        <v>697</v>
      </c>
      <c r="B402" t="s">
        <v>692</v>
      </c>
      <c r="C402" t="s">
        <v>2253</v>
      </c>
      <c r="D402" t="s">
        <v>2254</v>
      </c>
      <c r="E402" s="140">
        <v>0</v>
      </c>
      <c r="F402" s="140">
        <v>0</v>
      </c>
      <c r="G402" s="140">
        <v>0</v>
      </c>
      <c r="H402" s="140">
        <v>0</v>
      </c>
      <c r="I402" s="140">
        <v>0</v>
      </c>
    </row>
    <row r="403" spans="1:9" s="185" customFormat="1" ht="15" customHeight="1" x14ac:dyDescent="0.25">
      <c r="A403" s="191" t="s">
        <v>698</v>
      </c>
      <c r="B403" t="s">
        <v>693</v>
      </c>
      <c r="C403" t="s">
        <v>2255</v>
      </c>
      <c r="D403" t="s">
        <v>2256</v>
      </c>
      <c r="E403" s="140">
        <v>0</v>
      </c>
      <c r="F403" s="140">
        <v>0</v>
      </c>
      <c r="G403" s="140">
        <v>0</v>
      </c>
      <c r="H403" s="140">
        <v>0</v>
      </c>
      <c r="I403" s="140">
        <v>0</v>
      </c>
    </row>
    <row r="404" spans="1:9" s="117" customFormat="1" ht="15" customHeight="1" x14ac:dyDescent="0.25">
      <c r="A404" s="186" t="s">
        <v>699</v>
      </c>
      <c r="B404" t="s">
        <v>694</v>
      </c>
      <c r="C404" s="261">
        <v>5902040000000</v>
      </c>
      <c r="D404" t="s">
        <v>2257</v>
      </c>
      <c r="E404" s="140">
        <v>0</v>
      </c>
      <c r="F404" s="140">
        <v>0</v>
      </c>
      <c r="G404" s="140">
        <v>0</v>
      </c>
      <c r="H404" s="140">
        <v>0</v>
      </c>
      <c r="I404" s="140">
        <v>0</v>
      </c>
    </row>
    <row r="405" spans="1:9" s="117" customFormat="1" ht="15" customHeight="1" x14ac:dyDescent="0.25">
      <c r="A405" s="186" t="s">
        <v>700</v>
      </c>
      <c r="B405" t="s">
        <v>695</v>
      </c>
      <c r="C405" t="s">
        <v>2258</v>
      </c>
      <c r="D405" t="s">
        <v>2259</v>
      </c>
      <c r="E405" s="140">
        <v>0</v>
      </c>
      <c r="F405" s="140">
        <v>0</v>
      </c>
      <c r="G405" s="140">
        <v>0</v>
      </c>
      <c r="H405" s="140">
        <v>0</v>
      </c>
      <c r="I405" s="140">
        <v>0</v>
      </c>
    </row>
    <row r="406" spans="1:9" s="117" customFormat="1" ht="15" customHeight="1" x14ac:dyDescent="0.25">
      <c r="A406" s="186" t="s">
        <v>701</v>
      </c>
      <c r="B406" t="s">
        <v>696</v>
      </c>
      <c r="C406" t="s">
        <v>2260</v>
      </c>
      <c r="D406" t="s">
        <v>2261</v>
      </c>
      <c r="E406" s="140">
        <v>0</v>
      </c>
      <c r="F406" s="140">
        <v>0</v>
      </c>
      <c r="G406" s="140">
        <v>0</v>
      </c>
      <c r="H406" s="140">
        <v>0</v>
      </c>
      <c r="I406" s="140">
        <v>0</v>
      </c>
    </row>
    <row r="407" spans="1:9" s="117" customFormat="1" ht="15" customHeight="1" x14ac:dyDescent="0.25">
      <c r="A407" s="186" t="s">
        <v>702</v>
      </c>
      <c r="B407" t="s">
        <v>697</v>
      </c>
      <c r="C407" t="s">
        <v>2262</v>
      </c>
      <c r="D407" t="s">
        <v>2263</v>
      </c>
      <c r="E407" s="140">
        <v>0</v>
      </c>
      <c r="F407" s="140">
        <v>0</v>
      </c>
      <c r="G407" s="140">
        <v>0</v>
      </c>
      <c r="H407" s="140">
        <v>0</v>
      </c>
      <c r="I407" s="140">
        <v>0</v>
      </c>
    </row>
    <row r="408" spans="1:9" s="117" customFormat="1" ht="15" customHeight="1" x14ac:dyDescent="0.25">
      <c r="A408" s="186" t="s">
        <v>703</v>
      </c>
      <c r="B408" t="s">
        <v>698</v>
      </c>
      <c r="C408" t="s">
        <v>2264</v>
      </c>
      <c r="D408" t="s">
        <v>2265</v>
      </c>
      <c r="E408" s="140">
        <v>0</v>
      </c>
      <c r="F408" s="140">
        <v>0</v>
      </c>
      <c r="G408" s="140">
        <v>0</v>
      </c>
      <c r="H408" s="140">
        <v>0</v>
      </c>
      <c r="I408" s="140">
        <v>0</v>
      </c>
    </row>
    <row r="409" spans="1:9" s="117" customFormat="1" ht="15" customHeight="1" x14ac:dyDescent="0.25">
      <c r="A409" s="186" t="s">
        <v>704</v>
      </c>
      <c r="B409" t="s">
        <v>699</v>
      </c>
      <c r="C409" t="s">
        <v>2266</v>
      </c>
      <c r="D409" t="s">
        <v>2267</v>
      </c>
      <c r="E409" s="140">
        <v>0</v>
      </c>
      <c r="F409" s="140">
        <v>0</v>
      </c>
      <c r="G409" s="140">
        <v>0</v>
      </c>
      <c r="H409" s="140">
        <v>0</v>
      </c>
      <c r="I409" s="140">
        <v>0</v>
      </c>
    </row>
    <row r="410" spans="1:9" s="117" customFormat="1" ht="15" customHeight="1" x14ac:dyDescent="0.25">
      <c r="A410" s="186" t="s">
        <v>705</v>
      </c>
      <c r="B410" t="s">
        <v>700</v>
      </c>
      <c r="C410" t="s">
        <v>2268</v>
      </c>
      <c r="D410" t="s">
        <v>2269</v>
      </c>
      <c r="E410" s="140">
        <v>0</v>
      </c>
      <c r="F410" s="140">
        <v>0</v>
      </c>
      <c r="G410" s="140">
        <v>0</v>
      </c>
      <c r="H410" s="140">
        <v>0</v>
      </c>
      <c r="I410" s="140">
        <v>0</v>
      </c>
    </row>
    <row r="411" spans="1:9" s="117" customFormat="1" ht="15" customHeight="1" x14ac:dyDescent="0.25">
      <c r="A411" s="186" t="s">
        <v>706</v>
      </c>
      <c r="B411" t="s">
        <v>701</v>
      </c>
      <c r="C411" t="s">
        <v>2270</v>
      </c>
      <c r="D411" t="s">
        <v>2271</v>
      </c>
      <c r="E411" s="140">
        <v>0</v>
      </c>
      <c r="F411" s="140">
        <v>0</v>
      </c>
      <c r="G411" s="140">
        <v>0</v>
      </c>
      <c r="H411" s="140">
        <v>0</v>
      </c>
      <c r="I411" s="140">
        <v>0</v>
      </c>
    </row>
    <row r="412" spans="1:9" s="336" customFormat="1" ht="15" customHeight="1" x14ac:dyDescent="0.25">
      <c r="A412" s="335" t="s">
        <v>707</v>
      </c>
      <c r="B412" t="s">
        <v>702</v>
      </c>
      <c r="C412" t="s">
        <v>2272</v>
      </c>
      <c r="D412" t="s">
        <v>2273</v>
      </c>
      <c r="E412" s="140">
        <v>0</v>
      </c>
      <c r="F412" s="140">
        <v>0</v>
      </c>
      <c r="G412" s="140">
        <v>0</v>
      </c>
      <c r="H412" s="140">
        <v>0</v>
      </c>
      <c r="I412" s="140">
        <v>0</v>
      </c>
    </row>
    <row r="413" spans="1:9" s="185" customFormat="1" ht="15" customHeight="1" x14ac:dyDescent="0.25">
      <c r="A413" s="191" t="s">
        <v>708</v>
      </c>
      <c r="B413" t="s">
        <v>703</v>
      </c>
      <c r="C413" t="s">
        <v>2274</v>
      </c>
      <c r="D413" t="s">
        <v>2275</v>
      </c>
      <c r="E413" s="140">
        <v>0</v>
      </c>
      <c r="F413" s="140">
        <v>0</v>
      </c>
      <c r="G413" s="140">
        <v>0</v>
      </c>
      <c r="H413" s="140">
        <v>0</v>
      </c>
      <c r="I413" s="140">
        <v>0</v>
      </c>
    </row>
    <row r="414" spans="1:9" s="279" customFormat="1" ht="15" customHeight="1" x14ac:dyDescent="0.25">
      <c r="A414" s="278" t="s">
        <v>709</v>
      </c>
      <c r="B414" t="s">
        <v>704</v>
      </c>
      <c r="C414" t="s">
        <v>2276</v>
      </c>
      <c r="D414" t="s">
        <v>2277</v>
      </c>
      <c r="E414" s="140">
        <v>0</v>
      </c>
      <c r="F414" s="140">
        <v>0</v>
      </c>
      <c r="G414" s="140">
        <v>0</v>
      </c>
      <c r="H414" s="140">
        <v>0</v>
      </c>
      <c r="I414" s="140">
        <v>0</v>
      </c>
    </row>
    <row r="415" spans="1:9" s="176" customFormat="1" ht="15" customHeight="1" x14ac:dyDescent="0.25">
      <c r="A415" s="275" t="s">
        <v>710</v>
      </c>
      <c r="B415" t="s">
        <v>705</v>
      </c>
      <c r="C415" t="s">
        <v>2278</v>
      </c>
      <c r="D415" t="s">
        <v>2279</v>
      </c>
      <c r="E415" s="140">
        <v>0</v>
      </c>
      <c r="F415" s="140">
        <v>0</v>
      </c>
      <c r="G415" s="140">
        <v>0</v>
      </c>
      <c r="H415" s="140">
        <v>0</v>
      </c>
      <c r="I415" s="140">
        <v>0</v>
      </c>
    </row>
    <row r="416" spans="1:9" s="338" customFormat="1" ht="15" customHeight="1" x14ac:dyDescent="0.25">
      <c r="A416" s="337" t="s">
        <v>711</v>
      </c>
      <c r="B416" t="s">
        <v>706</v>
      </c>
      <c r="C416" t="s">
        <v>2280</v>
      </c>
      <c r="D416" t="s">
        <v>2281</v>
      </c>
      <c r="E416" s="140">
        <v>0</v>
      </c>
      <c r="F416" s="140">
        <v>0</v>
      </c>
      <c r="G416" s="140">
        <v>0</v>
      </c>
      <c r="H416" s="140">
        <v>0</v>
      </c>
      <c r="I416" s="140">
        <v>0</v>
      </c>
    </row>
    <row r="417" spans="1:9" s="117" customFormat="1" ht="15" customHeight="1" x14ac:dyDescent="0.25">
      <c r="A417" s="186" t="s">
        <v>712</v>
      </c>
      <c r="B417" t="s">
        <v>707</v>
      </c>
      <c r="C417" t="s">
        <v>2282</v>
      </c>
      <c r="D417" t="s">
        <v>2283</v>
      </c>
      <c r="E417" s="140">
        <v>0</v>
      </c>
      <c r="F417" s="140">
        <v>0</v>
      </c>
      <c r="G417" s="140">
        <v>0</v>
      </c>
      <c r="H417" s="140">
        <v>0</v>
      </c>
      <c r="I417" s="140">
        <v>0</v>
      </c>
    </row>
    <row r="418" spans="1:9" s="117" customFormat="1" ht="15" customHeight="1" x14ac:dyDescent="0.25">
      <c r="A418" s="186" t="s">
        <v>713</v>
      </c>
      <c r="B418" t="s">
        <v>708</v>
      </c>
      <c r="C418" t="s">
        <v>2284</v>
      </c>
      <c r="D418" t="s">
        <v>2285</v>
      </c>
      <c r="E418" s="140">
        <v>0</v>
      </c>
      <c r="F418" s="140">
        <v>0</v>
      </c>
      <c r="G418" s="140">
        <v>0</v>
      </c>
      <c r="H418" s="140">
        <v>0</v>
      </c>
      <c r="I418" s="140">
        <v>0</v>
      </c>
    </row>
    <row r="419" spans="1:9" s="117" customFormat="1" ht="15" customHeight="1" x14ac:dyDescent="0.25">
      <c r="A419" s="186" t="s">
        <v>714</v>
      </c>
      <c r="B419" t="s">
        <v>709</v>
      </c>
      <c r="C419" t="s">
        <v>2286</v>
      </c>
      <c r="D419" t="s">
        <v>2287</v>
      </c>
      <c r="E419" s="140">
        <v>0</v>
      </c>
      <c r="F419" s="140">
        <v>0</v>
      </c>
      <c r="G419" s="140">
        <v>0</v>
      </c>
      <c r="H419" s="140">
        <v>0</v>
      </c>
      <c r="I419" s="140">
        <v>0</v>
      </c>
    </row>
    <row r="420" spans="1:9" s="117" customFormat="1" ht="15" customHeight="1" x14ac:dyDescent="0.25">
      <c r="A420" s="186" t="s">
        <v>715</v>
      </c>
      <c r="B420" t="s">
        <v>710</v>
      </c>
      <c r="C420" t="s">
        <v>2288</v>
      </c>
      <c r="D420" t="s">
        <v>2289</v>
      </c>
      <c r="E420" s="140">
        <v>0</v>
      </c>
      <c r="F420" s="140">
        <v>0</v>
      </c>
      <c r="G420" s="140">
        <v>0</v>
      </c>
      <c r="H420" s="140">
        <v>0</v>
      </c>
      <c r="I420" s="140">
        <v>0</v>
      </c>
    </row>
    <row r="421" spans="1:9" s="117" customFormat="1" ht="15" customHeight="1" x14ac:dyDescent="0.25">
      <c r="A421" s="186" t="s">
        <v>716</v>
      </c>
      <c r="B421" t="s">
        <v>711</v>
      </c>
      <c r="C421" t="s">
        <v>2290</v>
      </c>
      <c r="D421" t="s">
        <v>2291</v>
      </c>
      <c r="E421" s="140">
        <v>0</v>
      </c>
      <c r="F421" s="140">
        <v>0</v>
      </c>
      <c r="G421" s="140">
        <v>0</v>
      </c>
      <c r="H421" s="140">
        <v>0</v>
      </c>
      <c r="I421" s="140">
        <v>0</v>
      </c>
    </row>
    <row r="422" spans="1:9" s="117" customFormat="1" ht="15" customHeight="1" x14ac:dyDescent="0.25">
      <c r="A422" s="186" t="s">
        <v>717</v>
      </c>
      <c r="B422" t="s">
        <v>712</v>
      </c>
      <c r="C422" t="s">
        <v>2292</v>
      </c>
      <c r="D422" t="s">
        <v>2293</v>
      </c>
      <c r="E422" s="140">
        <v>0</v>
      </c>
      <c r="F422" s="140">
        <v>0</v>
      </c>
      <c r="G422" s="140">
        <v>0</v>
      </c>
      <c r="H422" s="140">
        <v>0</v>
      </c>
      <c r="I422" s="140">
        <v>0</v>
      </c>
    </row>
    <row r="423" spans="1:9" s="117" customFormat="1" ht="15" customHeight="1" x14ac:dyDescent="0.25">
      <c r="A423" s="186" t="s">
        <v>718</v>
      </c>
      <c r="B423" t="s">
        <v>713</v>
      </c>
      <c r="C423" t="s">
        <v>2294</v>
      </c>
      <c r="D423" t="s">
        <v>2295</v>
      </c>
      <c r="E423" s="140">
        <v>0</v>
      </c>
      <c r="F423" s="140">
        <v>0</v>
      </c>
      <c r="G423" s="140">
        <v>0</v>
      </c>
      <c r="H423" s="140">
        <v>0</v>
      </c>
      <c r="I423" s="140">
        <v>0</v>
      </c>
    </row>
    <row r="424" spans="1:9" s="117" customFormat="1" ht="15" customHeight="1" x14ac:dyDescent="0.25">
      <c r="A424" s="186" t="s">
        <v>719</v>
      </c>
      <c r="B424" t="s">
        <v>714</v>
      </c>
      <c r="C424" t="s">
        <v>2296</v>
      </c>
      <c r="D424" t="s">
        <v>2297</v>
      </c>
      <c r="E424" s="140">
        <v>0</v>
      </c>
      <c r="F424" s="140">
        <v>0</v>
      </c>
      <c r="G424" s="140">
        <v>0</v>
      </c>
      <c r="H424" s="140">
        <v>0</v>
      </c>
      <c r="I424" s="140">
        <v>0</v>
      </c>
    </row>
    <row r="425" spans="1:9" s="117" customFormat="1" ht="15" customHeight="1" x14ac:dyDescent="0.25">
      <c r="A425" s="186" t="s">
        <v>720</v>
      </c>
      <c r="B425" t="s">
        <v>715</v>
      </c>
      <c r="C425" t="s">
        <v>2298</v>
      </c>
      <c r="D425" t="s">
        <v>2299</v>
      </c>
      <c r="E425" s="140">
        <v>0</v>
      </c>
      <c r="F425" s="140">
        <v>0</v>
      </c>
      <c r="G425" s="140">
        <v>0</v>
      </c>
      <c r="H425" s="140">
        <v>0</v>
      </c>
      <c r="I425" s="140">
        <v>0</v>
      </c>
    </row>
    <row r="426" spans="1:9" s="117" customFormat="1" ht="15" customHeight="1" x14ac:dyDescent="0.25">
      <c r="A426" s="186" t="s">
        <v>721</v>
      </c>
      <c r="B426" t="s">
        <v>716</v>
      </c>
      <c r="C426" t="s">
        <v>2300</v>
      </c>
      <c r="D426" t="s">
        <v>2301</v>
      </c>
      <c r="E426" s="140">
        <v>0</v>
      </c>
      <c r="F426" s="140">
        <v>0</v>
      </c>
      <c r="G426" s="140">
        <v>0</v>
      </c>
      <c r="H426" s="140">
        <v>0</v>
      </c>
      <c r="I426" s="140">
        <v>0</v>
      </c>
    </row>
    <row r="427" spans="1:9" s="117" customFormat="1" ht="15" customHeight="1" x14ac:dyDescent="0.25">
      <c r="A427" s="186" t="s">
        <v>722</v>
      </c>
      <c r="B427" t="s">
        <v>717</v>
      </c>
      <c r="C427" t="s">
        <v>2302</v>
      </c>
      <c r="D427" t="s">
        <v>2303</v>
      </c>
      <c r="E427" s="140">
        <v>0</v>
      </c>
      <c r="F427" s="140">
        <v>0</v>
      </c>
      <c r="G427" s="140">
        <v>0</v>
      </c>
      <c r="H427" s="140">
        <v>0</v>
      </c>
      <c r="I427" s="140">
        <v>0</v>
      </c>
    </row>
    <row r="428" spans="1:9" s="117" customFormat="1" ht="15" customHeight="1" x14ac:dyDescent="0.25">
      <c r="A428" s="186" t="s">
        <v>723</v>
      </c>
      <c r="B428" t="s">
        <v>718</v>
      </c>
      <c r="C428" t="s">
        <v>2304</v>
      </c>
      <c r="D428" t="s">
        <v>2305</v>
      </c>
      <c r="E428" s="140">
        <v>0</v>
      </c>
      <c r="F428" s="140">
        <v>0</v>
      </c>
      <c r="G428" s="140">
        <v>0</v>
      </c>
      <c r="H428" s="140">
        <v>0</v>
      </c>
      <c r="I428" s="140">
        <v>0</v>
      </c>
    </row>
    <row r="429" spans="1:9" s="117" customFormat="1" ht="15" customHeight="1" x14ac:dyDescent="0.25">
      <c r="A429" s="186" t="s">
        <v>724</v>
      </c>
      <c r="B429" t="s">
        <v>719</v>
      </c>
      <c r="C429" t="s">
        <v>2306</v>
      </c>
      <c r="D429" t="s">
        <v>2307</v>
      </c>
      <c r="E429" s="140">
        <v>0</v>
      </c>
      <c r="F429" s="140">
        <v>0</v>
      </c>
      <c r="G429" s="140">
        <v>0</v>
      </c>
      <c r="H429" s="140">
        <v>0</v>
      </c>
      <c r="I429" s="140">
        <v>0</v>
      </c>
    </row>
    <row r="430" spans="1:9" s="117" customFormat="1" ht="15" customHeight="1" x14ac:dyDescent="0.25">
      <c r="A430" s="186" t="s">
        <v>725</v>
      </c>
      <c r="B430" t="s">
        <v>720</v>
      </c>
      <c r="C430" t="s">
        <v>2308</v>
      </c>
      <c r="D430" t="s">
        <v>2309</v>
      </c>
      <c r="E430" s="140">
        <v>0</v>
      </c>
      <c r="F430" s="140">
        <v>0</v>
      </c>
      <c r="G430" s="140">
        <v>0</v>
      </c>
      <c r="H430" s="140">
        <v>0</v>
      </c>
      <c r="I430" s="140">
        <v>0</v>
      </c>
    </row>
    <row r="431" spans="1:9" s="117" customFormat="1" ht="15" customHeight="1" x14ac:dyDescent="0.25">
      <c r="A431" s="186" t="s">
        <v>726</v>
      </c>
      <c r="B431" t="s">
        <v>721</v>
      </c>
      <c r="C431" t="s">
        <v>2310</v>
      </c>
      <c r="D431" t="s">
        <v>2311</v>
      </c>
      <c r="E431" s="140">
        <v>0</v>
      </c>
      <c r="F431" s="140">
        <v>0</v>
      </c>
      <c r="G431" s="140">
        <v>0</v>
      </c>
      <c r="H431" s="140">
        <v>0</v>
      </c>
      <c r="I431" s="140">
        <v>0</v>
      </c>
    </row>
    <row r="432" spans="1:9" s="117" customFormat="1" ht="15" customHeight="1" x14ac:dyDescent="0.25">
      <c r="A432" s="186" t="s">
        <v>727</v>
      </c>
      <c r="B432" t="s">
        <v>722</v>
      </c>
      <c r="C432" t="s">
        <v>2312</v>
      </c>
      <c r="D432" t="s">
        <v>2313</v>
      </c>
      <c r="E432" s="140">
        <v>0</v>
      </c>
      <c r="F432" s="140">
        <v>0</v>
      </c>
      <c r="G432" s="140">
        <v>0</v>
      </c>
      <c r="H432" s="140">
        <v>0</v>
      </c>
      <c r="I432" s="140">
        <v>0</v>
      </c>
    </row>
    <row r="433" spans="1:9" x14ac:dyDescent="0.3">
      <c r="B433" t="s">
        <v>723</v>
      </c>
      <c r="C433" t="s">
        <v>2314</v>
      </c>
      <c r="D433" t="s">
        <v>2315</v>
      </c>
      <c r="E433" s="140">
        <v>0</v>
      </c>
      <c r="F433" s="140">
        <v>0</v>
      </c>
      <c r="G433" s="140">
        <v>0</v>
      </c>
      <c r="H433" s="140">
        <v>0</v>
      </c>
      <c r="I433" s="140">
        <v>0</v>
      </c>
    </row>
    <row r="434" spans="1:9" x14ac:dyDescent="0.3">
      <c r="B434" t="s">
        <v>724</v>
      </c>
      <c r="C434" t="s">
        <v>2316</v>
      </c>
      <c r="D434" t="s">
        <v>2317</v>
      </c>
      <c r="E434" s="140">
        <v>0</v>
      </c>
      <c r="F434" s="140">
        <v>0</v>
      </c>
      <c r="G434" s="140">
        <v>0</v>
      </c>
      <c r="H434" s="140">
        <v>0</v>
      </c>
      <c r="I434" s="140">
        <v>0</v>
      </c>
    </row>
    <row r="435" spans="1:9" x14ac:dyDescent="0.3">
      <c r="B435" t="s">
        <v>725</v>
      </c>
      <c r="C435" t="s">
        <v>2318</v>
      </c>
      <c r="D435" t="s">
        <v>2319</v>
      </c>
      <c r="E435" s="140">
        <v>0</v>
      </c>
      <c r="F435" s="140">
        <v>0</v>
      </c>
      <c r="G435" s="140">
        <v>0</v>
      </c>
      <c r="H435" s="140">
        <v>0</v>
      </c>
      <c r="I435" s="140">
        <v>0</v>
      </c>
    </row>
    <row r="436" spans="1:9" x14ac:dyDescent="0.3">
      <c r="B436" t="s">
        <v>726</v>
      </c>
      <c r="C436" t="s">
        <v>2320</v>
      </c>
      <c r="D436" t="s">
        <v>2321</v>
      </c>
      <c r="E436" s="140">
        <v>0</v>
      </c>
      <c r="F436" s="140">
        <v>0</v>
      </c>
      <c r="G436" s="140">
        <v>0</v>
      </c>
      <c r="H436" s="140">
        <v>0</v>
      </c>
      <c r="I436" s="140">
        <v>0</v>
      </c>
    </row>
    <row r="437" spans="1:9" x14ac:dyDescent="0.3">
      <c r="B437" t="s">
        <v>727</v>
      </c>
      <c r="C437" t="s">
        <v>1619</v>
      </c>
      <c r="D437" t="s">
        <v>1620</v>
      </c>
      <c r="E437" s="140">
        <v>0</v>
      </c>
      <c r="F437" s="140">
        <v>0</v>
      </c>
      <c r="G437" s="140">
        <v>0</v>
      </c>
      <c r="H437" s="140">
        <v>0</v>
      </c>
      <c r="I437" s="140">
        <v>0</v>
      </c>
    </row>
    <row r="438" spans="1:9" x14ac:dyDescent="0.3">
      <c r="B438" t="s">
        <v>2322</v>
      </c>
      <c r="C438" t="s">
        <v>2323</v>
      </c>
      <c r="D438" t="s">
        <v>2324</v>
      </c>
      <c r="E438" s="140">
        <v>0</v>
      </c>
      <c r="F438" s="140">
        <v>0</v>
      </c>
      <c r="G438" s="140">
        <v>0</v>
      </c>
      <c r="H438" s="140">
        <v>0</v>
      </c>
      <c r="I438" s="140">
        <v>0</v>
      </c>
    </row>
    <row r="439" spans="1:9" x14ac:dyDescent="0.3">
      <c r="B439" t="s">
        <v>2325</v>
      </c>
      <c r="C439" t="s">
        <v>2326</v>
      </c>
      <c r="D439" t="s">
        <v>2327</v>
      </c>
      <c r="E439" s="140">
        <v>0</v>
      </c>
      <c r="F439" s="140">
        <v>0</v>
      </c>
      <c r="G439" s="140">
        <v>0</v>
      </c>
      <c r="H439" s="140">
        <v>0</v>
      </c>
      <c r="I439" s="140">
        <v>0</v>
      </c>
    </row>
    <row r="440" spans="1:9" x14ac:dyDescent="0.3">
      <c r="B440" t="s">
        <v>2328</v>
      </c>
      <c r="C440" t="s">
        <v>2329</v>
      </c>
      <c r="D440" t="s">
        <v>2330</v>
      </c>
      <c r="E440" s="140">
        <v>0</v>
      </c>
      <c r="F440" s="140">
        <v>0</v>
      </c>
      <c r="G440" s="140">
        <v>0</v>
      </c>
      <c r="H440" s="140">
        <v>0</v>
      </c>
      <c r="I440" s="140">
        <v>0</v>
      </c>
    </row>
    <row r="441" spans="1:9" x14ac:dyDescent="0.3">
      <c r="B441" t="s">
        <v>2331</v>
      </c>
      <c r="C441" t="s">
        <v>2332</v>
      </c>
      <c r="D441" t="s">
        <v>2333</v>
      </c>
      <c r="E441" s="140">
        <v>0</v>
      </c>
      <c r="F441" s="140">
        <v>0</v>
      </c>
      <c r="G441" s="140">
        <v>0</v>
      </c>
      <c r="H441" s="140">
        <v>0</v>
      </c>
      <c r="I441" s="140">
        <v>0</v>
      </c>
    </row>
    <row r="442" spans="1:9" s="340" customFormat="1" x14ac:dyDescent="0.3">
      <c r="A442" s="339"/>
      <c r="B442" t="s">
        <v>2334</v>
      </c>
      <c r="C442" t="s">
        <v>2335</v>
      </c>
      <c r="D442" t="s">
        <v>2336</v>
      </c>
      <c r="E442" s="140">
        <v>0</v>
      </c>
      <c r="F442" s="140">
        <v>0</v>
      </c>
      <c r="G442" s="140">
        <v>0</v>
      </c>
      <c r="H442" s="140">
        <v>0</v>
      </c>
      <c r="I442" s="140">
        <v>0</v>
      </c>
    </row>
    <row r="443" spans="1:9" x14ac:dyDescent="0.3">
      <c r="B443" t="s">
        <v>2337</v>
      </c>
      <c r="C443" t="s">
        <v>2338</v>
      </c>
      <c r="D443" t="s">
        <v>2339</v>
      </c>
      <c r="E443" s="140">
        <v>0</v>
      </c>
      <c r="F443" s="140">
        <v>0</v>
      </c>
      <c r="G443" s="140">
        <v>0</v>
      </c>
      <c r="H443" s="140">
        <v>0</v>
      </c>
      <c r="I443" s="140">
        <v>0</v>
      </c>
    </row>
    <row r="444" spans="1:9" x14ac:dyDescent="0.3">
      <c r="B444" t="s">
        <v>2340</v>
      </c>
      <c r="C444" t="s">
        <v>2341</v>
      </c>
      <c r="D444" t="s">
        <v>2342</v>
      </c>
      <c r="E444" s="140">
        <v>0</v>
      </c>
      <c r="F444" s="140">
        <v>0</v>
      </c>
      <c r="G444" s="140">
        <v>0</v>
      </c>
      <c r="H444" s="140">
        <v>0</v>
      </c>
      <c r="I444" s="140">
        <v>0</v>
      </c>
    </row>
    <row r="445" spans="1:9" s="277" customFormat="1" x14ac:dyDescent="0.3">
      <c r="A445" s="276"/>
      <c r="B445" t="s">
        <v>2343</v>
      </c>
      <c r="C445" t="s">
        <v>2344</v>
      </c>
      <c r="D445" t="s">
        <v>2345</v>
      </c>
      <c r="E445" s="140">
        <v>0</v>
      </c>
      <c r="F445" s="140">
        <v>0</v>
      </c>
      <c r="G445" s="140">
        <v>0</v>
      </c>
      <c r="H445" s="140">
        <v>0</v>
      </c>
      <c r="I445" s="140">
        <v>0</v>
      </c>
    </row>
    <row r="446" spans="1:9" x14ac:dyDescent="0.3">
      <c r="B446" t="s">
        <v>2346</v>
      </c>
      <c r="C446" t="s">
        <v>2347</v>
      </c>
      <c r="D446" t="s">
        <v>2348</v>
      </c>
      <c r="E446" s="140">
        <v>0</v>
      </c>
      <c r="F446" s="140">
        <v>0</v>
      </c>
      <c r="G446" s="140">
        <v>0</v>
      </c>
      <c r="H446" s="140">
        <v>0</v>
      </c>
      <c r="I446" s="140">
        <v>0</v>
      </c>
    </row>
    <row r="447" spans="1:9" s="342" customFormat="1" x14ac:dyDescent="0.3">
      <c r="A447" s="341"/>
      <c r="B447" t="s">
        <v>2349</v>
      </c>
      <c r="C447" t="s">
        <v>2350</v>
      </c>
      <c r="D447" t="s">
        <v>2351</v>
      </c>
      <c r="E447" s="140">
        <v>0</v>
      </c>
      <c r="F447" s="140">
        <v>0</v>
      </c>
      <c r="G447" s="140">
        <v>0</v>
      </c>
      <c r="H447" s="140">
        <v>0</v>
      </c>
      <c r="I447" s="140">
        <v>0</v>
      </c>
    </row>
    <row r="448" spans="1:9" s="342" customFormat="1" x14ac:dyDescent="0.3">
      <c r="A448" s="341"/>
      <c r="B448" t="s">
        <v>2352</v>
      </c>
      <c r="C448" t="s">
        <v>2353</v>
      </c>
      <c r="D448" t="s">
        <v>2354</v>
      </c>
      <c r="E448" s="140">
        <v>0</v>
      </c>
      <c r="F448" s="140">
        <v>0</v>
      </c>
      <c r="G448" s="140">
        <v>0</v>
      </c>
      <c r="H448" s="140">
        <v>0</v>
      </c>
      <c r="I448" s="140">
        <v>0</v>
      </c>
    </row>
    <row r="449" spans="2:9" x14ac:dyDescent="0.3">
      <c r="B449" t="s">
        <v>728</v>
      </c>
      <c r="C449" t="s">
        <v>729</v>
      </c>
      <c r="D449" t="s">
        <v>730</v>
      </c>
      <c r="E449" s="140">
        <v>0</v>
      </c>
      <c r="F449" s="140">
        <v>0</v>
      </c>
      <c r="G449" s="140">
        <v>0</v>
      </c>
      <c r="H449" s="140">
        <v>0</v>
      </c>
      <c r="I449" s="140">
        <v>0</v>
      </c>
    </row>
    <row r="450" spans="2:9" x14ac:dyDescent="0.3">
      <c r="B450" t="s">
        <v>2355</v>
      </c>
      <c r="C450" t="s">
        <v>2356</v>
      </c>
      <c r="D450" t="s">
        <v>2357</v>
      </c>
      <c r="E450" s="140">
        <v>0</v>
      </c>
      <c r="F450" s="140">
        <v>0</v>
      </c>
      <c r="G450" s="140">
        <v>0</v>
      </c>
      <c r="H450" s="140">
        <v>0</v>
      </c>
      <c r="I450" s="140">
        <v>0</v>
      </c>
    </row>
    <row r="451" spans="2:9" x14ac:dyDescent="0.3">
      <c r="B451" t="s">
        <v>2358</v>
      </c>
      <c r="C451" t="s">
        <v>2359</v>
      </c>
      <c r="D451" t="s">
        <v>2360</v>
      </c>
      <c r="E451" s="140">
        <v>0</v>
      </c>
      <c r="F451" s="140">
        <v>0</v>
      </c>
      <c r="G451" s="140">
        <v>0</v>
      </c>
      <c r="H451" s="140">
        <v>0</v>
      </c>
      <c r="I451" s="140">
        <v>0</v>
      </c>
    </row>
    <row r="452" spans="2:9" x14ac:dyDescent="0.3">
      <c r="B452" t="s">
        <v>2361</v>
      </c>
      <c r="C452" t="s">
        <v>2362</v>
      </c>
      <c r="D452" t="s">
        <v>2363</v>
      </c>
      <c r="E452" s="140">
        <v>0</v>
      </c>
      <c r="F452" s="140">
        <v>0</v>
      </c>
      <c r="G452" s="140">
        <v>0</v>
      </c>
      <c r="H452" s="140">
        <v>0</v>
      </c>
      <c r="I452" s="140">
        <v>0</v>
      </c>
    </row>
    <row r="453" spans="2:9" x14ac:dyDescent="0.3">
      <c r="B453" t="s">
        <v>2364</v>
      </c>
      <c r="C453" t="s">
        <v>2365</v>
      </c>
      <c r="D453" t="s">
        <v>2366</v>
      </c>
      <c r="E453" s="140">
        <v>0</v>
      </c>
      <c r="F453" s="140">
        <v>0</v>
      </c>
      <c r="G453" s="140">
        <v>0</v>
      </c>
      <c r="H453" s="140">
        <v>0</v>
      </c>
      <c r="I453" s="140">
        <v>0</v>
      </c>
    </row>
    <row r="454" spans="2:9" x14ac:dyDescent="0.3">
      <c r="B454" t="s">
        <v>2367</v>
      </c>
      <c r="C454" t="s">
        <v>2368</v>
      </c>
      <c r="D454" t="s">
        <v>2369</v>
      </c>
      <c r="E454" s="140">
        <v>0</v>
      </c>
      <c r="F454" s="140">
        <v>0</v>
      </c>
      <c r="G454" s="140">
        <v>0</v>
      </c>
      <c r="H454" s="140">
        <v>0</v>
      </c>
      <c r="I454" s="140">
        <v>0</v>
      </c>
    </row>
    <row r="455" spans="2:9" x14ac:dyDescent="0.3">
      <c r="B455" t="s">
        <v>2370</v>
      </c>
      <c r="C455" t="s">
        <v>2371</v>
      </c>
      <c r="D455" t="s">
        <v>2372</v>
      </c>
      <c r="E455" s="140">
        <v>0</v>
      </c>
      <c r="F455" s="140">
        <v>0</v>
      </c>
      <c r="G455" s="140">
        <v>0</v>
      </c>
      <c r="H455" s="140">
        <v>0</v>
      </c>
      <c r="I455" s="140">
        <v>0</v>
      </c>
    </row>
    <row r="456" spans="2:9" x14ac:dyDescent="0.3">
      <c r="B456" t="s">
        <v>2373</v>
      </c>
      <c r="C456" t="s">
        <v>2374</v>
      </c>
      <c r="D456" t="s">
        <v>2375</v>
      </c>
      <c r="E456" s="140">
        <v>0</v>
      </c>
      <c r="F456" s="140">
        <v>0</v>
      </c>
      <c r="G456" s="140">
        <v>0</v>
      </c>
      <c r="H456" s="140">
        <v>0</v>
      </c>
      <c r="I456" s="140">
        <v>0</v>
      </c>
    </row>
    <row r="457" spans="2:9" x14ac:dyDescent="0.3">
      <c r="B457" t="s">
        <v>2376</v>
      </c>
      <c r="C457" t="s">
        <v>2377</v>
      </c>
      <c r="D457" t="s">
        <v>2378</v>
      </c>
      <c r="E457" s="140">
        <v>0</v>
      </c>
      <c r="F457" s="140">
        <v>0</v>
      </c>
      <c r="G457" s="140">
        <v>0</v>
      </c>
      <c r="H457" s="140">
        <v>0</v>
      </c>
      <c r="I457" s="140">
        <v>0</v>
      </c>
    </row>
    <row r="458" spans="2:9" x14ac:dyDescent="0.3">
      <c r="B458" t="s">
        <v>2379</v>
      </c>
      <c r="C458" t="s">
        <v>2380</v>
      </c>
      <c r="D458" t="s">
        <v>2381</v>
      </c>
      <c r="E458" s="140">
        <v>0</v>
      </c>
      <c r="F458" s="140">
        <v>0</v>
      </c>
      <c r="G458" s="140">
        <v>0</v>
      </c>
      <c r="H458" s="140">
        <v>0</v>
      </c>
      <c r="I458" s="140">
        <v>0</v>
      </c>
    </row>
    <row r="459" spans="2:9" x14ac:dyDescent="0.3">
      <c r="B459" t="s">
        <v>2382</v>
      </c>
      <c r="C459" t="s">
        <v>2383</v>
      </c>
      <c r="D459" t="s">
        <v>2384</v>
      </c>
      <c r="E459" s="140">
        <v>0</v>
      </c>
      <c r="F459" s="140">
        <v>0</v>
      </c>
      <c r="G459" s="140">
        <v>0</v>
      </c>
      <c r="H459" s="140">
        <v>0</v>
      </c>
      <c r="I459" s="140">
        <v>0</v>
      </c>
    </row>
    <row r="460" spans="2:9" x14ac:dyDescent="0.3">
      <c r="B460" t="s">
        <v>2385</v>
      </c>
      <c r="C460" t="s">
        <v>2386</v>
      </c>
      <c r="D460" t="s">
        <v>2387</v>
      </c>
      <c r="E460" s="140">
        <v>0</v>
      </c>
      <c r="F460" s="140">
        <v>0</v>
      </c>
      <c r="G460" s="140">
        <v>0</v>
      </c>
      <c r="H460" s="140">
        <v>0</v>
      </c>
      <c r="I460" s="140">
        <v>0</v>
      </c>
    </row>
    <row r="461" spans="2:9" x14ac:dyDescent="0.3">
      <c r="B461" t="s">
        <v>2388</v>
      </c>
      <c r="C461" t="s">
        <v>2389</v>
      </c>
      <c r="D461" t="s">
        <v>2390</v>
      </c>
      <c r="E461" s="140">
        <v>0</v>
      </c>
      <c r="F461" s="140">
        <v>0</v>
      </c>
      <c r="G461" s="140">
        <v>0</v>
      </c>
      <c r="H461" s="140">
        <v>0</v>
      </c>
      <c r="I461" s="140">
        <v>0</v>
      </c>
    </row>
    <row r="462" spans="2:9" x14ac:dyDescent="0.3">
      <c r="B462" t="s">
        <v>2391</v>
      </c>
      <c r="C462" t="s">
        <v>2392</v>
      </c>
      <c r="D462" t="s">
        <v>2393</v>
      </c>
      <c r="E462" s="140">
        <v>0</v>
      </c>
      <c r="F462" s="140">
        <v>0</v>
      </c>
      <c r="G462" s="140">
        <v>0</v>
      </c>
      <c r="H462" s="140">
        <v>0</v>
      </c>
      <c r="I462" s="140">
        <v>0</v>
      </c>
    </row>
    <row r="463" spans="2:9" x14ac:dyDescent="0.3">
      <c r="B463" t="s">
        <v>2394</v>
      </c>
      <c r="C463" t="s">
        <v>2395</v>
      </c>
      <c r="D463" t="s">
        <v>2396</v>
      </c>
      <c r="E463" s="140">
        <v>0</v>
      </c>
      <c r="F463" s="140">
        <v>0</v>
      </c>
      <c r="G463" s="140">
        <v>0</v>
      </c>
      <c r="H463" s="140">
        <v>0</v>
      </c>
      <c r="I463" s="140">
        <v>0</v>
      </c>
    </row>
    <row r="464" spans="2:9" x14ac:dyDescent="0.3">
      <c r="B464" t="s">
        <v>2397</v>
      </c>
      <c r="C464" t="s">
        <v>2398</v>
      </c>
      <c r="D464" t="s">
        <v>2399</v>
      </c>
      <c r="E464" s="140">
        <v>0</v>
      </c>
      <c r="F464" s="140">
        <v>0</v>
      </c>
      <c r="G464" s="140">
        <v>0</v>
      </c>
      <c r="H464" s="140">
        <v>0</v>
      </c>
      <c r="I464" s="140">
        <v>0</v>
      </c>
    </row>
    <row r="465" spans="1:9" x14ac:dyDescent="0.3">
      <c r="B465" t="s">
        <v>2400</v>
      </c>
      <c r="C465" t="s">
        <v>2401</v>
      </c>
      <c r="D465" t="s">
        <v>2402</v>
      </c>
      <c r="E465" s="140">
        <v>0</v>
      </c>
      <c r="F465" s="140">
        <v>0</v>
      </c>
      <c r="G465" s="140">
        <v>0</v>
      </c>
      <c r="H465" s="140">
        <v>0</v>
      </c>
      <c r="I465" s="140">
        <v>0</v>
      </c>
    </row>
    <row r="466" spans="1:9" x14ac:dyDescent="0.3">
      <c r="B466" t="s">
        <v>2403</v>
      </c>
      <c r="C466" t="s">
        <v>2404</v>
      </c>
      <c r="D466" t="s">
        <v>2405</v>
      </c>
      <c r="E466" s="140">
        <v>0</v>
      </c>
      <c r="F466" s="140">
        <v>0</v>
      </c>
      <c r="G466" s="140">
        <v>0</v>
      </c>
      <c r="H466" s="140">
        <v>0</v>
      </c>
      <c r="I466" s="140">
        <v>0</v>
      </c>
    </row>
    <row r="467" spans="1:9" x14ac:dyDescent="0.3">
      <c r="B467" t="s">
        <v>2406</v>
      </c>
      <c r="C467" t="s">
        <v>2407</v>
      </c>
      <c r="D467" t="s">
        <v>1943</v>
      </c>
      <c r="E467" s="140">
        <v>0</v>
      </c>
      <c r="F467" s="140">
        <v>0</v>
      </c>
      <c r="G467" s="140">
        <v>0</v>
      </c>
      <c r="H467" s="140">
        <v>0</v>
      </c>
      <c r="I467" s="140">
        <v>0</v>
      </c>
    </row>
    <row r="468" spans="1:9" x14ac:dyDescent="0.3">
      <c r="B468" t="s">
        <v>2408</v>
      </c>
      <c r="C468" t="s">
        <v>2409</v>
      </c>
      <c r="D468" t="s">
        <v>2410</v>
      </c>
      <c r="E468" s="140">
        <v>0</v>
      </c>
      <c r="F468" s="140">
        <v>0</v>
      </c>
      <c r="G468" s="140">
        <v>0</v>
      </c>
      <c r="H468" s="140">
        <v>0</v>
      </c>
      <c r="I468" s="140">
        <v>0</v>
      </c>
    </row>
    <row r="469" spans="1:9" x14ac:dyDescent="0.3">
      <c r="B469" t="s">
        <v>2411</v>
      </c>
      <c r="C469" t="s">
        <v>2412</v>
      </c>
      <c r="D469" t="s">
        <v>2413</v>
      </c>
      <c r="E469" s="140">
        <v>0</v>
      </c>
      <c r="F469" s="140">
        <v>0</v>
      </c>
      <c r="G469" s="140">
        <v>0</v>
      </c>
      <c r="H469" s="140">
        <v>0</v>
      </c>
      <c r="I469" s="140">
        <v>0</v>
      </c>
    </row>
    <row r="470" spans="1:9" x14ac:dyDescent="0.3">
      <c r="B470" t="s">
        <v>2414</v>
      </c>
      <c r="C470" t="s">
        <v>2415</v>
      </c>
      <c r="D470" t="s">
        <v>2416</v>
      </c>
      <c r="E470" s="140">
        <v>0</v>
      </c>
      <c r="F470" s="140">
        <v>0</v>
      </c>
      <c r="G470" s="140">
        <v>0</v>
      </c>
      <c r="H470" s="140">
        <v>0</v>
      </c>
      <c r="I470" s="140">
        <v>0</v>
      </c>
    </row>
    <row r="471" spans="1:9" s="184" customFormat="1" x14ac:dyDescent="0.3">
      <c r="A471" s="274"/>
      <c r="B471" t="s">
        <v>2417</v>
      </c>
      <c r="C471" t="s">
        <v>2418</v>
      </c>
      <c r="D471" t="s">
        <v>2419</v>
      </c>
      <c r="E471" s="140">
        <v>0</v>
      </c>
      <c r="F471" s="140">
        <v>0</v>
      </c>
      <c r="G471" s="140">
        <v>0</v>
      </c>
      <c r="H471" s="140">
        <v>0</v>
      </c>
      <c r="I471" s="140">
        <v>0</v>
      </c>
    </row>
    <row r="472" spans="1:9" s="184" customFormat="1" x14ac:dyDescent="0.3">
      <c r="A472" s="274"/>
      <c r="B472" t="s">
        <v>2420</v>
      </c>
      <c r="C472" t="s">
        <v>2421</v>
      </c>
      <c r="D472" t="s">
        <v>2422</v>
      </c>
      <c r="E472" s="140">
        <v>0</v>
      </c>
      <c r="F472" s="140">
        <v>0</v>
      </c>
      <c r="G472" s="140">
        <v>0</v>
      </c>
      <c r="H472" s="140">
        <v>0</v>
      </c>
      <c r="I472" s="140">
        <v>0</v>
      </c>
    </row>
    <row r="473" spans="1:9" x14ac:dyDescent="0.3">
      <c r="B473" t="s">
        <v>2423</v>
      </c>
      <c r="C473" t="s">
        <v>2424</v>
      </c>
      <c r="D473" t="s">
        <v>2425</v>
      </c>
      <c r="E473" s="140">
        <v>0</v>
      </c>
      <c r="F473" s="140">
        <v>0</v>
      </c>
      <c r="G473" s="140">
        <v>0</v>
      </c>
      <c r="H473" s="140">
        <v>0</v>
      </c>
      <c r="I473" s="140">
        <v>0</v>
      </c>
    </row>
    <row r="474" spans="1:9" s="277" customFormat="1" x14ac:dyDescent="0.3">
      <c r="A474" s="276"/>
      <c r="B474" t="s">
        <v>2426</v>
      </c>
      <c r="C474" t="s">
        <v>2427</v>
      </c>
      <c r="D474" t="s">
        <v>2428</v>
      </c>
      <c r="E474" s="140">
        <v>0</v>
      </c>
      <c r="F474" s="140">
        <v>0</v>
      </c>
      <c r="G474" s="140">
        <v>0</v>
      </c>
      <c r="H474" s="140">
        <v>0</v>
      </c>
      <c r="I474" s="140">
        <v>0</v>
      </c>
    </row>
    <row r="475" spans="1:9" x14ac:dyDescent="0.3">
      <c r="B475" t="s">
        <v>2429</v>
      </c>
      <c r="C475" t="s">
        <v>2430</v>
      </c>
      <c r="D475" t="s">
        <v>2431</v>
      </c>
      <c r="E475" s="140">
        <v>0</v>
      </c>
      <c r="F475" s="140">
        <v>0</v>
      </c>
      <c r="G475" s="140">
        <v>0</v>
      </c>
      <c r="H475" s="140">
        <v>0</v>
      </c>
      <c r="I475" s="140">
        <v>0</v>
      </c>
    </row>
    <row r="476" spans="1:9" x14ac:dyDescent="0.3">
      <c r="B476" t="s">
        <v>2432</v>
      </c>
      <c r="C476" t="s">
        <v>2433</v>
      </c>
      <c r="D476" t="s">
        <v>2434</v>
      </c>
      <c r="E476" s="140">
        <v>0</v>
      </c>
      <c r="F476" s="140">
        <v>0</v>
      </c>
      <c r="G476" s="140">
        <v>0</v>
      </c>
      <c r="H476" s="140">
        <v>0</v>
      </c>
      <c r="I476" s="140">
        <v>0</v>
      </c>
    </row>
    <row r="477" spans="1:9" x14ac:dyDescent="0.3">
      <c r="B477" t="s">
        <v>2435</v>
      </c>
      <c r="C477" t="s">
        <v>2436</v>
      </c>
      <c r="D477" t="s">
        <v>2437</v>
      </c>
      <c r="E477" s="140">
        <v>0</v>
      </c>
      <c r="F477" s="140">
        <v>0</v>
      </c>
      <c r="G477" s="140">
        <v>0</v>
      </c>
      <c r="H477" s="140">
        <v>0</v>
      </c>
      <c r="I477" s="140">
        <v>0</v>
      </c>
    </row>
    <row r="478" spans="1:9" x14ac:dyDescent="0.3">
      <c r="B478" t="s">
        <v>2438</v>
      </c>
      <c r="C478" t="s">
        <v>2439</v>
      </c>
      <c r="D478" t="s">
        <v>2440</v>
      </c>
      <c r="E478" s="140">
        <v>0</v>
      </c>
      <c r="F478" s="140">
        <v>0</v>
      </c>
      <c r="G478" s="140">
        <v>0</v>
      </c>
      <c r="H478" s="140">
        <v>0</v>
      </c>
      <c r="I478" s="140">
        <v>0</v>
      </c>
    </row>
    <row r="479" spans="1:9" x14ac:dyDescent="0.3">
      <c r="B479" t="s">
        <v>2441</v>
      </c>
      <c r="C479" t="s">
        <v>2442</v>
      </c>
      <c r="D479" t="s">
        <v>2443</v>
      </c>
      <c r="E479" s="140">
        <v>0</v>
      </c>
      <c r="F479" s="140">
        <v>0</v>
      </c>
      <c r="G479" s="140">
        <v>0</v>
      </c>
      <c r="H479" s="140">
        <v>0</v>
      </c>
      <c r="I479" s="140">
        <v>0</v>
      </c>
    </row>
    <row r="480" spans="1:9" x14ac:dyDescent="0.3">
      <c r="B480" t="s">
        <v>2444</v>
      </c>
      <c r="C480" t="s">
        <v>2445</v>
      </c>
      <c r="D480" t="s">
        <v>2446</v>
      </c>
      <c r="E480" s="140">
        <v>0</v>
      </c>
      <c r="F480" s="140">
        <v>0</v>
      </c>
      <c r="G480" s="140">
        <v>0</v>
      </c>
      <c r="H480" s="140">
        <v>0</v>
      </c>
      <c r="I480" s="140">
        <v>0</v>
      </c>
    </row>
    <row r="481" spans="2:9" x14ac:dyDescent="0.3">
      <c r="B481" t="s">
        <v>2447</v>
      </c>
      <c r="C481" t="s">
        <v>2448</v>
      </c>
      <c r="D481" t="s">
        <v>2449</v>
      </c>
      <c r="E481" s="140">
        <v>0</v>
      </c>
      <c r="F481" s="140">
        <v>0</v>
      </c>
      <c r="G481" s="140">
        <v>0</v>
      </c>
      <c r="H481" s="140">
        <v>0</v>
      </c>
      <c r="I481" s="140">
        <v>0</v>
      </c>
    </row>
    <row r="482" spans="2:9" x14ac:dyDescent="0.3">
      <c r="B482" t="s">
        <v>2450</v>
      </c>
      <c r="C482" t="s">
        <v>2451</v>
      </c>
      <c r="D482" t="s">
        <v>2452</v>
      </c>
      <c r="E482" s="140">
        <v>0</v>
      </c>
      <c r="F482" s="140">
        <v>0</v>
      </c>
      <c r="G482" s="140">
        <v>0</v>
      </c>
      <c r="H482" s="140">
        <v>0</v>
      </c>
      <c r="I482" s="140">
        <v>0</v>
      </c>
    </row>
    <row r="483" spans="2:9" x14ac:dyDescent="0.3">
      <c r="B483" t="s">
        <v>2453</v>
      </c>
      <c r="C483" t="s">
        <v>2454</v>
      </c>
      <c r="D483" t="s">
        <v>2455</v>
      </c>
      <c r="E483" s="140">
        <v>0</v>
      </c>
      <c r="F483" s="140">
        <v>0</v>
      </c>
      <c r="G483" s="140">
        <v>0</v>
      </c>
      <c r="H483" s="140">
        <v>0</v>
      </c>
      <c r="I483" s="140">
        <v>0</v>
      </c>
    </row>
    <row r="484" spans="2:9" x14ac:dyDescent="0.3">
      <c r="B484" t="s">
        <v>1015</v>
      </c>
      <c r="C484" t="s">
        <v>731</v>
      </c>
      <c r="D484" t="s">
        <v>732</v>
      </c>
      <c r="E484" s="140">
        <v>0</v>
      </c>
      <c r="F484" s="140">
        <v>559</v>
      </c>
      <c r="G484" s="140">
        <v>-559</v>
      </c>
      <c r="H484" s="140">
        <v>0</v>
      </c>
      <c r="I484" s="140">
        <v>0</v>
      </c>
    </row>
    <row r="485" spans="2:9" x14ac:dyDescent="0.3">
      <c r="B485" t="s">
        <v>2456</v>
      </c>
      <c r="C485" t="s">
        <v>2457</v>
      </c>
      <c r="D485" t="s">
        <v>2458</v>
      </c>
      <c r="E485" s="140">
        <v>0</v>
      </c>
      <c r="F485" s="140">
        <v>0</v>
      </c>
      <c r="G485" s="140">
        <v>0</v>
      </c>
      <c r="H485" s="140">
        <v>0</v>
      </c>
      <c r="I485" s="140">
        <v>0</v>
      </c>
    </row>
    <row r="486" spans="2:9" x14ac:dyDescent="0.3">
      <c r="B486" t="s">
        <v>2459</v>
      </c>
      <c r="C486" t="s">
        <v>2460</v>
      </c>
      <c r="D486" t="s">
        <v>2461</v>
      </c>
      <c r="E486" s="140">
        <v>0</v>
      </c>
      <c r="F486" s="140">
        <v>0</v>
      </c>
      <c r="G486" s="140">
        <v>0</v>
      </c>
      <c r="H486" s="140">
        <v>0</v>
      </c>
      <c r="I486" s="140">
        <v>0</v>
      </c>
    </row>
    <row r="487" spans="2:9" x14ac:dyDescent="0.3">
      <c r="B487" t="s">
        <v>2462</v>
      </c>
      <c r="C487" t="s">
        <v>2463</v>
      </c>
      <c r="D487" t="s">
        <v>2464</v>
      </c>
      <c r="E487" s="140">
        <v>0</v>
      </c>
      <c r="F487" s="140">
        <v>0</v>
      </c>
      <c r="G487" s="140">
        <v>0</v>
      </c>
      <c r="H487" s="140">
        <v>0</v>
      </c>
      <c r="I487" s="140">
        <v>0</v>
      </c>
    </row>
    <row r="488" spans="2:9" x14ac:dyDescent="0.3">
      <c r="B488" t="s">
        <v>2465</v>
      </c>
      <c r="C488" t="s">
        <v>2466</v>
      </c>
      <c r="D488" t="s">
        <v>2467</v>
      </c>
      <c r="E488" s="140">
        <v>0</v>
      </c>
      <c r="F488" s="140">
        <v>15</v>
      </c>
      <c r="G488" s="140">
        <v>-18</v>
      </c>
      <c r="H488" s="140">
        <v>-3</v>
      </c>
      <c r="I488" s="140">
        <v>-3</v>
      </c>
    </row>
    <row r="489" spans="2:9" x14ac:dyDescent="0.3">
      <c r="B489" t="s">
        <v>2468</v>
      </c>
      <c r="C489" t="s">
        <v>2469</v>
      </c>
      <c r="D489" t="s">
        <v>2470</v>
      </c>
      <c r="E489" s="140">
        <v>0</v>
      </c>
      <c r="F489" s="140">
        <v>0</v>
      </c>
      <c r="G489" s="140">
        <v>0</v>
      </c>
      <c r="H489" s="140">
        <v>0</v>
      </c>
      <c r="I489" s="140">
        <v>0</v>
      </c>
    </row>
    <row r="490" spans="2:9" x14ac:dyDescent="0.3">
      <c r="B490" t="s">
        <v>2471</v>
      </c>
      <c r="C490" t="s">
        <v>2472</v>
      </c>
      <c r="D490" t="s">
        <v>2473</v>
      </c>
      <c r="E490" s="140">
        <v>0</v>
      </c>
      <c r="F490" s="140">
        <v>0</v>
      </c>
      <c r="G490" s="140">
        <v>0</v>
      </c>
      <c r="H490" s="140">
        <v>0</v>
      </c>
      <c r="I490" s="140">
        <v>0</v>
      </c>
    </row>
    <row r="491" spans="2:9" x14ac:dyDescent="0.3">
      <c r="B491" t="s">
        <v>2474</v>
      </c>
      <c r="C491" t="s">
        <v>2475</v>
      </c>
      <c r="D491" t="s">
        <v>2476</v>
      </c>
      <c r="E491" s="140">
        <v>0</v>
      </c>
      <c r="F491" s="140">
        <v>0</v>
      </c>
      <c r="G491" s="140">
        <v>0</v>
      </c>
      <c r="H491" s="140">
        <v>0</v>
      </c>
      <c r="I491" s="140">
        <v>0</v>
      </c>
    </row>
    <row r="492" spans="2:9" x14ac:dyDescent="0.3">
      <c r="B492" t="s">
        <v>2477</v>
      </c>
      <c r="C492" t="s">
        <v>2478</v>
      </c>
      <c r="D492" t="s">
        <v>2479</v>
      </c>
      <c r="E492" s="140">
        <v>0</v>
      </c>
      <c r="F492" s="140">
        <v>0</v>
      </c>
      <c r="G492" s="140">
        <v>0</v>
      </c>
      <c r="H492" s="140">
        <v>0</v>
      </c>
      <c r="I492" s="140">
        <v>0</v>
      </c>
    </row>
    <row r="493" spans="2:9" x14ac:dyDescent="0.3">
      <c r="B493" t="s">
        <v>2480</v>
      </c>
      <c r="C493" t="s">
        <v>2481</v>
      </c>
      <c r="D493" t="s">
        <v>2482</v>
      </c>
      <c r="E493" s="140">
        <v>0</v>
      </c>
      <c r="F493" s="140">
        <v>0</v>
      </c>
      <c r="G493" s="140">
        <v>0</v>
      </c>
      <c r="H493" s="140">
        <v>0</v>
      </c>
      <c r="I493" s="140">
        <v>0</v>
      </c>
    </row>
    <row r="494" spans="2:9" x14ac:dyDescent="0.3">
      <c r="B494" t="s">
        <v>2483</v>
      </c>
      <c r="C494" t="s">
        <v>2484</v>
      </c>
      <c r="D494" t="s">
        <v>2485</v>
      </c>
      <c r="E494" s="140">
        <v>0</v>
      </c>
      <c r="F494" s="140">
        <v>0</v>
      </c>
      <c r="G494" s="140">
        <v>0</v>
      </c>
      <c r="H494" s="140">
        <v>0</v>
      </c>
      <c r="I494" s="140">
        <v>0</v>
      </c>
    </row>
    <row r="495" spans="2:9" x14ac:dyDescent="0.3">
      <c r="B495" t="s">
        <v>2486</v>
      </c>
      <c r="C495" t="s">
        <v>2487</v>
      </c>
      <c r="D495" t="s">
        <v>2488</v>
      </c>
      <c r="E495" s="140">
        <v>0</v>
      </c>
      <c r="F495" s="140">
        <v>0</v>
      </c>
      <c r="G495" s="140">
        <v>0</v>
      </c>
      <c r="H495" s="140">
        <v>0</v>
      </c>
      <c r="I495" s="140">
        <v>0</v>
      </c>
    </row>
    <row r="496" spans="2:9" x14ac:dyDescent="0.3">
      <c r="B496" t="s">
        <v>2489</v>
      </c>
      <c r="C496" t="s">
        <v>2490</v>
      </c>
      <c r="D496" t="s">
        <v>2491</v>
      </c>
      <c r="E496" s="140">
        <v>0</v>
      </c>
      <c r="F496" s="140">
        <v>0</v>
      </c>
      <c r="G496" s="140">
        <v>0</v>
      </c>
      <c r="H496" s="140">
        <v>0</v>
      </c>
      <c r="I496" s="140">
        <v>0</v>
      </c>
    </row>
    <row r="497" spans="2:9" x14ac:dyDescent="0.3">
      <c r="B497" t="s">
        <v>2492</v>
      </c>
      <c r="C497" t="s">
        <v>2493</v>
      </c>
      <c r="D497" t="s">
        <v>2494</v>
      </c>
      <c r="E497" s="140">
        <v>0</v>
      </c>
      <c r="F497" s="140">
        <v>0</v>
      </c>
      <c r="G497" s="140">
        <v>0</v>
      </c>
      <c r="H497" s="140">
        <v>0</v>
      </c>
      <c r="I497" s="140">
        <v>0</v>
      </c>
    </row>
    <row r="498" spans="2:9" x14ac:dyDescent="0.3">
      <c r="B498" t="s">
        <v>2495</v>
      </c>
      <c r="C498" t="s">
        <v>2496</v>
      </c>
      <c r="D498" t="s">
        <v>2497</v>
      </c>
      <c r="E498" s="140">
        <v>0</v>
      </c>
      <c r="F498" s="140">
        <v>0</v>
      </c>
      <c r="G498" s="140">
        <v>0</v>
      </c>
      <c r="H498" s="140">
        <v>0</v>
      </c>
      <c r="I498" s="140">
        <v>0</v>
      </c>
    </row>
    <row r="499" spans="2:9" x14ac:dyDescent="0.3">
      <c r="B499" t="s">
        <v>2498</v>
      </c>
      <c r="C499" t="s">
        <v>2499</v>
      </c>
      <c r="D499" t="s">
        <v>2500</v>
      </c>
      <c r="E499" s="140">
        <v>0</v>
      </c>
      <c r="F499" s="140">
        <v>0</v>
      </c>
      <c r="G499" s="140">
        <v>0</v>
      </c>
      <c r="H499" s="140">
        <v>0</v>
      </c>
      <c r="I499" s="140">
        <v>0</v>
      </c>
    </row>
    <row r="500" spans="2:9" x14ac:dyDescent="0.3">
      <c r="B500" t="s">
        <v>2501</v>
      </c>
      <c r="C500" t="s">
        <v>2502</v>
      </c>
      <c r="D500" t="s">
        <v>2503</v>
      </c>
      <c r="E500" s="140">
        <v>0</v>
      </c>
      <c r="F500" s="140">
        <v>0</v>
      </c>
      <c r="G500" s="140">
        <v>0</v>
      </c>
      <c r="H500" s="140">
        <v>0</v>
      </c>
      <c r="I500" s="140">
        <v>0</v>
      </c>
    </row>
    <row r="501" spans="2:9" x14ac:dyDescent="0.3">
      <c r="B501" t="s">
        <v>2504</v>
      </c>
      <c r="C501" t="s">
        <v>2505</v>
      </c>
      <c r="D501" t="s">
        <v>2506</v>
      </c>
      <c r="E501" s="140">
        <v>0</v>
      </c>
      <c r="F501" s="140">
        <v>0</v>
      </c>
      <c r="G501" s="140">
        <v>0</v>
      </c>
      <c r="H501" s="140">
        <v>0</v>
      </c>
      <c r="I501" s="140">
        <v>0</v>
      </c>
    </row>
    <row r="502" spans="2:9" x14ac:dyDescent="0.3">
      <c r="B502" t="s">
        <v>2507</v>
      </c>
      <c r="C502" t="s">
        <v>2508</v>
      </c>
      <c r="D502" t="s">
        <v>2509</v>
      </c>
      <c r="E502" s="140">
        <v>0</v>
      </c>
      <c r="F502" s="140">
        <v>0</v>
      </c>
      <c r="G502" s="140">
        <v>0</v>
      </c>
      <c r="H502" s="140">
        <v>0</v>
      </c>
      <c r="I502" s="140">
        <v>0</v>
      </c>
    </row>
    <row r="503" spans="2:9" x14ac:dyDescent="0.3">
      <c r="B503" t="s">
        <v>2510</v>
      </c>
      <c r="C503" t="s">
        <v>2511</v>
      </c>
      <c r="D503" t="s">
        <v>2512</v>
      </c>
      <c r="E503" s="140">
        <v>0</v>
      </c>
      <c r="F503" s="140">
        <v>0</v>
      </c>
      <c r="G503" s="140">
        <v>0</v>
      </c>
      <c r="H503" s="140">
        <v>0</v>
      </c>
      <c r="I503" s="140">
        <v>0</v>
      </c>
    </row>
    <row r="504" spans="2:9" x14ac:dyDescent="0.3">
      <c r="B504" t="s">
        <v>2513</v>
      </c>
      <c r="C504" s="261">
        <v>68646600000000</v>
      </c>
      <c r="D504" t="s">
        <v>2514</v>
      </c>
      <c r="E504" s="140">
        <v>0</v>
      </c>
      <c r="F504" s="140">
        <v>0</v>
      </c>
      <c r="G504" s="140">
        <v>0</v>
      </c>
      <c r="H504" s="140">
        <v>0</v>
      </c>
      <c r="I504" s="140">
        <v>0</v>
      </c>
    </row>
    <row r="505" spans="2:9" x14ac:dyDescent="0.3">
      <c r="B505" t="s">
        <v>733</v>
      </c>
      <c r="C505" t="s">
        <v>734</v>
      </c>
      <c r="D505" t="s">
        <v>143</v>
      </c>
      <c r="E505" s="140">
        <v>-9</v>
      </c>
      <c r="F505" s="140">
        <v>76</v>
      </c>
      <c r="G505" s="140">
        <v>-66</v>
      </c>
      <c r="H505" s="140">
        <v>9</v>
      </c>
      <c r="I505" s="140">
        <v>0</v>
      </c>
    </row>
    <row r="506" spans="2:9" x14ac:dyDescent="0.3">
      <c r="B506" t="s">
        <v>2515</v>
      </c>
      <c r="C506" t="s">
        <v>2516</v>
      </c>
      <c r="D506" t="s">
        <v>2517</v>
      </c>
      <c r="E506" s="140">
        <v>0</v>
      </c>
      <c r="F506" s="140">
        <v>0</v>
      </c>
      <c r="G506" s="140">
        <v>0</v>
      </c>
      <c r="H506" s="140">
        <v>0</v>
      </c>
      <c r="I506" s="140">
        <v>0</v>
      </c>
    </row>
    <row r="507" spans="2:9" x14ac:dyDescent="0.3">
      <c r="B507" t="s">
        <v>2518</v>
      </c>
      <c r="C507" t="s">
        <v>2519</v>
      </c>
      <c r="D507" t="s">
        <v>2520</v>
      </c>
      <c r="E507" s="140">
        <v>0</v>
      </c>
      <c r="F507" s="140">
        <v>0</v>
      </c>
      <c r="G507" s="140">
        <v>0</v>
      </c>
      <c r="H507" s="140">
        <v>0</v>
      </c>
      <c r="I507" s="140">
        <v>0</v>
      </c>
    </row>
    <row r="508" spans="2:9" x14ac:dyDescent="0.3">
      <c r="B508" t="s">
        <v>2521</v>
      </c>
      <c r="C508" t="s">
        <v>2522</v>
      </c>
      <c r="D508" t="s">
        <v>2523</v>
      </c>
      <c r="E508" s="140">
        <v>0</v>
      </c>
      <c r="F508" s="140">
        <v>0</v>
      </c>
      <c r="G508" s="140">
        <v>0</v>
      </c>
      <c r="H508" s="140">
        <v>0</v>
      </c>
      <c r="I508" s="140">
        <v>0</v>
      </c>
    </row>
    <row r="509" spans="2:9" x14ac:dyDescent="0.3">
      <c r="B509" t="s">
        <v>2524</v>
      </c>
      <c r="C509" t="s">
        <v>2525</v>
      </c>
      <c r="D509" t="s">
        <v>2526</v>
      </c>
      <c r="E509" s="140">
        <v>0</v>
      </c>
      <c r="F509" s="140">
        <v>0</v>
      </c>
      <c r="G509" s="140">
        <v>0</v>
      </c>
      <c r="H509" s="140">
        <v>0</v>
      </c>
      <c r="I509" s="140">
        <v>0</v>
      </c>
    </row>
    <row r="510" spans="2:9" x14ac:dyDescent="0.3">
      <c r="B510" t="s">
        <v>2527</v>
      </c>
      <c r="C510" t="s">
        <v>2528</v>
      </c>
      <c r="D510" t="s">
        <v>2529</v>
      </c>
      <c r="E510" s="140">
        <v>0</v>
      </c>
      <c r="F510" s="140">
        <v>0</v>
      </c>
      <c r="G510" s="140">
        <v>0</v>
      </c>
      <c r="H510" s="140">
        <v>0</v>
      </c>
      <c r="I510" s="140">
        <v>0</v>
      </c>
    </row>
    <row r="511" spans="2:9" x14ac:dyDescent="0.3">
      <c r="B511" t="s">
        <v>2530</v>
      </c>
      <c r="C511" t="s">
        <v>2531</v>
      </c>
      <c r="D511" t="s">
        <v>2532</v>
      </c>
      <c r="E511" s="140">
        <v>0</v>
      </c>
      <c r="F511" s="140">
        <v>0</v>
      </c>
      <c r="G511" s="140">
        <v>0</v>
      </c>
      <c r="H511" s="140">
        <v>0</v>
      </c>
      <c r="I511" s="140">
        <v>0</v>
      </c>
    </row>
    <row r="512" spans="2:9" x14ac:dyDescent="0.3">
      <c r="B512" t="s">
        <v>2533</v>
      </c>
      <c r="C512" t="s">
        <v>2534</v>
      </c>
      <c r="D512" t="s">
        <v>2535</v>
      </c>
      <c r="E512" s="140">
        <v>0</v>
      </c>
      <c r="F512" s="140">
        <v>0</v>
      </c>
      <c r="G512" s="140">
        <v>0</v>
      </c>
      <c r="H512" s="140">
        <v>0</v>
      </c>
      <c r="I512" s="140">
        <v>0</v>
      </c>
    </row>
    <row r="513" spans="2:9" x14ac:dyDescent="0.3">
      <c r="B513" t="s">
        <v>2536</v>
      </c>
      <c r="C513" t="s">
        <v>2537</v>
      </c>
      <c r="D513" t="s">
        <v>2538</v>
      </c>
      <c r="E513" s="140">
        <v>0</v>
      </c>
      <c r="F513" s="140">
        <v>0</v>
      </c>
      <c r="G513" s="140">
        <v>0</v>
      </c>
      <c r="H513" s="140">
        <v>0</v>
      </c>
      <c r="I513" s="140">
        <v>0</v>
      </c>
    </row>
    <row r="514" spans="2:9" x14ac:dyDescent="0.3">
      <c r="B514" t="s">
        <v>2539</v>
      </c>
      <c r="C514" t="s">
        <v>2540</v>
      </c>
      <c r="D514" t="s">
        <v>2541</v>
      </c>
      <c r="E514" s="140">
        <v>0</v>
      </c>
      <c r="F514" s="140">
        <v>0</v>
      </c>
      <c r="G514" s="140">
        <v>0</v>
      </c>
      <c r="H514" s="140">
        <v>0</v>
      </c>
      <c r="I514" s="140">
        <v>0</v>
      </c>
    </row>
    <row r="515" spans="2:9" x14ac:dyDescent="0.3">
      <c r="B515" t="s">
        <v>2542</v>
      </c>
      <c r="C515" t="s">
        <v>2543</v>
      </c>
      <c r="D515" t="s">
        <v>2544</v>
      </c>
      <c r="E515" s="140">
        <v>0</v>
      </c>
      <c r="F515" s="140">
        <v>0</v>
      </c>
      <c r="G515" s="140">
        <v>0</v>
      </c>
      <c r="H515" s="140">
        <v>0</v>
      </c>
      <c r="I515" s="140">
        <v>0</v>
      </c>
    </row>
    <row r="516" spans="2:9" x14ac:dyDescent="0.3">
      <c r="B516" t="s">
        <v>2545</v>
      </c>
      <c r="C516" t="s">
        <v>2546</v>
      </c>
      <c r="D516" t="s">
        <v>2547</v>
      </c>
      <c r="E516" s="140">
        <v>0</v>
      </c>
      <c r="F516" s="140">
        <v>0</v>
      </c>
      <c r="G516" s="140">
        <v>0</v>
      </c>
      <c r="H516" s="140">
        <v>0</v>
      </c>
      <c r="I516" s="140">
        <v>0</v>
      </c>
    </row>
    <row r="517" spans="2:9" x14ac:dyDescent="0.3">
      <c r="B517" t="s">
        <v>2548</v>
      </c>
      <c r="C517" t="s">
        <v>2549</v>
      </c>
      <c r="D517" t="s">
        <v>2550</v>
      </c>
      <c r="E517" s="140">
        <v>0</v>
      </c>
      <c r="F517" s="140">
        <v>0</v>
      </c>
      <c r="G517" s="140">
        <v>0</v>
      </c>
      <c r="H517" s="140">
        <v>0</v>
      </c>
      <c r="I517" s="140">
        <v>0</v>
      </c>
    </row>
    <row r="518" spans="2:9" x14ac:dyDescent="0.3">
      <c r="B518" t="s">
        <v>2551</v>
      </c>
      <c r="C518" t="s">
        <v>2552</v>
      </c>
      <c r="D518" t="s">
        <v>2553</v>
      </c>
      <c r="E518" s="140">
        <v>0</v>
      </c>
      <c r="F518" s="140">
        <v>0</v>
      </c>
      <c r="G518" s="140">
        <v>0</v>
      </c>
      <c r="H518" s="140">
        <v>0</v>
      </c>
      <c r="I518" s="140">
        <v>0</v>
      </c>
    </row>
    <row r="519" spans="2:9" x14ac:dyDescent="0.3">
      <c r="B519" t="s">
        <v>2554</v>
      </c>
      <c r="C519" t="s">
        <v>2555</v>
      </c>
      <c r="D519" t="s">
        <v>2556</v>
      </c>
      <c r="E519" s="140">
        <v>0</v>
      </c>
      <c r="F519" s="140">
        <v>0</v>
      </c>
      <c r="G519" s="140">
        <v>0</v>
      </c>
      <c r="H519" s="140">
        <v>0</v>
      </c>
      <c r="I519" s="140">
        <v>0</v>
      </c>
    </row>
    <row r="520" spans="2:9" x14ac:dyDescent="0.3">
      <c r="B520" t="s">
        <v>2557</v>
      </c>
      <c r="C520" t="s">
        <v>2558</v>
      </c>
      <c r="D520" t="s">
        <v>2559</v>
      </c>
      <c r="E520" s="140">
        <v>0</v>
      </c>
      <c r="F520" s="140">
        <v>0</v>
      </c>
      <c r="G520" s="140">
        <v>0</v>
      </c>
      <c r="H520" s="140">
        <v>0</v>
      </c>
      <c r="I520" s="140">
        <v>0</v>
      </c>
    </row>
    <row r="521" spans="2:9" x14ac:dyDescent="0.3">
      <c r="B521" t="s">
        <v>2560</v>
      </c>
      <c r="C521" t="s">
        <v>2561</v>
      </c>
      <c r="D521" t="s">
        <v>2562</v>
      </c>
      <c r="E521" s="140">
        <v>0</v>
      </c>
      <c r="F521" s="140">
        <v>0</v>
      </c>
      <c r="G521" s="140">
        <v>0</v>
      </c>
      <c r="H521" s="140">
        <v>0</v>
      </c>
      <c r="I521" s="140">
        <v>0</v>
      </c>
    </row>
    <row r="522" spans="2:9" x14ac:dyDescent="0.3">
      <c r="B522" t="s">
        <v>2563</v>
      </c>
      <c r="C522" t="s">
        <v>2564</v>
      </c>
      <c r="D522" t="s">
        <v>2565</v>
      </c>
      <c r="E522" s="140">
        <v>0</v>
      </c>
      <c r="F522" s="140">
        <v>0</v>
      </c>
      <c r="G522" s="140">
        <v>0</v>
      </c>
      <c r="H522" s="140">
        <v>0</v>
      </c>
      <c r="I522" s="140">
        <v>0</v>
      </c>
    </row>
    <row r="523" spans="2:9" x14ac:dyDescent="0.3">
      <c r="B523" t="s">
        <v>2566</v>
      </c>
      <c r="C523" t="s">
        <v>2567</v>
      </c>
      <c r="D523" t="s">
        <v>2568</v>
      </c>
      <c r="E523" s="140">
        <v>0</v>
      </c>
      <c r="F523" s="140">
        <v>0</v>
      </c>
      <c r="G523" s="140">
        <v>0</v>
      </c>
      <c r="H523" s="140">
        <v>0</v>
      </c>
      <c r="I523" s="140">
        <v>0</v>
      </c>
    </row>
    <row r="524" spans="2:9" x14ac:dyDescent="0.3">
      <c r="B524" t="s">
        <v>2569</v>
      </c>
      <c r="C524" t="s">
        <v>2570</v>
      </c>
      <c r="D524" t="s">
        <v>2571</v>
      </c>
      <c r="E524" s="140">
        <v>0</v>
      </c>
      <c r="F524" s="140">
        <v>0</v>
      </c>
      <c r="G524" s="140">
        <v>0</v>
      </c>
      <c r="H524" s="140">
        <v>0</v>
      </c>
      <c r="I524" s="140">
        <v>0</v>
      </c>
    </row>
    <row r="525" spans="2:9" x14ac:dyDescent="0.3">
      <c r="B525" t="s">
        <v>2572</v>
      </c>
      <c r="C525" t="s">
        <v>2573</v>
      </c>
      <c r="D525" t="s">
        <v>2574</v>
      </c>
      <c r="E525" s="140">
        <v>0</v>
      </c>
      <c r="F525" s="140">
        <v>0</v>
      </c>
      <c r="G525" s="140">
        <v>0</v>
      </c>
      <c r="H525" s="140">
        <v>0</v>
      </c>
      <c r="I525" s="140">
        <v>0</v>
      </c>
    </row>
    <row r="526" spans="2:9" x14ac:dyDescent="0.3">
      <c r="B526" t="s">
        <v>2575</v>
      </c>
      <c r="C526" t="s">
        <v>2576</v>
      </c>
      <c r="D526" t="s">
        <v>2577</v>
      </c>
      <c r="E526" s="140">
        <v>0</v>
      </c>
      <c r="F526" s="140">
        <v>0</v>
      </c>
      <c r="G526" s="140">
        <v>0</v>
      </c>
      <c r="H526" s="140">
        <v>0</v>
      </c>
      <c r="I526" s="140">
        <v>0</v>
      </c>
    </row>
    <row r="527" spans="2:9" x14ac:dyDescent="0.3">
      <c r="B527" t="s">
        <v>2578</v>
      </c>
      <c r="C527" t="s">
        <v>2579</v>
      </c>
      <c r="D527" t="s">
        <v>2580</v>
      </c>
      <c r="E527" s="140">
        <v>0</v>
      </c>
      <c r="F527" s="140">
        <v>0</v>
      </c>
      <c r="G527" s="140">
        <v>0</v>
      </c>
      <c r="H527" s="140">
        <v>0</v>
      </c>
      <c r="I527" s="140">
        <v>0</v>
      </c>
    </row>
    <row r="528" spans="2:9" x14ac:dyDescent="0.3">
      <c r="B528" t="s">
        <v>2581</v>
      </c>
      <c r="C528" t="s">
        <v>2582</v>
      </c>
      <c r="D528" t="s">
        <v>2583</v>
      </c>
      <c r="E528" s="140">
        <v>0</v>
      </c>
      <c r="F528" s="140">
        <v>0</v>
      </c>
      <c r="G528" s="140">
        <v>0</v>
      </c>
      <c r="H528" s="140">
        <v>0</v>
      </c>
      <c r="I528" s="140">
        <v>0</v>
      </c>
    </row>
    <row r="529" spans="2:9" x14ac:dyDescent="0.3">
      <c r="B529" t="s">
        <v>2584</v>
      </c>
      <c r="C529" t="s">
        <v>2585</v>
      </c>
      <c r="D529" t="s">
        <v>2586</v>
      </c>
      <c r="E529" s="140">
        <v>0</v>
      </c>
      <c r="F529" s="140">
        <v>0</v>
      </c>
      <c r="G529" s="140">
        <v>0</v>
      </c>
      <c r="H529" s="140">
        <v>0</v>
      </c>
      <c r="I529" s="140">
        <v>0</v>
      </c>
    </row>
    <row r="530" spans="2:9" x14ac:dyDescent="0.3">
      <c r="B530" t="s">
        <v>2587</v>
      </c>
      <c r="C530" t="s">
        <v>2588</v>
      </c>
      <c r="D530" t="s">
        <v>2589</v>
      </c>
      <c r="E530" s="140">
        <v>0</v>
      </c>
      <c r="F530" s="140">
        <v>0</v>
      </c>
      <c r="G530" s="140">
        <v>0</v>
      </c>
      <c r="H530" s="140">
        <v>0</v>
      </c>
      <c r="I530" s="140">
        <v>0</v>
      </c>
    </row>
    <row r="531" spans="2:9" x14ac:dyDescent="0.3">
      <c r="B531" t="s">
        <v>735</v>
      </c>
      <c r="C531" t="s">
        <v>736</v>
      </c>
      <c r="D531" t="s">
        <v>737</v>
      </c>
      <c r="E531" s="140">
        <v>0</v>
      </c>
      <c r="F531" s="140">
        <v>0</v>
      </c>
      <c r="G531" s="140">
        <v>0</v>
      </c>
      <c r="H531" s="140">
        <v>0</v>
      </c>
      <c r="I531" s="140">
        <v>0</v>
      </c>
    </row>
    <row r="532" spans="2:9" x14ac:dyDescent="0.3">
      <c r="B532" t="s">
        <v>2590</v>
      </c>
      <c r="C532" t="s">
        <v>2591</v>
      </c>
      <c r="D532" t="s">
        <v>2592</v>
      </c>
      <c r="E532" s="140">
        <v>0</v>
      </c>
      <c r="F532" s="140">
        <v>0</v>
      </c>
      <c r="G532" s="140">
        <v>0</v>
      </c>
      <c r="H532" s="140">
        <v>0</v>
      </c>
      <c r="I532" s="140">
        <v>0</v>
      </c>
    </row>
    <row r="533" spans="2:9" x14ac:dyDescent="0.3">
      <c r="B533" t="s">
        <v>2593</v>
      </c>
      <c r="C533" t="s">
        <v>2594</v>
      </c>
      <c r="D533" t="s">
        <v>2595</v>
      </c>
      <c r="E533" s="140">
        <v>0</v>
      </c>
      <c r="F533" s="140">
        <v>0</v>
      </c>
      <c r="G533" s="140">
        <v>0</v>
      </c>
      <c r="H533" s="140">
        <v>0</v>
      </c>
      <c r="I533" s="140">
        <v>0</v>
      </c>
    </row>
    <row r="534" spans="2:9" x14ac:dyDescent="0.3">
      <c r="B534" t="s">
        <v>2596</v>
      </c>
      <c r="C534" t="s">
        <v>2597</v>
      </c>
      <c r="D534" t="s">
        <v>2598</v>
      </c>
      <c r="E534" s="140">
        <v>0</v>
      </c>
      <c r="F534" s="140">
        <v>0</v>
      </c>
      <c r="G534" s="140">
        <v>0</v>
      </c>
      <c r="H534" s="140">
        <v>0</v>
      </c>
      <c r="I534" s="140">
        <v>0</v>
      </c>
    </row>
    <row r="535" spans="2:9" x14ac:dyDescent="0.3">
      <c r="B535" t="s">
        <v>2599</v>
      </c>
      <c r="C535" t="s">
        <v>2600</v>
      </c>
      <c r="D535" t="s">
        <v>2601</v>
      </c>
      <c r="E535" s="140">
        <v>0</v>
      </c>
      <c r="F535" s="140">
        <v>0</v>
      </c>
      <c r="G535" s="140">
        <v>0</v>
      </c>
      <c r="H535" s="140">
        <v>0</v>
      </c>
      <c r="I535" s="140">
        <v>0</v>
      </c>
    </row>
    <row r="536" spans="2:9" x14ac:dyDescent="0.3">
      <c r="B536" t="s">
        <v>2602</v>
      </c>
      <c r="C536">
        <v>1250701</v>
      </c>
      <c r="D536" t="s">
        <v>2603</v>
      </c>
      <c r="E536" s="140">
        <v>0</v>
      </c>
      <c r="F536" s="140">
        <v>0</v>
      </c>
      <c r="G536" s="140">
        <v>0</v>
      </c>
      <c r="H536" s="140">
        <v>0</v>
      </c>
      <c r="I536" s="140">
        <v>0</v>
      </c>
    </row>
    <row r="537" spans="2:9" x14ac:dyDescent="0.3">
      <c r="B537" t="s">
        <v>2604</v>
      </c>
      <c r="C537">
        <v>3623409</v>
      </c>
      <c r="D537" t="s">
        <v>2605</v>
      </c>
      <c r="E537" s="140">
        <v>0</v>
      </c>
      <c r="F537" s="140">
        <v>0</v>
      </c>
      <c r="G537" s="140">
        <v>0</v>
      </c>
      <c r="H537" s="140">
        <v>0</v>
      </c>
      <c r="I537" s="140">
        <v>0</v>
      </c>
    </row>
    <row r="538" spans="2:9" x14ac:dyDescent="0.3">
      <c r="B538" t="s">
        <v>2606</v>
      </c>
      <c r="C538" t="s">
        <v>2607</v>
      </c>
      <c r="D538" t="s">
        <v>2608</v>
      </c>
      <c r="E538" s="140">
        <v>0</v>
      </c>
      <c r="F538" s="140">
        <v>0</v>
      </c>
      <c r="G538" s="140">
        <v>0</v>
      </c>
      <c r="H538" s="140">
        <v>0</v>
      </c>
      <c r="I538" s="140">
        <v>0</v>
      </c>
    </row>
    <row r="539" spans="2:9" x14ac:dyDescent="0.3">
      <c r="B539" t="s">
        <v>2609</v>
      </c>
      <c r="C539" t="s">
        <v>2610</v>
      </c>
      <c r="D539" t="s">
        <v>2611</v>
      </c>
      <c r="E539" s="140">
        <v>0</v>
      </c>
      <c r="F539" s="140">
        <v>0</v>
      </c>
      <c r="G539" s="140">
        <v>0</v>
      </c>
      <c r="H539" s="140">
        <v>0</v>
      </c>
      <c r="I539" s="140">
        <v>0</v>
      </c>
    </row>
    <row r="540" spans="2:9" x14ac:dyDescent="0.3">
      <c r="B540" t="s">
        <v>2612</v>
      </c>
      <c r="C540" t="s">
        <v>2613</v>
      </c>
      <c r="D540" t="s">
        <v>2614</v>
      </c>
      <c r="E540" s="140">
        <v>0</v>
      </c>
      <c r="F540" s="140">
        <v>0</v>
      </c>
      <c r="G540" s="140">
        <v>0</v>
      </c>
      <c r="H540" s="140">
        <v>0</v>
      </c>
      <c r="I540" s="140">
        <v>0</v>
      </c>
    </row>
    <row r="541" spans="2:9" x14ac:dyDescent="0.3">
      <c r="B541" t="s">
        <v>2615</v>
      </c>
      <c r="C541" t="s">
        <v>2616</v>
      </c>
      <c r="D541" t="s">
        <v>2617</v>
      </c>
      <c r="E541" s="140">
        <v>0</v>
      </c>
      <c r="F541" s="140">
        <v>0</v>
      </c>
      <c r="G541" s="140">
        <v>0</v>
      </c>
      <c r="H541" s="140">
        <v>0</v>
      </c>
      <c r="I541" s="140">
        <v>0</v>
      </c>
    </row>
    <row r="542" spans="2:9" x14ac:dyDescent="0.3">
      <c r="B542" t="s">
        <v>2618</v>
      </c>
      <c r="C542" t="s">
        <v>2619</v>
      </c>
      <c r="D542" t="s">
        <v>2620</v>
      </c>
      <c r="E542" s="140">
        <v>0</v>
      </c>
      <c r="F542" s="140">
        <v>0</v>
      </c>
      <c r="G542" s="140">
        <v>0</v>
      </c>
      <c r="H542" s="140">
        <v>0</v>
      </c>
      <c r="I542" s="140">
        <v>0</v>
      </c>
    </row>
    <row r="543" spans="2:9" x14ac:dyDescent="0.3">
      <c r="B543" t="s">
        <v>2621</v>
      </c>
      <c r="C543" t="s">
        <v>2622</v>
      </c>
      <c r="D543" t="s">
        <v>2623</v>
      </c>
      <c r="E543" s="140">
        <v>0</v>
      </c>
      <c r="F543" s="140">
        <v>0</v>
      </c>
      <c r="G543" s="140">
        <v>0</v>
      </c>
      <c r="H543" s="140">
        <v>0</v>
      </c>
      <c r="I543" s="140">
        <v>0</v>
      </c>
    </row>
    <row r="544" spans="2:9" x14ac:dyDescent="0.3">
      <c r="B544" t="s">
        <v>2624</v>
      </c>
      <c r="C544" t="s">
        <v>2625</v>
      </c>
      <c r="D544" t="s">
        <v>2626</v>
      </c>
      <c r="E544" s="140">
        <v>0</v>
      </c>
      <c r="F544" s="140">
        <v>0</v>
      </c>
      <c r="G544" s="140">
        <v>0</v>
      </c>
      <c r="H544" s="140">
        <v>0</v>
      </c>
      <c r="I544" s="140">
        <v>0</v>
      </c>
    </row>
    <row r="545" spans="2:9" x14ac:dyDescent="0.3">
      <c r="B545" t="s">
        <v>2627</v>
      </c>
      <c r="C545" t="s">
        <v>2628</v>
      </c>
      <c r="D545" t="s">
        <v>2629</v>
      </c>
      <c r="E545" s="140">
        <v>0</v>
      </c>
      <c r="F545" s="140">
        <v>0</v>
      </c>
      <c r="G545" s="140">
        <v>0</v>
      </c>
      <c r="H545" s="140">
        <v>0</v>
      </c>
      <c r="I545" s="140">
        <v>0</v>
      </c>
    </row>
    <row r="546" spans="2:9" x14ac:dyDescent="0.3">
      <c r="B546" t="s">
        <v>2630</v>
      </c>
      <c r="C546" t="s">
        <v>2631</v>
      </c>
      <c r="D546" t="s">
        <v>2632</v>
      </c>
      <c r="E546" s="140">
        <v>0</v>
      </c>
      <c r="F546" s="140">
        <v>0</v>
      </c>
      <c r="G546" s="140">
        <v>0</v>
      </c>
      <c r="H546" s="140">
        <v>0</v>
      </c>
      <c r="I546" s="140">
        <v>0</v>
      </c>
    </row>
    <row r="547" spans="2:9" x14ac:dyDescent="0.3">
      <c r="B547" t="s">
        <v>2633</v>
      </c>
      <c r="C547" t="s">
        <v>2634</v>
      </c>
      <c r="D547" t="s">
        <v>2635</v>
      </c>
      <c r="E547" s="140">
        <v>0</v>
      </c>
      <c r="F547" s="140">
        <v>0</v>
      </c>
      <c r="G547" s="140">
        <v>0</v>
      </c>
      <c r="H547" s="140">
        <v>0</v>
      </c>
      <c r="I547" s="140">
        <v>0</v>
      </c>
    </row>
    <row r="548" spans="2:9" x14ac:dyDescent="0.3">
      <c r="B548" t="s">
        <v>2636</v>
      </c>
      <c r="C548" t="s">
        <v>2637</v>
      </c>
      <c r="D548" t="s">
        <v>2638</v>
      </c>
      <c r="E548" s="140">
        <v>0</v>
      </c>
      <c r="F548" s="140">
        <v>0</v>
      </c>
      <c r="G548" s="140">
        <v>0</v>
      </c>
      <c r="H548" s="140">
        <v>0</v>
      </c>
      <c r="I548" s="140">
        <v>0</v>
      </c>
    </row>
    <row r="549" spans="2:9" x14ac:dyDescent="0.3">
      <c r="B549" t="s">
        <v>2639</v>
      </c>
      <c r="C549" t="s">
        <v>2640</v>
      </c>
      <c r="D549" t="s">
        <v>2641</v>
      </c>
      <c r="E549" s="140">
        <v>0</v>
      </c>
      <c r="F549" s="140">
        <v>0</v>
      </c>
      <c r="G549" s="140">
        <v>0</v>
      </c>
      <c r="H549" s="140">
        <v>0</v>
      </c>
      <c r="I549" s="140">
        <v>0</v>
      </c>
    </row>
    <row r="550" spans="2:9" x14ac:dyDescent="0.3">
      <c r="B550" t="s">
        <v>2642</v>
      </c>
      <c r="C550" t="s">
        <v>2643</v>
      </c>
      <c r="D550" t="s">
        <v>2644</v>
      </c>
      <c r="E550" s="140">
        <v>0</v>
      </c>
      <c r="F550" s="140">
        <v>0</v>
      </c>
      <c r="G550" s="140">
        <v>0</v>
      </c>
      <c r="H550" s="140">
        <v>0</v>
      </c>
      <c r="I550" s="140">
        <v>0</v>
      </c>
    </row>
    <row r="551" spans="2:9" x14ac:dyDescent="0.3">
      <c r="B551" t="s">
        <v>2645</v>
      </c>
      <c r="C551" t="s">
        <v>2646</v>
      </c>
      <c r="D551" t="s">
        <v>2647</v>
      </c>
      <c r="E551" s="140">
        <v>0</v>
      </c>
      <c r="F551" s="140">
        <v>0</v>
      </c>
      <c r="G551" s="140">
        <v>0</v>
      </c>
      <c r="H551" s="140">
        <v>0</v>
      </c>
      <c r="I551" s="140">
        <v>0</v>
      </c>
    </row>
    <row r="552" spans="2:9" x14ac:dyDescent="0.3">
      <c r="B552" t="s">
        <v>2648</v>
      </c>
      <c r="C552" t="s">
        <v>2649</v>
      </c>
      <c r="D552" t="s">
        <v>2650</v>
      </c>
      <c r="E552" s="140">
        <v>0</v>
      </c>
      <c r="F552" s="140">
        <v>0</v>
      </c>
      <c r="G552" s="140">
        <v>0</v>
      </c>
      <c r="H552" s="140">
        <v>0</v>
      </c>
      <c r="I552" s="140">
        <v>0</v>
      </c>
    </row>
    <row r="553" spans="2:9" x14ac:dyDescent="0.3">
      <c r="B553" t="s">
        <v>2651</v>
      </c>
      <c r="C553" t="s">
        <v>2652</v>
      </c>
      <c r="D553" t="s">
        <v>2653</v>
      </c>
      <c r="E553" s="140">
        <v>0</v>
      </c>
      <c r="F553" s="140">
        <v>0</v>
      </c>
      <c r="G553" s="140">
        <v>0</v>
      </c>
      <c r="H553" s="140">
        <v>0</v>
      </c>
      <c r="I553" s="140">
        <v>0</v>
      </c>
    </row>
    <row r="554" spans="2:9" x14ac:dyDescent="0.3">
      <c r="B554" t="s">
        <v>2654</v>
      </c>
      <c r="C554" t="s">
        <v>2655</v>
      </c>
      <c r="D554" t="s">
        <v>2656</v>
      </c>
      <c r="E554" s="140">
        <v>0</v>
      </c>
      <c r="F554" s="140">
        <v>0</v>
      </c>
      <c r="G554" s="140">
        <v>0</v>
      </c>
      <c r="H554" s="140">
        <v>0</v>
      </c>
      <c r="I554" s="140">
        <v>0</v>
      </c>
    </row>
    <row r="555" spans="2:9" x14ac:dyDescent="0.3">
      <c r="B555" t="s">
        <v>2657</v>
      </c>
      <c r="C555" t="s">
        <v>2658</v>
      </c>
      <c r="D555" t="s">
        <v>2659</v>
      </c>
      <c r="E555" s="140">
        <v>0</v>
      </c>
      <c r="F555" s="140">
        <v>0</v>
      </c>
      <c r="G555" s="140">
        <v>0</v>
      </c>
      <c r="H555" s="140">
        <v>0</v>
      </c>
      <c r="I555" s="140">
        <v>0</v>
      </c>
    </row>
    <row r="556" spans="2:9" x14ac:dyDescent="0.3">
      <c r="B556" t="s">
        <v>2660</v>
      </c>
      <c r="C556" t="s">
        <v>2661</v>
      </c>
      <c r="D556" t="s">
        <v>2662</v>
      </c>
      <c r="E556" s="140">
        <v>0</v>
      </c>
      <c r="F556" s="140">
        <v>0</v>
      </c>
      <c r="G556" s="140">
        <v>0</v>
      </c>
      <c r="H556" s="140">
        <v>0</v>
      </c>
      <c r="I556" s="140">
        <v>0</v>
      </c>
    </row>
    <row r="557" spans="2:9" x14ac:dyDescent="0.3">
      <c r="B557" t="s">
        <v>2663</v>
      </c>
      <c r="C557" t="s">
        <v>2664</v>
      </c>
      <c r="D557" t="s">
        <v>2665</v>
      </c>
      <c r="E557" s="140">
        <v>0</v>
      </c>
      <c r="F557" s="140">
        <v>0</v>
      </c>
      <c r="G557" s="140">
        <v>0</v>
      </c>
      <c r="H557" s="140">
        <v>0</v>
      </c>
      <c r="I557" s="140">
        <v>0</v>
      </c>
    </row>
    <row r="558" spans="2:9" x14ac:dyDescent="0.3">
      <c r="B558" t="s">
        <v>2666</v>
      </c>
      <c r="C558" t="s">
        <v>2667</v>
      </c>
      <c r="D558" t="s">
        <v>2668</v>
      </c>
      <c r="E558" s="140">
        <v>0</v>
      </c>
      <c r="F558" s="140">
        <v>0</v>
      </c>
      <c r="G558" s="140">
        <v>0</v>
      </c>
      <c r="H558" s="140">
        <v>0</v>
      </c>
      <c r="I558" s="140">
        <v>0</v>
      </c>
    </row>
    <row r="559" spans="2:9" x14ac:dyDescent="0.3">
      <c r="B559" t="s">
        <v>2669</v>
      </c>
      <c r="C559" t="s">
        <v>2670</v>
      </c>
      <c r="D559" t="s">
        <v>2671</v>
      </c>
      <c r="E559" s="140">
        <v>0</v>
      </c>
      <c r="F559" s="140">
        <v>0</v>
      </c>
      <c r="G559" s="140">
        <v>0</v>
      </c>
      <c r="H559" s="140">
        <v>0</v>
      </c>
      <c r="I559" s="140">
        <v>0</v>
      </c>
    </row>
    <row r="560" spans="2:9" x14ac:dyDescent="0.3">
      <c r="B560" t="s">
        <v>738</v>
      </c>
      <c r="C560" s="261">
        <v>32578400000000</v>
      </c>
      <c r="D560" t="s">
        <v>739</v>
      </c>
      <c r="E560" s="140">
        <v>0</v>
      </c>
      <c r="F560" s="140">
        <v>0</v>
      </c>
      <c r="G560" s="140">
        <v>0</v>
      </c>
      <c r="H560" s="140">
        <v>0</v>
      </c>
      <c r="I560" s="140">
        <v>0</v>
      </c>
    </row>
    <row r="561" spans="2:9" x14ac:dyDescent="0.3">
      <c r="B561" t="s">
        <v>2672</v>
      </c>
      <c r="C561" t="s">
        <v>2673</v>
      </c>
      <c r="D561" t="s">
        <v>2674</v>
      </c>
      <c r="E561" s="140">
        <v>0</v>
      </c>
      <c r="F561" s="140">
        <v>0</v>
      </c>
      <c r="G561" s="140">
        <v>0</v>
      </c>
      <c r="H561" s="140">
        <v>0</v>
      </c>
      <c r="I561" s="140">
        <v>0</v>
      </c>
    </row>
    <row r="562" spans="2:9" x14ac:dyDescent="0.3">
      <c r="B562" t="s">
        <v>2675</v>
      </c>
      <c r="C562" t="s">
        <v>2676</v>
      </c>
      <c r="D562" t="s">
        <v>2677</v>
      </c>
      <c r="E562" s="140">
        <v>0</v>
      </c>
      <c r="F562" s="140">
        <v>0</v>
      </c>
      <c r="G562" s="140">
        <v>0</v>
      </c>
      <c r="H562" s="140">
        <v>0</v>
      </c>
      <c r="I562" s="140">
        <v>0</v>
      </c>
    </row>
    <row r="563" spans="2:9" x14ac:dyDescent="0.3">
      <c r="B563" t="s">
        <v>2678</v>
      </c>
      <c r="C563" t="s">
        <v>2679</v>
      </c>
      <c r="D563" t="s">
        <v>2680</v>
      </c>
      <c r="E563" s="140">
        <v>0</v>
      </c>
      <c r="F563" s="140">
        <v>0</v>
      </c>
      <c r="G563" s="140">
        <v>0</v>
      </c>
      <c r="H563" s="140">
        <v>0</v>
      </c>
      <c r="I563" s="140">
        <v>0</v>
      </c>
    </row>
    <row r="564" spans="2:9" x14ac:dyDescent="0.3">
      <c r="B564" t="s">
        <v>2681</v>
      </c>
      <c r="C564" t="s">
        <v>2682</v>
      </c>
      <c r="D564" t="s">
        <v>2683</v>
      </c>
      <c r="E564" s="140">
        <v>0</v>
      </c>
      <c r="F564" s="140">
        <v>0</v>
      </c>
      <c r="G564" s="140">
        <v>0</v>
      </c>
      <c r="H564" s="140">
        <v>0</v>
      </c>
      <c r="I564" s="140">
        <v>0</v>
      </c>
    </row>
    <row r="565" spans="2:9" x14ac:dyDescent="0.3">
      <c r="B565" t="s">
        <v>740</v>
      </c>
      <c r="C565" t="s">
        <v>741</v>
      </c>
      <c r="D565" t="s">
        <v>742</v>
      </c>
      <c r="E565" s="140">
        <v>0</v>
      </c>
      <c r="F565" s="140">
        <v>0</v>
      </c>
      <c r="G565" s="140">
        <v>0</v>
      </c>
      <c r="H565" s="140">
        <v>0</v>
      </c>
      <c r="I565" s="140">
        <v>0</v>
      </c>
    </row>
    <row r="566" spans="2:9" x14ac:dyDescent="0.3">
      <c r="B566" t="s">
        <v>2684</v>
      </c>
      <c r="C566" t="s">
        <v>2685</v>
      </c>
      <c r="D566" t="s">
        <v>2686</v>
      </c>
      <c r="E566" s="140">
        <v>0</v>
      </c>
      <c r="F566" s="140">
        <v>0</v>
      </c>
      <c r="G566" s="140">
        <v>0</v>
      </c>
      <c r="H566" s="140">
        <v>0</v>
      </c>
      <c r="I566" s="140">
        <v>0</v>
      </c>
    </row>
    <row r="567" spans="2:9" x14ac:dyDescent="0.3">
      <c r="B567" t="s">
        <v>2687</v>
      </c>
      <c r="C567" t="s">
        <v>2688</v>
      </c>
      <c r="D567" t="s">
        <v>2689</v>
      </c>
      <c r="E567" s="140">
        <v>0</v>
      </c>
      <c r="F567" s="140">
        <v>0</v>
      </c>
      <c r="G567" s="140">
        <v>0</v>
      </c>
      <c r="H567" s="140">
        <v>0</v>
      </c>
      <c r="I567" s="140">
        <v>0</v>
      </c>
    </row>
    <row r="568" spans="2:9" x14ac:dyDescent="0.3">
      <c r="B568" t="s">
        <v>2690</v>
      </c>
      <c r="C568" t="s">
        <v>2691</v>
      </c>
      <c r="D568" t="s">
        <v>2692</v>
      </c>
      <c r="E568" s="140">
        <v>0</v>
      </c>
      <c r="F568" s="140">
        <v>0</v>
      </c>
      <c r="G568" s="140">
        <v>0</v>
      </c>
      <c r="H568" s="140">
        <v>0</v>
      </c>
      <c r="I568" s="140">
        <v>0</v>
      </c>
    </row>
    <row r="569" spans="2:9" x14ac:dyDescent="0.3">
      <c r="B569" t="s">
        <v>2693</v>
      </c>
      <c r="C569" t="s">
        <v>2694</v>
      </c>
      <c r="D569" t="s">
        <v>2695</v>
      </c>
      <c r="E569" s="140">
        <v>0</v>
      </c>
      <c r="F569" s="140">
        <v>0</v>
      </c>
      <c r="G569" s="140">
        <v>0</v>
      </c>
      <c r="H569" s="140">
        <v>0</v>
      </c>
      <c r="I569" s="140">
        <v>0</v>
      </c>
    </row>
    <row r="570" spans="2:9" x14ac:dyDescent="0.3">
      <c r="B570" t="s">
        <v>743</v>
      </c>
      <c r="C570" t="s">
        <v>744</v>
      </c>
      <c r="D570" t="s">
        <v>745</v>
      </c>
      <c r="E570" s="140">
        <v>0</v>
      </c>
      <c r="F570" s="140">
        <v>3</v>
      </c>
      <c r="G570" s="140">
        <v>-3</v>
      </c>
      <c r="H570" s="140">
        <v>0</v>
      </c>
      <c r="I570" s="140">
        <v>0</v>
      </c>
    </row>
    <row r="571" spans="2:9" x14ac:dyDescent="0.3">
      <c r="B571" t="s">
        <v>2696</v>
      </c>
      <c r="C571" t="s">
        <v>2697</v>
      </c>
      <c r="D571" t="s">
        <v>2698</v>
      </c>
      <c r="E571" s="140">
        <v>0</v>
      </c>
      <c r="F571" s="140">
        <v>0</v>
      </c>
      <c r="G571" s="140">
        <v>0</v>
      </c>
      <c r="H571" s="140">
        <v>0</v>
      </c>
      <c r="I571" s="140">
        <v>0</v>
      </c>
    </row>
    <row r="572" spans="2:9" x14ac:dyDescent="0.3">
      <c r="B572" t="s">
        <v>2699</v>
      </c>
      <c r="C572" t="s">
        <v>2700</v>
      </c>
      <c r="D572" t="s">
        <v>2701</v>
      </c>
      <c r="E572" s="140">
        <v>0</v>
      </c>
      <c r="F572" s="140">
        <v>0</v>
      </c>
      <c r="G572" s="140">
        <v>0</v>
      </c>
      <c r="H572" s="140">
        <v>0</v>
      </c>
      <c r="I572" s="140">
        <v>0</v>
      </c>
    </row>
    <row r="573" spans="2:9" x14ac:dyDescent="0.3">
      <c r="B573" t="s">
        <v>2702</v>
      </c>
      <c r="C573" t="s">
        <v>2703</v>
      </c>
      <c r="D573" t="s">
        <v>2704</v>
      </c>
      <c r="E573" s="140">
        <v>0</v>
      </c>
      <c r="F573" s="140">
        <v>0</v>
      </c>
      <c r="G573" s="140">
        <v>0</v>
      </c>
      <c r="H573" s="140">
        <v>0</v>
      </c>
      <c r="I573" s="140">
        <v>0</v>
      </c>
    </row>
    <row r="574" spans="2:9" x14ac:dyDescent="0.3">
      <c r="B574" t="s">
        <v>2705</v>
      </c>
      <c r="C574" t="s">
        <v>2706</v>
      </c>
      <c r="D574" t="s">
        <v>2707</v>
      </c>
      <c r="E574" s="140">
        <v>0</v>
      </c>
      <c r="F574" s="140">
        <v>0</v>
      </c>
      <c r="G574" s="140">
        <v>0</v>
      </c>
      <c r="H574" s="140">
        <v>0</v>
      </c>
      <c r="I574" s="140">
        <v>0</v>
      </c>
    </row>
    <row r="575" spans="2:9" x14ac:dyDescent="0.3">
      <c r="B575" t="s">
        <v>2708</v>
      </c>
      <c r="C575" t="s">
        <v>2709</v>
      </c>
      <c r="D575" t="s">
        <v>2710</v>
      </c>
      <c r="E575" s="140">
        <v>0</v>
      </c>
      <c r="F575" s="140">
        <v>0</v>
      </c>
      <c r="G575" s="140">
        <v>0</v>
      </c>
      <c r="H575" s="140">
        <v>0</v>
      </c>
      <c r="I575" s="140">
        <v>0</v>
      </c>
    </row>
    <row r="576" spans="2:9" x14ac:dyDescent="0.3">
      <c r="B576" t="s">
        <v>2711</v>
      </c>
      <c r="C576" t="s">
        <v>2712</v>
      </c>
      <c r="D576" t="s">
        <v>2713</v>
      </c>
      <c r="E576" s="140">
        <v>0</v>
      </c>
      <c r="F576" s="140">
        <v>0</v>
      </c>
      <c r="G576" s="140">
        <v>0</v>
      </c>
      <c r="H576" s="140">
        <v>0</v>
      </c>
      <c r="I576" s="140">
        <v>0</v>
      </c>
    </row>
    <row r="577" spans="2:9" x14ac:dyDescent="0.3">
      <c r="B577" t="s">
        <v>2714</v>
      </c>
      <c r="C577" t="s">
        <v>2715</v>
      </c>
      <c r="D577" t="s">
        <v>2716</v>
      </c>
      <c r="E577" s="140">
        <v>0</v>
      </c>
      <c r="F577" s="140">
        <v>0</v>
      </c>
      <c r="G577" s="140">
        <v>0</v>
      </c>
      <c r="H577" s="140">
        <v>0</v>
      </c>
      <c r="I577" s="140">
        <v>0</v>
      </c>
    </row>
    <row r="578" spans="2:9" x14ac:dyDescent="0.3">
      <c r="B578" t="s">
        <v>2717</v>
      </c>
      <c r="C578" t="s">
        <v>2718</v>
      </c>
      <c r="D578" t="s">
        <v>2719</v>
      </c>
      <c r="E578" s="140">
        <v>0</v>
      </c>
      <c r="F578" s="140">
        <v>0</v>
      </c>
      <c r="G578" s="140">
        <v>0</v>
      </c>
      <c r="H578" s="140">
        <v>0</v>
      </c>
      <c r="I578" s="140">
        <v>0</v>
      </c>
    </row>
    <row r="579" spans="2:9" x14ac:dyDescent="0.3">
      <c r="B579" t="s">
        <v>2720</v>
      </c>
      <c r="C579" t="s">
        <v>2721</v>
      </c>
      <c r="D579" t="s">
        <v>2722</v>
      </c>
      <c r="E579" s="140">
        <v>0</v>
      </c>
      <c r="F579" s="140">
        <v>0</v>
      </c>
      <c r="G579" s="140">
        <v>0</v>
      </c>
      <c r="H579" s="140">
        <v>0</v>
      </c>
      <c r="I579" s="140">
        <v>0</v>
      </c>
    </row>
    <row r="580" spans="2:9" x14ac:dyDescent="0.3">
      <c r="B580" t="s">
        <v>2723</v>
      </c>
      <c r="C580" s="261">
        <v>14084400000000</v>
      </c>
      <c r="D580" t="s">
        <v>2724</v>
      </c>
      <c r="E580" s="140">
        <v>0</v>
      </c>
      <c r="F580" s="140">
        <v>0</v>
      </c>
      <c r="G580" s="140">
        <v>0</v>
      </c>
      <c r="H580" s="140">
        <v>0</v>
      </c>
      <c r="I580" s="140">
        <v>0</v>
      </c>
    </row>
    <row r="581" spans="2:9" x14ac:dyDescent="0.3">
      <c r="B581" t="s">
        <v>2725</v>
      </c>
      <c r="C581" t="s">
        <v>2726</v>
      </c>
      <c r="D581" t="s">
        <v>2727</v>
      </c>
      <c r="E581" s="140">
        <v>0</v>
      </c>
      <c r="F581" s="140">
        <v>0</v>
      </c>
      <c r="G581" s="140">
        <v>0</v>
      </c>
      <c r="H581" s="140">
        <v>0</v>
      </c>
      <c r="I581" s="140">
        <v>0</v>
      </c>
    </row>
    <row r="582" spans="2:9" x14ac:dyDescent="0.3">
      <c r="B582" t="s">
        <v>2728</v>
      </c>
      <c r="C582" t="s">
        <v>2729</v>
      </c>
      <c r="D582" t="s">
        <v>2730</v>
      </c>
      <c r="E582" s="140">
        <v>0</v>
      </c>
      <c r="F582" s="140">
        <v>0</v>
      </c>
      <c r="G582" s="140">
        <v>0</v>
      </c>
      <c r="H582" s="140">
        <v>0</v>
      </c>
      <c r="I582" s="140">
        <v>0</v>
      </c>
    </row>
    <row r="583" spans="2:9" x14ac:dyDescent="0.3">
      <c r="B583" t="s">
        <v>2731</v>
      </c>
      <c r="C583" t="s">
        <v>2732</v>
      </c>
      <c r="D583" t="s">
        <v>2733</v>
      </c>
      <c r="E583" s="140">
        <v>0</v>
      </c>
      <c r="F583" s="140">
        <v>0</v>
      </c>
      <c r="G583" s="140">
        <v>0</v>
      </c>
      <c r="H583" s="140">
        <v>0</v>
      </c>
      <c r="I583" s="140">
        <v>0</v>
      </c>
    </row>
    <row r="584" spans="2:9" x14ac:dyDescent="0.3">
      <c r="B584" t="s">
        <v>2734</v>
      </c>
      <c r="C584" t="s">
        <v>2735</v>
      </c>
      <c r="D584" t="s">
        <v>2736</v>
      </c>
      <c r="E584" s="140">
        <v>0</v>
      </c>
      <c r="F584" s="140">
        <v>0</v>
      </c>
      <c r="G584" s="140">
        <v>0</v>
      </c>
      <c r="H584" s="140">
        <v>0</v>
      </c>
      <c r="I584" s="140">
        <v>0</v>
      </c>
    </row>
    <row r="585" spans="2:9" x14ac:dyDescent="0.3">
      <c r="B585" t="s">
        <v>2737</v>
      </c>
      <c r="C585" t="s">
        <v>2738</v>
      </c>
      <c r="D585" t="s">
        <v>2739</v>
      </c>
      <c r="E585" s="140">
        <v>0</v>
      </c>
      <c r="F585" s="140">
        <v>0</v>
      </c>
      <c r="G585" s="140">
        <v>0</v>
      </c>
      <c r="H585" s="140">
        <v>0</v>
      </c>
      <c r="I585" s="140">
        <v>0</v>
      </c>
    </row>
    <row r="586" spans="2:9" x14ac:dyDescent="0.3">
      <c r="B586" t="s">
        <v>2740</v>
      </c>
      <c r="C586" t="s">
        <v>2741</v>
      </c>
      <c r="D586" t="s">
        <v>2742</v>
      </c>
      <c r="E586" s="140">
        <v>0</v>
      </c>
      <c r="F586" s="140">
        <v>0</v>
      </c>
      <c r="G586" s="140">
        <v>0</v>
      </c>
      <c r="H586" s="140">
        <v>0</v>
      </c>
      <c r="I586" s="140">
        <v>0</v>
      </c>
    </row>
    <row r="587" spans="2:9" x14ac:dyDescent="0.3">
      <c r="B587" t="s">
        <v>2743</v>
      </c>
      <c r="C587" t="s">
        <v>2744</v>
      </c>
      <c r="D587" t="s">
        <v>2745</v>
      </c>
      <c r="E587" s="140">
        <v>0</v>
      </c>
      <c r="F587" s="140">
        <v>0</v>
      </c>
      <c r="G587" s="140">
        <v>0</v>
      </c>
      <c r="H587" s="140">
        <v>0</v>
      </c>
      <c r="I587" s="140">
        <v>0</v>
      </c>
    </row>
    <row r="588" spans="2:9" x14ac:dyDescent="0.3">
      <c r="B588" t="s">
        <v>2746</v>
      </c>
      <c r="C588" t="s">
        <v>2747</v>
      </c>
      <c r="D588" t="s">
        <v>2748</v>
      </c>
      <c r="E588" s="140">
        <v>0</v>
      </c>
      <c r="F588" s="140">
        <v>0</v>
      </c>
      <c r="G588" s="140">
        <v>0</v>
      </c>
      <c r="H588" s="140">
        <v>0</v>
      </c>
      <c r="I588" s="140">
        <v>0</v>
      </c>
    </row>
    <row r="589" spans="2:9" x14ac:dyDescent="0.3">
      <c r="B589" t="s">
        <v>2749</v>
      </c>
      <c r="C589" t="s">
        <v>2750</v>
      </c>
      <c r="D589" t="s">
        <v>2751</v>
      </c>
      <c r="E589" s="140">
        <v>0</v>
      </c>
      <c r="F589" s="140">
        <v>0</v>
      </c>
      <c r="G589" s="140">
        <v>0</v>
      </c>
      <c r="H589" s="140">
        <v>0</v>
      </c>
      <c r="I589" s="140">
        <v>0</v>
      </c>
    </row>
    <row r="590" spans="2:9" x14ac:dyDescent="0.3">
      <c r="B590" t="s">
        <v>2752</v>
      </c>
      <c r="C590" t="s">
        <v>2753</v>
      </c>
      <c r="D590" t="s">
        <v>2754</v>
      </c>
      <c r="E590" s="140">
        <v>0</v>
      </c>
      <c r="F590" s="140">
        <v>0</v>
      </c>
      <c r="G590" s="140">
        <v>0</v>
      </c>
      <c r="H590" s="140">
        <v>0</v>
      </c>
      <c r="I590" s="140">
        <v>0</v>
      </c>
    </row>
    <row r="591" spans="2:9" x14ac:dyDescent="0.3">
      <c r="B591" t="s">
        <v>2755</v>
      </c>
      <c r="C591" t="s">
        <v>2756</v>
      </c>
      <c r="D591" t="s">
        <v>2757</v>
      </c>
      <c r="E591" s="140">
        <v>0</v>
      </c>
      <c r="F591" s="140">
        <v>0</v>
      </c>
      <c r="G591" s="140">
        <v>0</v>
      </c>
      <c r="H591" s="140">
        <v>0</v>
      </c>
      <c r="I591" s="140">
        <v>0</v>
      </c>
    </row>
    <row r="592" spans="2:9" x14ac:dyDescent="0.3">
      <c r="B592" t="s">
        <v>2758</v>
      </c>
      <c r="C592" t="s">
        <v>2759</v>
      </c>
      <c r="D592" t="s">
        <v>2760</v>
      </c>
      <c r="E592" s="140">
        <v>0</v>
      </c>
      <c r="F592" s="140">
        <v>0</v>
      </c>
      <c r="G592" s="140">
        <v>0</v>
      </c>
      <c r="H592" s="140">
        <v>0</v>
      </c>
      <c r="I592" s="140">
        <v>0</v>
      </c>
    </row>
    <row r="593" spans="2:9" x14ac:dyDescent="0.3">
      <c r="B593" t="s">
        <v>2761</v>
      </c>
      <c r="C593" t="s">
        <v>2762</v>
      </c>
      <c r="D593" t="s">
        <v>2763</v>
      </c>
      <c r="E593" s="140">
        <v>0</v>
      </c>
      <c r="F593" s="140">
        <v>0</v>
      </c>
      <c r="G593" s="140">
        <v>0</v>
      </c>
      <c r="H593" s="140">
        <v>0</v>
      </c>
      <c r="I593" s="140">
        <v>0</v>
      </c>
    </row>
    <row r="594" spans="2:9" x14ac:dyDescent="0.3">
      <c r="B594" t="s">
        <v>2764</v>
      </c>
      <c r="C594" t="s">
        <v>2765</v>
      </c>
      <c r="D594" t="s">
        <v>2766</v>
      </c>
      <c r="E594" s="140">
        <v>0</v>
      </c>
      <c r="F594" s="140">
        <v>0</v>
      </c>
      <c r="G594" s="140">
        <v>0</v>
      </c>
      <c r="H594" s="140">
        <v>0</v>
      </c>
      <c r="I594" s="140">
        <v>0</v>
      </c>
    </row>
    <row r="595" spans="2:9" x14ac:dyDescent="0.3">
      <c r="B595" t="s">
        <v>2767</v>
      </c>
      <c r="C595" t="s">
        <v>2768</v>
      </c>
      <c r="D595" t="s">
        <v>2769</v>
      </c>
      <c r="E595" s="140">
        <v>0</v>
      </c>
      <c r="F595" s="140">
        <v>0</v>
      </c>
      <c r="G595" s="140">
        <v>0</v>
      </c>
      <c r="H595" s="140">
        <v>0</v>
      </c>
      <c r="I595" s="140">
        <v>0</v>
      </c>
    </row>
    <row r="596" spans="2:9" x14ac:dyDescent="0.3">
      <c r="B596" t="s">
        <v>2770</v>
      </c>
      <c r="C596" t="s">
        <v>2771</v>
      </c>
      <c r="D596" t="s">
        <v>2772</v>
      </c>
      <c r="E596" s="140">
        <v>0</v>
      </c>
      <c r="F596" s="140">
        <v>0</v>
      </c>
      <c r="G596" s="140">
        <v>0</v>
      </c>
      <c r="H596" s="140">
        <v>0</v>
      </c>
      <c r="I596" s="140">
        <v>0</v>
      </c>
    </row>
    <row r="597" spans="2:9" x14ac:dyDescent="0.3">
      <c r="B597" t="s">
        <v>2773</v>
      </c>
      <c r="C597" t="s">
        <v>2774</v>
      </c>
      <c r="D597" t="s">
        <v>2775</v>
      </c>
      <c r="E597" s="140">
        <v>0</v>
      </c>
      <c r="F597" s="140">
        <v>0</v>
      </c>
      <c r="G597" s="140">
        <v>0</v>
      </c>
      <c r="H597" s="140">
        <v>0</v>
      </c>
      <c r="I597" s="140">
        <v>0</v>
      </c>
    </row>
    <row r="598" spans="2:9" x14ac:dyDescent="0.3">
      <c r="B598" t="s">
        <v>2776</v>
      </c>
      <c r="C598" t="s">
        <v>2777</v>
      </c>
      <c r="D598" t="s">
        <v>2778</v>
      </c>
      <c r="E598" s="140">
        <v>0</v>
      </c>
      <c r="F598" s="140">
        <v>0</v>
      </c>
      <c r="G598" s="140">
        <v>0</v>
      </c>
      <c r="H598" s="140">
        <v>0</v>
      </c>
      <c r="I598" s="140">
        <v>0</v>
      </c>
    </row>
    <row r="599" spans="2:9" x14ac:dyDescent="0.3">
      <c r="B599" t="s">
        <v>2779</v>
      </c>
      <c r="C599" t="s">
        <v>2780</v>
      </c>
      <c r="D599" t="s">
        <v>2781</v>
      </c>
      <c r="E599" s="140">
        <v>0</v>
      </c>
      <c r="F599" s="140">
        <v>0</v>
      </c>
      <c r="G599" s="140">
        <v>0</v>
      </c>
      <c r="H599" s="140">
        <v>0</v>
      </c>
      <c r="I599" s="140">
        <v>0</v>
      </c>
    </row>
    <row r="600" spans="2:9" x14ac:dyDescent="0.3">
      <c r="B600" t="s">
        <v>2782</v>
      </c>
      <c r="C600" t="s">
        <v>2783</v>
      </c>
      <c r="D600" t="s">
        <v>2784</v>
      </c>
      <c r="E600" s="140">
        <v>0</v>
      </c>
      <c r="F600" s="140">
        <v>0</v>
      </c>
      <c r="G600" s="140">
        <v>0</v>
      </c>
      <c r="H600" s="140">
        <v>0</v>
      </c>
      <c r="I600" s="140">
        <v>0</v>
      </c>
    </row>
    <row r="601" spans="2:9" x14ac:dyDescent="0.3">
      <c r="B601" t="s">
        <v>2785</v>
      </c>
      <c r="C601" t="s">
        <v>2786</v>
      </c>
      <c r="D601" t="s">
        <v>2787</v>
      </c>
      <c r="E601" s="140">
        <v>0</v>
      </c>
      <c r="F601" s="140">
        <v>0</v>
      </c>
      <c r="G601" s="140">
        <v>0</v>
      </c>
      <c r="H601" s="140">
        <v>0</v>
      </c>
      <c r="I601" s="140">
        <v>0</v>
      </c>
    </row>
    <row r="602" spans="2:9" x14ac:dyDescent="0.3">
      <c r="B602" t="s">
        <v>2788</v>
      </c>
      <c r="C602" t="s">
        <v>2789</v>
      </c>
      <c r="D602" t="s">
        <v>2790</v>
      </c>
      <c r="E602" s="140">
        <v>0</v>
      </c>
      <c r="F602" s="140">
        <v>0</v>
      </c>
      <c r="G602" s="140">
        <v>0</v>
      </c>
      <c r="H602" s="140">
        <v>0</v>
      </c>
      <c r="I602" s="140">
        <v>0</v>
      </c>
    </row>
    <row r="603" spans="2:9" x14ac:dyDescent="0.3">
      <c r="B603" t="s">
        <v>2791</v>
      </c>
      <c r="C603" t="s">
        <v>2792</v>
      </c>
      <c r="D603" t="s">
        <v>2793</v>
      </c>
      <c r="E603" s="140">
        <v>0</v>
      </c>
      <c r="F603" s="140">
        <v>0</v>
      </c>
      <c r="G603" s="140">
        <v>0</v>
      </c>
      <c r="H603" s="140">
        <v>0</v>
      </c>
      <c r="I603" s="140">
        <v>0</v>
      </c>
    </row>
    <row r="604" spans="2:9" x14ac:dyDescent="0.3">
      <c r="B604" t="s">
        <v>2794</v>
      </c>
      <c r="C604" t="s">
        <v>2795</v>
      </c>
      <c r="D604" t="s">
        <v>2796</v>
      </c>
      <c r="E604" s="140">
        <v>0</v>
      </c>
      <c r="F604" s="140">
        <v>0</v>
      </c>
      <c r="G604" s="140">
        <v>0</v>
      </c>
      <c r="H604" s="140">
        <v>0</v>
      </c>
      <c r="I604" s="140">
        <v>0</v>
      </c>
    </row>
    <row r="605" spans="2:9" x14ac:dyDescent="0.3">
      <c r="B605" t="s">
        <v>2797</v>
      </c>
      <c r="C605" t="s">
        <v>2798</v>
      </c>
      <c r="D605" t="s">
        <v>2799</v>
      </c>
      <c r="E605" s="140">
        <v>0</v>
      </c>
      <c r="F605" s="140">
        <v>0</v>
      </c>
      <c r="G605" s="140">
        <v>0</v>
      </c>
      <c r="H605" s="140">
        <v>0</v>
      </c>
      <c r="I605" s="140">
        <v>0</v>
      </c>
    </row>
    <row r="606" spans="2:9" x14ac:dyDescent="0.3">
      <c r="B606" t="s">
        <v>2800</v>
      </c>
      <c r="C606" t="s">
        <v>2801</v>
      </c>
      <c r="D606" t="s">
        <v>2802</v>
      </c>
      <c r="E606" s="140">
        <v>0</v>
      </c>
      <c r="F606" s="140">
        <v>0</v>
      </c>
      <c r="G606" s="140">
        <v>0</v>
      </c>
      <c r="H606" s="140">
        <v>0</v>
      </c>
      <c r="I606" s="140">
        <v>0</v>
      </c>
    </row>
    <row r="607" spans="2:9" x14ac:dyDescent="0.3">
      <c r="B607" t="s">
        <v>2803</v>
      </c>
      <c r="C607" t="s">
        <v>2804</v>
      </c>
      <c r="D607" t="s">
        <v>2805</v>
      </c>
      <c r="E607" s="140">
        <v>0</v>
      </c>
      <c r="F607" s="140">
        <v>0</v>
      </c>
      <c r="G607" s="140">
        <v>0</v>
      </c>
      <c r="H607" s="140">
        <v>0</v>
      </c>
      <c r="I607" s="140">
        <v>0</v>
      </c>
    </row>
    <row r="608" spans="2:9" x14ac:dyDescent="0.3">
      <c r="B608" t="s">
        <v>2806</v>
      </c>
      <c r="C608" t="s">
        <v>2807</v>
      </c>
      <c r="D608" t="s">
        <v>2808</v>
      </c>
      <c r="E608" s="140">
        <v>0</v>
      </c>
      <c r="F608" s="140">
        <v>0</v>
      </c>
      <c r="G608" s="140">
        <v>0</v>
      </c>
      <c r="H608" s="140">
        <v>0</v>
      </c>
      <c r="I608" s="140">
        <v>0</v>
      </c>
    </row>
    <row r="609" spans="2:9" x14ac:dyDescent="0.3">
      <c r="B609" t="s">
        <v>2809</v>
      </c>
      <c r="C609" t="s">
        <v>2810</v>
      </c>
      <c r="D609" t="s">
        <v>2811</v>
      </c>
      <c r="E609" s="140">
        <v>0</v>
      </c>
      <c r="F609" s="140">
        <v>0</v>
      </c>
      <c r="G609" s="140">
        <v>0</v>
      </c>
      <c r="H609" s="140">
        <v>0</v>
      </c>
      <c r="I609" s="140">
        <v>0</v>
      </c>
    </row>
    <row r="610" spans="2:9" x14ac:dyDescent="0.3">
      <c r="B610" t="s">
        <v>2812</v>
      </c>
      <c r="C610" t="s">
        <v>2813</v>
      </c>
      <c r="D610" t="s">
        <v>2814</v>
      </c>
      <c r="E610" s="140">
        <v>0</v>
      </c>
      <c r="F610" s="140">
        <v>0</v>
      </c>
      <c r="G610" s="140">
        <v>0</v>
      </c>
      <c r="H610" s="140">
        <v>0</v>
      </c>
      <c r="I610" s="140">
        <v>0</v>
      </c>
    </row>
    <row r="611" spans="2:9" x14ac:dyDescent="0.3">
      <c r="B611" t="s">
        <v>2815</v>
      </c>
      <c r="C611" t="s">
        <v>2816</v>
      </c>
      <c r="D611" t="s">
        <v>2817</v>
      </c>
      <c r="E611" s="140">
        <v>0</v>
      </c>
      <c r="F611" s="140">
        <v>0</v>
      </c>
      <c r="G611" s="140">
        <v>0</v>
      </c>
      <c r="H611" s="140">
        <v>0</v>
      </c>
      <c r="I611" s="140">
        <v>0</v>
      </c>
    </row>
    <row r="612" spans="2:9" x14ac:dyDescent="0.3">
      <c r="B612" t="s">
        <v>2818</v>
      </c>
      <c r="C612" t="s">
        <v>2819</v>
      </c>
      <c r="D612" t="s">
        <v>2820</v>
      </c>
      <c r="E612" s="140">
        <v>0</v>
      </c>
      <c r="F612" s="140">
        <v>0</v>
      </c>
      <c r="G612" s="140">
        <v>0</v>
      </c>
      <c r="H612" s="140">
        <v>0</v>
      </c>
      <c r="I612" s="140">
        <v>0</v>
      </c>
    </row>
    <row r="613" spans="2:9" x14ac:dyDescent="0.3">
      <c r="B613" t="s">
        <v>2821</v>
      </c>
      <c r="C613" t="s">
        <v>2822</v>
      </c>
      <c r="D613" t="s">
        <v>2823</v>
      </c>
      <c r="E613" s="140">
        <v>0</v>
      </c>
      <c r="F613" s="140">
        <v>0</v>
      </c>
      <c r="G613" s="140">
        <v>0</v>
      </c>
      <c r="H613" s="140">
        <v>0</v>
      </c>
      <c r="I613" s="140">
        <v>0</v>
      </c>
    </row>
    <row r="614" spans="2:9" x14ac:dyDescent="0.3">
      <c r="B614" t="s">
        <v>2824</v>
      </c>
      <c r="C614" t="s">
        <v>2825</v>
      </c>
      <c r="D614" t="s">
        <v>2826</v>
      </c>
      <c r="E614" s="140">
        <v>0</v>
      </c>
      <c r="F614" s="140">
        <v>0</v>
      </c>
      <c r="G614" s="140">
        <v>0</v>
      </c>
      <c r="H614" s="140">
        <v>0</v>
      </c>
      <c r="I614" s="140">
        <v>0</v>
      </c>
    </row>
    <row r="615" spans="2:9" x14ac:dyDescent="0.3">
      <c r="B615" t="s">
        <v>2827</v>
      </c>
      <c r="C615" t="s">
        <v>2828</v>
      </c>
      <c r="D615" t="s">
        <v>2829</v>
      </c>
      <c r="E615" s="140">
        <v>0</v>
      </c>
      <c r="F615" s="140">
        <v>0</v>
      </c>
      <c r="G615" s="140">
        <v>0</v>
      </c>
      <c r="H615" s="140">
        <v>0</v>
      </c>
      <c r="I615" s="140">
        <v>0</v>
      </c>
    </row>
    <row r="616" spans="2:9" x14ac:dyDescent="0.3">
      <c r="B616" t="s">
        <v>2830</v>
      </c>
      <c r="C616" t="s">
        <v>2831</v>
      </c>
      <c r="D616" t="s">
        <v>2832</v>
      </c>
      <c r="E616" s="140">
        <v>0</v>
      </c>
      <c r="F616" s="140">
        <v>0</v>
      </c>
      <c r="G616" s="140">
        <v>0</v>
      </c>
      <c r="H616" s="140">
        <v>0</v>
      </c>
      <c r="I616" s="140">
        <v>0</v>
      </c>
    </row>
    <row r="617" spans="2:9" x14ac:dyDescent="0.3">
      <c r="B617" t="s">
        <v>2833</v>
      </c>
      <c r="C617" t="s">
        <v>2834</v>
      </c>
      <c r="D617" t="s">
        <v>2835</v>
      </c>
      <c r="E617" s="140">
        <v>0</v>
      </c>
      <c r="F617" s="140">
        <v>0</v>
      </c>
      <c r="G617" s="140">
        <v>0</v>
      </c>
      <c r="H617" s="140">
        <v>0</v>
      </c>
      <c r="I617" s="140">
        <v>0</v>
      </c>
    </row>
    <row r="618" spans="2:9" x14ac:dyDescent="0.3">
      <c r="B618" t="s">
        <v>2836</v>
      </c>
      <c r="C618" t="s">
        <v>2837</v>
      </c>
      <c r="D618" t="s">
        <v>2838</v>
      </c>
      <c r="E618" s="140">
        <v>0</v>
      </c>
      <c r="F618" s="140">
        <v>0</v>
      </c>
      <c r="G618" s="140">
        <v>0</v>
      </c>
      <c r="H618" s="140">
        <v>0</v>
      </c>
      <c r="I618" s="140">
        <v>0</v>
      </c>
    </row>
    <row r="619" spans="2:9" x14ac:dyDescent="0.3">
      <c r="B619" t="s">
        <v>2839</v>
      </c>
      <c r="C619" t="s">
        <v>2840</v>
      </c>
      <c r="D619" t="s">
        <v>2841</v>
      </c>
      <c r="E619" s="140">
        <v>0</v>
      </c>
      <c r="F619" s="140">
        <v>0</v>
      </c>
      <c r="G619" s="140">
        <v>0</v>
      </c>
      <c r="H619" s="140">
        <v>0</v>
      </c>
      <c r="I619" s="140">
        <v>0</v>
      </c>
    </row>
    <row r="620" spans="2:9" x14ac:dyDescent="0.3">
      <c r="B620" t="s">
        <v>2842</v>
      </c>
      <c r="C620" t="s">
        <v>2843</v>
      </c>
      <c r="D620" t="s">
        <v>2844</v>
      </c>
      <c r="E620" s="140">
        <v>0</v>
      </c>
      <c r="F620" s="140">
        <v>0</v>
      </c>
      <c r="G620" s="140">
        <v>0</v>
      </c>
      <c r="H620" s="140">
        <v>0</v>
      </c>
      <c r="I620" s="140">
        <v>0</v>
      </c>
    </row>
    <row r="621" spans="2:9" x14ac:dyDescent="0.3">
      <c r="B621" t="s">
        <v>2845</v>
      </c>
      <c r="C621" t="s">
        <v>2846</v>
      </c>
      <c r="D621" t="s">
        <v>2847</v>
      </c>
      <c r="E621" s="140">
        <v>0</v>
      </c>
      <c r="F621" s="140">
        <v>0</v>
      </c>
      <c r="G621" s="140">
        <v>0</v>
      </c>
      <c r="H621" s="140">
        <v>0</v>
      </c>
      <c r="I621" s="140">
        <v>0</v>
      </c>
    </row>
    <row r="622" spans="2:9" x14ac:dyDescent="0.3">
      <c r="B622" t="s">
        <v>2848</v>
      </c>
      <c r="C622" t="s">
        <v>2849</v>
      </c>
      <c r="D622" t="s">
        <v>2850</v>
      </c>
      <c r="E622" s="140">
        <v>0</v>
      </c>
      <c r="F622" s="140">
        <v>0</v>
      </c>
      <c r="G622" s="140">
        <v>0</v>
      </c>
      <c r="H622" s="140">
        <v>0</v>
      </c>
      <c r="I622" s="140">
        <v>0</v>
      </c>
    </row>
    <row r="623" spans="2:9" x14ac:dyDescent="0.3">
      <c r="B623" t="s">
        <v>2851</v>
      </c>
      <c r="C623" t="s">
        <v>2852</v>
      </c>
      <c r="D623" t="s">
        <v>2853</v>
      </c>
      <c r="E623" s="140">
        <v>0</v>
      </c>
      <c r="F623" s="140">
        <v>0</v>
      </c>
      <c r="G623" s="140">
        <v>0</v>
      </c>
      <c r="H623" s="140">
        <v>0</v>
      </c>
      <c r="I623" s="140">
        <v>0</v>
      </c>
    </row>
    <row r="624" spans="2:9" x14ac:dyDescent="0.3">
      <c r="B624" t="s">
        <v>2854</v>
      </c>
      <c r="C624" t="s">
        <v>2855</v>
      </c>
      <c r="D624" t="s">
        <v>2856</v>
      </c>
      <c r="E624" s="140">
        <v>0</v>
      </c>
      <c r="F624" s="140">
        <v>0</v>
      </c>
      <c r="G624" s="140">
        <v>0</v>
      </c>
      <c r="H624" s="140">
        <v>0</v>
      </c>
      <c r="I624" s="140">
        <v>0</v>
      </c>
    </row>
    <row r="625" spans="2:9" x14ac:dyDescent="0.3">
      <c r="B625" t="s">
        <v>2857</v>
      </c>
      <c r="C625" t="s">
        <v>2858</v>
      </c>
      <c r="D625" t="s">
        <v>2859</v>
      </c>
      <c r="E625" s="140">
        <v>0</v>
      </c>
      <c r="F625" s="140">
        <v>0</v>
      </c>
      <c r="G625" s="140">
        <v>0</v>
      </c>
      <c r="H625" s="140">
        <v>0</v>
      </c>
      <c r="I625" s="140">
        <v>0</v>
      </c>
    </row>
    <row r="626" spans="2:9" x14ac:dyDescent="0.3">
      <c r="B626" t="s">
        <v>2860</v>
      </c>
      <c r="C626" t="s">
        <v>2861</v>
      </c>
      <c r="D626" t="s">
        <v>2862</v>
      </c>
      <c r="E626" s="140">
        <v>0</v>
      </c>
      <c r="F626" s="140">
        <v>0</v>
      </c>
      <c r="G626" s="140">
        <v>0</v>
      </c>
      <c r="H626" s="140">
        <v>0</v>
      </c>
      <c r="I626" s="140">
        <v>0</v>
      </c>
    </row>
    <row r="627" spans="2:9" x14ac:dyDescent="0.3">
      <c r="B627" t="s">
        <v>2863</v>
      </c>
      <c r="C627" t="s">
        <v>2864</v>
      </c>
      <c r="D627" t="s">
        <v>2865</v>
      </c>
      <c r="E627" s="140">
        <v>0</v>
      </c>
      <c r="F627" s="140">
        <v>0</v>
      </c>
      <c r="G627" s="140">
        <v>0</v>
      </c>
      <c r="H627" s="140">
        <v>0</v>
      </c>
      <c r="I627" s="140">
        <v>0</v>
      </c>
    </row>
    <row r="628" spans="2:9" x14ac:dyDescent="0.3">
      <c r="B628" t="s">
        <v>2866</v>
      </c>
      <c r="C628" t="s">
        <v>2867</v>
      </c>
      <c r="D628" t="s">
        <v>2868</v>
      </c>
      <c r="E628" s="140">
        <v>0</v>
      </c>
      <c r="F628" s="140">
        <v>0</v>
      </c>
      <c r="G628" s="140">
        <v>0</v>
      </c>
      <c r="H628" s="140">
        <v>0</v>
      </c>
      <c r="I628" s="140">
        <v>0</v>
      </c>
    </row>
    <row r="629" spans="2:9" x14ac:dyDescent="0.3">
      <c r="B629" t="s">
        <v>2869</v>
      </c>
      <c r="C629" t="s">
        <v>2870</v>
      </c>
      <c r="D629" t="s">
        <v>2871</v>
      </c>
      <c r="E629" s="140">
        <v>0</v>
      </c>
      <c r="F629" s="140">
        <v>0</v>
      </c>
      <c r="G629" s="140">
        <v>0</v>
      </c>
      <c r="H629" s="140">
        <v>0</v>
      </c>
      <c r="I629" s="140">
        <v>0</v>
      </c>
    </row>
    <row r="630" spans="2:9" x14ac:dyDescent="0.3">
      <c r="B630" t="s">
        <v>2872</v>
      </c>
      <c r="C630" t="s">
        <v>2873</v>
      </c>
      <c r="D630" t="s">
        <v>2874</v>
      </c>
      <c r="E630" s="140">
        <v>0</v>
      </c>
      <c r="F630" s="140">
        <v>0</v>
      </c>
      <c r="G630" s="140">
        <v>0</v>
      </c>
      <c r="H630" s="140">
        <v>0</v>
      </c>
      <c r="I630" s="140">
        <v>0</v>
      </c>
    </row>
    <row r="631" spans="2:9" x14ac:dyDescent="0.3">
      <c r="B631" t="s">
        <v>2875</v>
      </c>
      <c r="C631" t="s">
        <v>2876</v>
      </c>
      <c r="D631" t="s">
        <v>2877</v>
      </c>
      <c r="E631" s="140">
        <v>0</v>
      </c>
      <c r="F631" s="140">
        <v>0</v>
      </c>
      <c r="G631" s="140">
        <v>0</v>
      </c>
      <c r="H631" s="140">
        <v>0</v>
      </c>
      <c r="I631" s="140">
        <v>0</v>
      </c>
    </row>
    <row r="632" spans="2:9" x14ac:dyDescent="0.3">
      <c r="B632" t="s">
        <v>2878</v>
      </c>
      <c r="C632" t="s">
        <v>2879</v>
      </c>
      <c r="D632" t="s">
        <v>2880</v>
      </c>
      <c r="E632" s="140">
        <v>0</v>
      </c>
      <c r="F632" s="140">
        <v>0</v>
      </c>
      <c r="G632" s="140">
        <v>0</v>
      </c>
      <c r="H632" s="140">
        <v>0</v>
      </c>
      <c r="I632" s="140">
        <v>0</v>
      </c>
    </row>
    <row r="633" spans="2:9" x14ac:dyDescent="0.3">
      <c r="B633" t="s">
        <v>2881</v>
      </c>
      <c r="C633" t="s">
        <v>2882</v>
      </c>
      <c r="D633" t="s">
        <v>2883</v>
      </c>
      <c r="E633" s="140">
        <v>0</v>
      </c>
      <c r="F633" s="140">
        <v>0</v>
      </c>
      <c r="G633" s="140">
        <v>0</v>
      </c>
      <c r="H633" s="140">
        <v>0</v>
      </c>
      <c r="I633" s="140">
        <v>0</v>
      </c>
    </row>
    <row r="634" spans="2:9" x14ac:dyDescent="0.3">
      <c r="B634" t="s">
        <v>2884</v>
      </c>
      <c r="C634" t="s">
        <v>2885</v>
      </c>
      <c r="D634" t="s">
        <v>2886</v>
      </c>
      <c r="E634" s="140">
        <v>0</v>
      </c>
      <c r="F634" s="140">
        <v>0</v>
      </c>
      <c r="G634" s="140">
        <v>0</v>
      </c>
      <c r="H634" s="140">
        <v>0</v>
      </c>
      <c r="I634" s="140">
        <v>0</v>
      </c>
    </row>
    <row r="635" spans="2:9" x14ac:dyDescent="0.3">
      <c r="B635" t="s">
        <v>2887</v>
      </c>
      <c r="C635" t="s">
        <v>2888</v>
      </c>
      <c r="D635" t="s">
        <v>2889</v>
      </c>
      <c r="E635" s="140">
        <v>0</v>
      </c>
      <c r="F635" s="140">
        <v>0</v>
      </c>
      <c r="G635" s="140">
        <v>0</v>
      </c>
      <c r="H635" s="140">
        <v>0</v>
      </c>
      <c r="I635" s="140">
        <v>0</v>
      </c>
    </row>
    <row r="636" spans="2:9" x14ac:dyDescent="0.3">
      <c r="B636" t="s">
        <v>2890</v>
      </c>
      <c r="C636" t="s">
        <v>2891</v>
      </c>
      <c r="D636" t="s">
        <v>2892</v>
      </c>
      <c r="E636" s="140">
        <v>0</v>
      </c>
      <c r="F636" s="140">
        <v>0</v>
      </c>
      <c r="G636" s="140">
        <v>0</v>
      </c>
      <c r="H636" s="140">
        <v>0</v>
      </c>
      <c r="I636" s="140">
        <v>0</v>
      </c>
    </row>
    <row r="637" spans="2:9" x14ac:dyDescent="0.3">
      <c r="B637" t="s">
        <v>2893</v>
      </c>
      <c r="C637" t="s">
        <v>2894</v>
      </c>
      <c r="D637" t="s">
        <v>2895</v>
      </c>
      <c r="E637" s="140">
        <v>0</v>
      </c>
      <c r="F637" s="140">
        <v>0</v>
      </c>
      <c r="G637" s="140">
        <v>0</v>
      </c>
      <c r="H637" s="140">
        <v>0</v>
      </c>
      <c r="I637" s="140">
        <v>0</v>
      </c>
    </row>
    <row r="638" spans="2:9" x14ac:dyDescent="0.3">
      <c r="B638" t="s">
        <v>2896</v>
      </c>
      <c r="C638" t="s">
        <v>2897</v>
      </c>
      <c r="D638" t="s">
        <v>2898</v>
      </c>
      <c r="E638" s="140">
        <v>0</v>
      </c>
      <c r="F638" s="140">
        <v>0</v>
      </c>
      <c r="G638" s="140">
        <v>0</v>
      </c>
      <c r="H638" s="140">
        <v>0</v>
      </c>
      <c r="I638" s="140">
        <v>0</v>
      </c>
    </row>
    <row r="639" spans="2:9" x14ac:dyDescent="0.3">
      <c r="B639" t="s">
        <v>1621</v>
      </c>
      <c r="C639" t="s">
        <v>1622</v>
      </c>
      <c r="D639" t="s">
        <v>1623</v>
      </c>
      <c r="E639" s="140">
        <v>0</v>
      </c>
      <c r="F639" s="140">
        <v>0</v>
      </c>
      <c r="G639" s="140">
        <v>0</v>
      </c>
      <c r="H639" s="140">
        <v>0</v>
      </c>
      <c r="I639" s="140">
        <v>0</v>
      </c>
    </row>
    <row r="640" spans="2:9" x14ac:dyDescent="0.3">
      <c r="B640" t="s">
        <v>2899</v>
      </c>
      <c r="C640" t="s">
        <v>2900</v>
      </c>
      <c r="D640" t="s">
        <v>2901</v>
      </c>
      <c r="E640" s="140">
        <v>0</v>
      </c>
      <c r="F640" s="140">
        <v>0</v>
      </c>
      <c r="G640" s="140">
        <v>0</v>
      </c>
      <c r="H640" s="140">
        <v>0</v>
      </c>
      <c r="I640" s="140">
        <v>0</v>
      </c>
    </row>
    <row r="641" spans="2:9" x14ac:dyDescent="0.3">
      <c r="B641" t="s">
        <v>2902</v>
      </c>
      <c r="C641" t="s">
        <v>2903</v>
      </c>
      <c r="D641" t="s">
        <v>2904</v>
      </c>
      <c r="E641" s="140">
        <v>0</v>
      </c>
      <c r="F641" s="140">
        <v>0</v>
      </c>
      <c r="G641" s="140">
        <v>0</v>
      </c>
      <c r="H641" s="140">
        <v>0</v>
      </c>
      <c r="I641" s="140">
        <v>0</v>
      </c>
    </row>
    <row r="642" spans="2:9" x14ac:dyDescent="0.3">
      <c r="B642" t="s">
        <v>2905</v>
      </c>
      <c r="C642" t="s">
        <v>2906</v>
      </c>
      <c r="D642" t="s">
        <v>2907</v>
      </c>
      <c r="E642" s="140">
        <v>0</v>
      </c>
      <c r="F642" s="140">
        <v>18</v>
      </c>
      <c r="G642" s="140">
        <v>-18</v>
      </c>
      <c r="H642" s="140">
        <v>0</v>
      </c>
      <c r="I642" s="140">
        <v>0</v>
      </c>
    </row>
    <row r="643" spans="2:9" x14ac:dyDescent="0.3">
      <c r="B643" t="s">
        <v>2908</v>
      </c>
      <c r="C643" t="s">
        <v>2909</v>
      </c>
      <c r="D643" t="s">
        <v>2910</v>
      </c>
      <c r="E643" s="140">
        <v>0</v>
      </c>
      <c r="F643" s="140">
        <v>0</v>
      </c>
      <c r="G643" s="140">
        <v>0</v>
      </c>
      <c r="H643" s="140">
        <v>0</v>
      </c>
      <c r="I643" s="140">
        <v>0</v>
      </c>
    </row>
    <row r="644" spans="2:9" x14ac:dyDescent="0.3">
      <c r="B644" t="s">
        <v>2911</v>
      </c>
      <c r="C644" s="261">
        <v>10282700000000</v>
      </c>
      <c r="D644" t="s">
        <v>2912</v>
      </c>
      <c r="E644" s="140">
        <v>0</v>
      </c>
      <c r="F644" s="140">
        <v>0</v>
      </c>
      <c r="G644" s="140">
        <v>0</v>
      </c>
      <c r="H644" s="140">
        <v>0</v>
      </c>
      <c r="I644" s="140">
        <v>0</v>
      </c>
    </row>
    <row r="645" spans="2:9" x14ac:dyDescent="0.3">
      <c r="B645" t="s">
        <v>2913</v>
      </c>
      <c r="C645" t="s">
        <v>2914</v>
      </c>
      <c r="D645" t="s">
        <v>2915</v>
      </c>
      <c r="E645" s="140">
        <v>0</v>
      </c>
      <c r="F645" s="140">
        <v>0</v>
      </c>
      <c r="G645" s="140">
        <v>0</v>
      </c>
      <c r="H645" s="140">
        <v>0</v>
      </c>
      <c r="I645" s="140">
        <v>0</v>
      </c>
    </row>
    <row r="646" spans="2:9" x14ac:dyDescent="0.3">
      <c r="B646" t="s">
        <v>2916</v>
      </c>
      <c r="C646" t="s">
        <v>2917</v>
      </c>
      <c r="D646" t="s">
        <v>2918</v>
      </c>
      <c r="E646" s="140">
        <v>0</v>
      </c>
      <c r="F646" s="140">
        <v>0</v>
      </c>
      <c r="G646" s="140">
        <v>0</v>
      </c>
      <c r="H646" s="140">
        <v>0</v>
      </c>
      <c r="I646" s="140">
        <v>0</v>
      </c>
    </row>
    <row r="647" spans="2:9" x14ac:dyDescent="0.3">
      <c r="B647" t="s">
        <v>2919</v>
      </c>
      <c r="C647" t="s">
        <v>2920</v>
      </c>
      <c r="D647" t="s">
        <v>2921</v>
      </c>
      <c r="E647" s="140">
        <v>0</v>
      </c>
      <c r="F647" s="140">
        <v>0</v>
      </c>
      <c r="G647" s="140">
        <v>0</v>
      </c>
      <c r="H647" s="140">
        <v>0</v>
      </c>
      <c r="I647" s="140">
        <v>0</v>
      </c>
    </row>
    <row r="648" spans="2:9" x14ac:dyDescent="0.3">
      <c r="B648" t="s">
        <v>2922</v>
      </c>
      <c r="C648" t="s">
        <v>2923</v>
      </c>
      <c r="D648" t="s">
        <v>2924</v>
      </c>
      <c r="E648" s="140">
        <v>0</v>
      </c>
      <c r="F648" s="140">
        <v>0</v>
      </c>
      <c r="G648" s="140">
        <v>0</v>
      </c>
      <c r="H648" s="140">
        <v>0</v>
      </c>
      <c r="I648" s="140">
        <v>0</v>
      </c>
    </row>
    <row r="649" spans="2:9" x14ac:dyDescent="0.3">
      <c r="B649" t="s">
        <v>746</v>
      </c>
      <c r="C649" t="s">
        <v>747</v>
      </c>
      <c r="D649" t="s">
        <v>748</v>
      </c>
      <c r="E649" s="140">
        <v>0</v>
      </c>
      <c r="F649" s="140">
        <v>0</v>
      </c>
      <c r="G649" s="140">
        <v>0</v>
      </c>
      <c r="H649" s="140">
        <v>0</v>
      </c>
      <c r="I649" s="140">
        <v>0</v>
      </c>
    </row>
    <row r="650" spans="2:9" x14ac:dyDescent="0.3">
      <c r="B650" t="s">
        <v>2925</v>
      </c>
      <c r="C650" t="s">
        <v>2926</v>
      </c>
      <c r="D650" t="s">
        <v>2927</v>
      </c>
      <c r="E650" s="140">
        <v>0</v>
      </c>
      <c r="F650" s="140">
        <v>0</v>
      </c>
      <c r="G650" s="140">
        <v>0</v>
      </c>
      <c r="H650" s="140">
        <v>0</v>
      </c>
      <c r="I650" s="140">
        <v>0</v>
      </c>
    </row>
    <row r="651" spans="2:9" x14ac:dyDescent="0.3">
      <c r="B651" t="s">
        <v>2928</v>
      </c>
      <c r="C651" t="s">
        <v>2929</v>
      </c>
      <c r="D651" t="s">
        <v>2930</v>
      </c>
      <c r="E651" s="140">
        <v>0</v>
      </c>
      <c r="F651" s="140">
        <v>0</v>
      </c>
      <c r="G651" s="140">
        <v>0</v>
      </c>
      <c r="H651" s="140">
        <v>0</v>
      </c>
      <c r="I651" s="140">
        <v>0</v>
      </c>
    </row>
    <row r="652" spans="2:9" x14ac:dyDescent="0.3">
      <c r="B652" t="s">
        <v>2931</v>
      </c>
      <c r="C652" t="s">
        <v>2932</v>
      </c>
      <c r="D652" t="s">
        <v>2933</v>
      </c>
      <c r="E652" s="140">
        <v>0</v>
      </c>
      <c r="F652" s="140">
        <v>0</v>
      </c>
      <c r="G652" s="140">
        <v>0</v>
      </c>
      <c r="H652" s="140">
        <v>0</v>
      </c>
      <c r="I652" s="140">
        <v>0</v>
      </c>
    </row>
    <row r="653" spans="2:9" x14ac:dyDescent="0.3">
      <c r="B653" t="s">
        <v>2934</v>
      </c>
      <c r="C653" t="s">
        <v>2935</v>
      </c>
      <c r="D653" t="s">
        <v>2936</v>
      </c>
      <c r="E653" s="140">
        <v>0</v>
      </c>
      <c r="F653" s="140">
        <v>0</v>
      </c>
      <c r="G653" s="140">
        <v>0</v>
      </c>
      <c r="H653" s="140">
        <v>0</v>
      </c>
      <c r="I653" s="140">
        <v>0</v>
      </c>
    </row>
    <row r="654" spans="2:9" x14ac:dyDescent="0.3">
      <c r="B654" t="s">
        <v>2937</v>
      </c>
      <c r="C654" t="s">
        <v>2938</v>
      </c>
      <c r="D654" t="s">
        <v>2939</v>
      </c>
      <c r="E654" s="140">
        <v>0</v>
      </c>
      <c r="F654" s="140">
        <v>0</v>
      </c>
      <c r="G654" s="140">
        <v>0</v>
      </c>
      <c r="H654" s="140">
        <v>0</v>
      </c>
      <c r="I654" s="140">
        <v>0</v>
      </c>
    </row>
    <row r="655" spans="2:9" x14ac:dyDescent="0.3">
      <c r="B655" t="s">
        <v>2940</v>
      </c>
      <c r="C655" t="s">
        <v>2941</v>
      </c>
      <c r="D655" t="s">
        <v>2942</v>
      </c>
      <c r="E655" s="140">
        <v>0</v>
      </c>
      <c r="F655" s="140">
        <v>0</v>
      </c>
      <c r="G655" s="140">
        <v>0</v>
      </c>
      <c r="H655" s="140">
        <v>0</v>
      </c>
      <c r="I655" s="140">
        <v>0</v>
      </c>
    </row>
    <row r="656" spans="2:9" x14ac:dyDescent="0.3">
      <c r="B656" t="s">
        <v>2943</v>
      </c>
      <c r="C656" t="s">
        <v>2944</v>
      </c>
      <c r="D656" t="s">
        <v>2945</v>
      </c>
      <c r="E656" s="140">
        <v>0</v>
      </c>
      <c r="F656" s="140">
        <v>0</v>
      </c>
      <c r="G656" s="140">
        <v>0</v>
      </c>
      <c r="H656" s="140">
        <v>0</v>
      </c>
      <c r="I656" s="140">
        <v>0</v>
      </c>
    </row>
    <row r="657" spans="2:9" x14ac:dyDescent="0.3">
      <c r="B657" t="s">
        <v>749</v>
      </c>
      <c r="C657" t="s">
        <v>750</v>
      </c>
      <c r="D657" t="s">
        <v>751</v>
      </c>
      <c r="E657" s="140">
        <v>0</v>
      </c>
      <c r="F657" s="140">
        <v>0</v>
      </c>
      <c r="G657" s="140">
        <v>0</v>
      </c>
      <c r="H657" s="140">
        <v>0</v>
      </c>
      <c r="I657" s="140">
        <v>0</v>
      </c>
    </row>
    <row r="658" spans="2:9" x14ac:dyDescent="0.3">
      <c r="B658" t="s">
        <v>1624</v>
      </c>
      <c r="C658" t="s">
        <v>1625</v>
      </c>
      <c r="D658" t="s">
        <v>1626</v>
      </c>
      <c r="E658" s="140">
        <v>0</v>
      </c>
      <c r="F658" s="140">
        <v>0</v>
      </c>
      <c r="G658" s="140">
        <v>0</v>
      </c>
      <c r="H658" s="140">
        <v>0</v>
      </c>
      <c r="I658" s="140">
        <v>0</v>
      </c>
    </row>
    <row r="659" spans="2:9" x14ac:dyDescent="0.3">
      <c r="B659" t="s">
        <v>2946</v>
      </c>
      <c r="C659" t="s">
        <v>2947</v>
      </c>
      <c r="D659" t="s">
        <v>2948</v>
      </c>
      <c r="E659" s="140">
        <v>0</v>
      </c>
      <c r="F659" s="140">
        <v>0</v>
      </c>
      <c r="G659" s="140">
        <v>0</v>
      </c>
      <c r="H659" s="140">
        <v>0</v>
      </c>
      <c r="I659" s="140">
        <v>0</v>
      </c>
    </row>
    <row r="660" spans="2:9" x14ac:dyDescent="0.3">
      <c r="B660" t="s">
        <v>2949</v>
      </c>
      <c r="C660" t="s">
        <v>2950</v>
      </c>
      <c r="D660" t="s">
        <v>2951</v>
      </c>
      <c r="E660" s="140">
        <v>0</v>
      </c>
      <c r="F660" s="140">
        <v>0</v>
      </c>
      <c r="G660" s="140">
        <v>0</v>
      </c>
      <c r="H660" s="140">
        <v>0</v>
      </c>
      <c r="I660" s="140">
        <v>0</v>
      </c>
    </row>
    <row r="661" spans="2:9" x14ac:dyDescent="0.3">
      <c r="B661" t="s">
        <v>2952</v>
      </c>
      <c r="C661" t="s">
        <v>2953</v>
      </c>
      <c r="D661" t="s">
        <v>2954</v>
      </c>
      <c r="E661" s="140">
        <v>0</v>
      </c>
      <c r="F661" s="140">
        <v>0</v>
      </c>
      <c r="G661" s="140">
        <v>0</v>
      </c>
      <c r="H661" s="140">
        <v>0</v>
      </c>
      <c r="I661" s="140">
        <v>0</v>
      </c>
    </row>
    <row r="662" spans="2:9" x14ac:dyDescent="0.3">
      <c r="B662" t="s">
        <v>2955</v>
      </c>
      <c r="C662" t="s">
        <v>2956</v>
      </c>
      <c r="D662" t="s">
        <v>2957</v>
      </c>
      <c r="E662" s="140">
        <v>0</v>
      </c>
      <c r="F662" s="140">
        <v>0</v>
      </c>
      <c r="G662" s="140">
        <v>0</v>
      </c>
      <c r="H662" s="140">
        <v>0</v>
      </c>
      <c r="I662" s="140">
        <v>0</v>
      </c>
    </row>
    <row r="663" spans="2:9" x14ac:dyDescent="0.3">
      <c r="B663" t="s">
        <v>2958</v>
      </c>
      <c r="C663" t="s">
        <v>2959</v>
      </c>
      <c r="D663" t="s">
        <v>2960</v>
      </c>
      <c r="E663" s="140">
        <v>0</v>
      </c>
      <c r="F663" s="140">
        <v>0</v>
      </c>
      <c r="G663" s="140">
        <v>0</v>
      </c>
      <c r="H663" s="140">
        <v>0</v>
      </c>
      <c r="I663" s="140">
        <v>0</v>
      </c>
    </row>
    <row r="664" spans="2:9" x14ac:dyDescent="0.3">
      <c r="B664" t="s">
        <v>2961</v>
      </c>
      <c r="C664" t="s">
        <v>2962</v>
      </c>
      <c r="D664" t="s">
        <v>2963</v>
      </c>
      <c r="E664" s="140">
        <v>0</v>
      </c>
      <c r="F664" s="140">
        <v>0</v>
      </c>
      <c r="G664" s="140">
        <v>0</v>
      </c>
      <c r="H664" s="140">
        <v>0</v>
      </c>
      <c r="I664" s="140">
        <v>0</v>
      </c>
    </row>
    <row r="665" spans="2:9" x14ac:dyDescent="0.3">
      <c r="B665" t="s">
        <v>1016</v>
      </c>
      <c r="C665" t="s">
        <v>752</v>
      </c>
      <c r="D665" t="s">
        <v>144</v>
      </c>
      <c r="E665" s="140">
        <v>0</v>
      </c>
      <c r="F665" s="140">
        <v>3</v>
      </c>
      <c r="G665" s="140">
        <v>-4</v>
      </c>
      <c r="H665" s="140">
        <v>-1</v>
      </c>
      <c r="I665" s="140">
        <v>-1</v>
      </c>
    </row>
    <row r="666" spans="2:9" x14ac:dyDescent="0.3">
      <c r="B666" t="s">
        <v>2964</v>
      </c>
      <c r="C666" t="s">
        <v>2965</v>
      </c>
      <c r="D666" t="s">
        <v>2966</v>
      </c>
      <c r="E666" s="140">
        <v>0</v>
      </c>
      <c r="F666" s="140">
        <v>0</v>
      </c>
      <c r="G666" s="140">
        <v>0</v>
      </c>
      <c r="H666" s="140">
        <v>0</v>
      </c>
      <c r="I666" s="140">
        <v>0</v>
      </c>
    </row>
    <row r="667" spans="2:9" x14ac:dyDescent="0.3">
      <c r="B667" t="s">
        <v>2967</v>
      </c>
      <c r="C667">
        <v>2794423</v>
      </c>
      <c r="D667" t="s">
        <v>2968</v>
      </c>
      <c r="E667" s="140">
        <v>0</v>
      </c>
      <c r="F667" s="140">
        <v>0</v>
      </c>
      <c r="G667" s="140">
        <v>0</v>
      </c>
      <c r="H667" s="140">
        <v>0</v>
      </c>
      <c r="I667" s="140">
        <v>0</v>
      </c>
    </row>
    <row r="668" spans="2:9" x14ac:dyDescent="0.3">
      <c r="B668" t="s">
        <v>2969</v>
      </c>
      <c r="C668" t="s">
        <v>2970</v>
      </c>
      <c r="D668" t="s">
        <v>2971</v>
      </c>
      <c r="E668" s="140">
        <v>0</v>
      </c>
      <c r="F668" s="140">
        <v>0</v>
      </c>
      <c r="G668" s="140">
        <v>0</v>
      </c>
      <c r="H668" s="140">
        <v>0</v>
      </c>
      <c r="I668" s="140">
        <v>0</v>
      </c>
    </row>
    <row r="669" spans="2:9" x14ac:dyDescent="0.3">
      <c r="B669" t="s">
        <v>2972</v>
      </c>
      <c r="C669" t="s">
        <v>2973</v>
      </c>
      <c r="D669" t="s">
        <v>2974</v>
      </c>
      <c r="E669" s="140">
        <v>0</v>
      </c>
      <c r="F669" s="140">
        <v>0</v>
      </c>
      <c r="G669" s="140">
        <v>0</v>
      </c>
      <c r="H669" s="140">
        <v>0</v>
      </c>
      <c r="I669" s="140">
        <v>0</v>
      </c>
    </row>
    <row r="670" spans="2:9" x14ac:dyDescent="0.3">
      <c r="B670" t="s">
        <v>2975</v>
      </c>
      <c r="C670" t="s">
        <v>2976</v>
      </c>
      <c r="D670" t="s">
        <v>2971</v>
      </c>
      <c r="E670" s="140">
        <v>0</v>
      </c>
      <c r="F670" s="140">
        <v>0</v>
      </c>
      <c r="G670" s="140">
        <v>0</v>
      </c>
      <c r="H670" s="140">
        <v>0</v>
      </c>
      <c r="I670" s="140">
        <v>0</v>
      </c>
    </row>
    <row r="671" spans="2:9" x14ac:dyDescent="0.3">
      <c r="B671" t="s">
        <v>2977</v>
      </c>
      <c r="C671" s="261">
        <v>7874590000000</v>
      </c>
      <c r="D671" t="s">
        <v>2978</v>
      </c>
      <c r="E671" s="140">
        <v>0</v>
      </c>
      <c r="F671" s="140">
        <v>0</v>
      </c>
      <c r="G671" s="140">
        <v>0</v>
      </c>
      <c r="H671" s="140">
        <v>0</v>
      </c>
      <c r="I671" s="140">
        <v>0</v>
      </c>
    </row>
    <row r="672" spans="2:9" x14ac:dyDescent="0.3">
      <c r="B672" t="s">
        <v>2979</v>
      </c>
      <c r="C672" t="s">
        <v>2980</v>
      </c>
      <c r="D672" t="s">
        <v>2981</v>
      </c>
      <c r="E672" s="140">
        <v>0</v>
      </c>
      <c r="F672" s="140">
        <v>0</v>
      </c>
      <c r="G672" s="140">
        <v>0</v>
      </c>
      <c r="H672" s="140">
        <v>0</v>
      </c>
      <c r="I672" s="140">
        <v>0</v>
      </c>
    </row>
    <row r="673" spans="2:9" x14ac:dyDescent="0.3">
      <c r="B673" t="s">
        <v>2982</v>
      </c>
      <c r="C673" t="s">
        <v>2983</v>
      </c>
      <c r="D673" t="s">
        <v>2984</v>
      </c>
      <c r="E673" s="140">
        <v>0</v>
      </c>
      <c r="F673" s="140">
        <v>0</v>
      </c>
      <c r="G673" s="140">
        <v>0</v>
      </c>
      <c r="H673" s="140">
        <v>0</v>
      </c>
      <c r="I673" s="140">
        <v>0</v>
      </c>
    </row>
    <row r="674" spans="2:9" x14ac:dyDescent="0.3">
      <c r="B674" t="s">
        <v>2985</v>
      </c>
      <c r="C674" t="s">
        <v>2986</v>
      </c>
      <c r="D674" t="s">
        <v>2987</v>
      </c>
      <c r="E674" s="140">
        <v>0</v>
      </c>
      <c r="F674" s="140">
        <v>0</v>
      </c>
      <c r="G674" s="140">
        <v>0</v>
      </c>
      <c r="H674" s="140">
        <v>0</v>
      </c>
      <c r="I674" s="140">
        <v>0</v>
      </c>
    </row>
    <row r="675" spans="2:9" x14ac:dyDescent="0.3">
      <c r="B675" t="s">
        <v>2988</v>
      </c>
      <c r="C675" t="s">
        <v>2989</v>
      </c>
      <c r="D675" t="s">
        <v>2990</v>
      </c>
      <c r="E675" s="140">
        <v>0</v>
      </c>
      <c r="F675" s="140">
        <v>0</v>
      </c>
      <c r="G675" s="140">
        <v>0</v>
      </c>
      <c r="H675" s="140">
        <v>0</v>
      </c>
      <c r="I675" s="140">
        <v>0</v>
      </c>
    </row>
    <row r="676" spans="2:9" x14ac:dyDescent="0.3">
      <c r="B676" t="s">
        <v>2991</v>
      </c>
      <c r="C676" t="s">
        <v>2992</v>
      </c>
      <c r="D676" t="s">
        <v>2993</v>
      </c>
      <c r="E676" s="140">
        <v>0</v>
      </c>
      <c r="F676" s="140">
        <v>0</v>
      </c>
      <c r="G676" s="140">
        <v>0</v>
      </c>
      <c r="H676" s="140">
        <v>0</v>
      </c>
      <c r="I676" s="140">
        <v>0</v>
      </c>
    </row>
    <row r="677" spans="2:9" x14ac:dyDescent="0.3">
      <c r="B677" t="s">
        <v>2994</v>
      </c>
      <c r="C677" t="s">
        <v>2995</v>
      </c>
      <c r="D677" t="s">
        <v>2996</v>
      </c>
      <c r="E677" s="140">
        <v>0</v>
      </c>
      <c r="F677" s="140">
        <v>0</v>
      </c>
      <c r="G677" s="140">
        <v>0</v>
      </c>
      <c r="H677" s="140">
        <v>0</v>
      </c>
      <c r="I677" s="140">
        <v>0</v>
      </c>
    </row>
    <row r="678" spans="2:9" x14ac:dyDescent="0.3">
      <c r="B678" t="s">
        <v>2997</v>
      </c>
      <c r="C678" t="s">
        <v>2998</v>
      </c>
      <c r="D678" t="s">
        <v>2999</v>
      </c>
      <c r="E678" s="140">
        <v>0</v>
      </c>
      <c r="F678" s="140">
        <v>0</v>
      </c>
      <c r="G678" s="140">
        <v>0</v>
      </c>
      <c r="H678" s="140">
        <v>0</v>
      </c>
      <c r="I678" s="140">
        <v>0</v>
      </c>
    </row>
    <row r="679" spans="2:9" x14ac:dyDescent="0.3">
      <c r="B679" t="s">
        <v>3000</v>
      </c>
      <c r="C679" t="s">
        <v>3001</v>
      </c>
      <c r="D679" t="s">
        <v>3002</v>
      </c>
      <c r="E679" s="140">
        <v>0</v>
      </c>
      <c r="F679" s="140">
        <v>0</v>
      </c>
      <c r="G679" s="140">
        <v>0</v>
      </c>
      <c r="H679" s="140">
        <v>0</v>
      </c>
      <c r="I679" s="140">
        <v>0</v>
      </c>
    </row>
    <row r="680" spans="2:9" x14ac:dyDescent="0.3">
      <c r="B680" t="s">
        <v>3003</v>
      </c>
      <c r="C680" t="s">
        <v>3004</v>
      </c>
      <c r="D680" t="s">
        <v>3005</v>
      </c>
      <c r="E680" s="140">
        <v>0</v>
      </c>
      <c r="F680" s="140">
        <v>0</v>
      </c>
      <c r="G680" s="140">
        <v>0</v>
      </c>
      <c r="H680" s="140">
        <v>0</v>
      </c>
      <c r="I680" s="140">
        <v>0</v>
      </c>
    </row>
    <row r="681" spans="2:9" x14ac:dyDescent="0.3">
      <c r="B681" t="s">
        <v>3006</v>
      </c>
      <c r="C681" t="s">
        <v>3007</v>
      </c>
      <c r="D681" t="s">
        <v>3008</v>
      </c>
      <c r="E681" s="140">
        <v>0</v>
      </c>
      <c r="F681" s="140">
        <v>0</v>
      </c>
      <c r="G681" s="140">
        <v>0</v>
      </c>
      <c r="H681" s="140">
        <v>0</v>
      </c>
      <c r="I681" s="140">
        <v>0</v>
      </c>
    </row>
    <row r="682" spans="2:9" x14ac:dyDescent="0.3">
      <c r="B682" t="s">
        <v>3009</v>
      </c>
      <c r="C682" t="s">
        <v>3010</v>
      </c>
      <c r="D682" t="s">
        <v>3011</v>
      </c>
      <c r="E682" s="140">
        <v>0</v>
      </c>
      <c r="F682" s="140">
        <v>0</v>
      </c>
      <c r="G682" s="140">
        <v>0</v>
      </c>
      <c r="H682" s="140">
        <v>0</v>
      </c>
      <c r="I682" s="140">
        <v>0</v>
      </c>
    </row>
    <row r="683" spans="2:9" x14ac:dyDescent="0.3">
      <c r="B683" t="s">
        <v>3012</v>
      </c>
      <c r="C683" t="s">
        <v>3013</v>
      </c>
      <c r="D683" t="s">
        <v>3014</v>
      </c>
      <c r="E683" s="140">
        <v>0</v>
      </c>
      <c r="F683" s="140">
        <v>0</v>
      </c>
      <c r="G683" s="140">
        <v>0</v>
      </c>
      <c r="H683" s="140">
        <v>0</v>
      </c>
      <c r="I683" s="140">
        <v>0</v>
      </c>
    </row>
    <row r="684" spans="2:9" x14ac:dyDescent="0.3">
      <c r="B684" t="s">
        <v>3015</v>
      </c>
      <c r="C684" t="s">
        <v>3016</v>
      </c>
      <c r="D684" t="s">
        <v>3017</v>
      </c>
      <c r="E684" s="140">
        <v>0</v>
      </c>
      <c r="F684" s="140">
        <v>0</v>
      </c>
      <c r="G684" s="140">
        <v>0</v>
      </c>
      <c r="H684" s="140">
        <v>0</v>
      </c>
      <c r="I684" s="140">
        <v>0</v>
      </c>
    </row>
    <row r="685" spans="2:9" x14ac:dyDescent="0.3">
      <c r="B685" t="s">
        <v>3018</v>
      </c>
      <c r="C685" t="s">
        <v>3019</v>
      </c>
      <c r="D685" t="s">
        <v>3020</v>
      </c>
      <c r="E685" s="140">
        <v>0</v>
      </c>
      <c r="F685" s="140">
        <v>0</v>
      </c>
      <c r="G685" s="140">
        <v>0</v>
      </c>
      <c r="H685" s="140">
        <v>0</v>
      </c>
      <c r="I685" s="140">
        <v>0</v>
      </c>
    </row>
    <row r="686" spans="2:9" x14ac:dyDescent="0.3">
      <c r="B686" t="s">
        <v>3021</v>
      </c>
      <c r="C686" t="s">
        <v>3022</v>
      </c>
      <c r="D686" t="s">
        <v>3023</v>
      </c>
      <c r="E686" s="140">
        <v>0</v>
      </c>
      <c r="F686" s="140">
        <v>0</v>
      </c>
      <c r="G686" s="140">
        <v>0</v>
      </c>
      <c r="H686" s="140">
        <v>0</v>
      </c>
      <c r="I686" s="140">
        <v>0</v>
      </c>
    </row>
    <row r="687" spans="2:9" x14ac:dyDescent="0.3">
      <c r="B687" t="s">
        <v>3024</v>
      </c>
      <c r="C687" t="s">
        <v>3025</v>
      </c>
      <c r="D687" t="s">
        <v>3026</v>
      </c>
      <c r="E687" s="140">
        <v>0</v>
      </c>
      <c r="F687" s="140">
        <v>0</v>
      </c>
      <c r="G687" s="140">
        <v>0</v>
      </c>
      <c r="H687" s="140">
        <v>0</v>
      </c>
      <c r="I687" s="140">
        <v>0</v>
      </c>
    </row>
    <row r="688" spans="2:9" x14ac:dyDescent="0.3">
      <c r="B688" t="s">
        <v>3027</v>
      </c>
      <c r="C688" t="s">
        <v>3028</v>
      </c>
      <c r="D688" t="s">
        <v>3029</v>
      </c>
      <c r="E688" s="140">
        <v>0</v>
      </c>
      <c r="F688" s="140">
        <v>0</v>
      </c>
      <c r="G688" s="140">
        <v>0</v>
      </c>
      <c r="H688" s="140">
        <v>0</v>
      </c>
      <c r="I688" s="140">
        <v>0</v>
      </c>
    </row>
    <row r="689" spans="2:9" x14ac:dyDescent="0.3">
      <c r="B689" t="s">
        <v>3030</v>
      </c>
      <c r="C689" t="s">
        <v>3031</v>
      </c>
      <c r="D689" t="s">
        <v>3032</v>
      </c>
      <c r="E689" s="140">
        <v>0</v>
      </c>
      <c r="F689" s="140">
        <v>0</v>
      </c>
      <c r="G689" s="140">
        <v>0</v>
      </c>
      <c r="H689" s="140">
        <v>0</v>
      </c>
      <c r="I689" s="140">
        <v>0</v>
      </c>
    </row>
    <row r="690" spans="2:9" x14ac:dyDescent="0.3">
      <c r="B690" t="s">
        <v>3033</v>
      </c>
      <c r="C690" t="s">
        <v>3034</v>
      </c>
      <c r="D690" t="s">
        <v>3035</v>
      </c>
      <c r="E690" s="140">
        <v>0</v>
      </c>
      <c r="F690" s="140">
        <v>0</v>
      </c>
      <c r="G690" s="140">
        <v>0</v>
      </c>
      <c r="H690" s="140">
        <v>0</v>
      </c>
      <c r="I690" s="140">
        <v>0</v>
      </c>
    </row>
    <row r="691" spans="2:9" x14ac:dyDescent="0.3">
      <c r="B691" t="s">
        <v>3036</v>
      </c>
      <c r="C691" t="s">
        <v>3037</v>
      </c>
      <c r="D691" t="s">
        <v>3038</v>
      </c>
      <c r="E691" s="140">
        <v>0</v>
      </c>
      <c r="F691" s="140">
        <v>0</v>
      </c>
      <c r="G691" s="140">
        <v>0</v>
      </c>
      <c r="H691" s="140">
        <v>0</v>
      </c>
      <c r="I691" s="140">
        <v>0</v>
      </c>
    </row>
    <row r="692" spans="2:9" x14ac:dyDescent="0.3">
      <c r="B692" t="s">
        <v>3039</v>
      </c>
      <c r="C692" t="s">
        <v>3040</v>
      </c>
      <c r="D692" t="s">
        <v>3041</v>
      </c>
      <c r="E692" s="140">
        <v>0</v>
      </c>
      <c r="F692" s="140">
        <v>0</v>
      </c>
      <c r="G692" s="140">
        <v>0</v>
      </c>
      <c r="H692" s="140">
        <v>0</v>
      </c>
      <c r="I692" s="140">
        <v>0</v>
      </c>
    </row>
    <row r="693" spans="2:9" x14ac:dyDescent="0.3">
      <c r="B693" t="s">
        <v>3042</v>
      </c>
      <c r="C693" t="s">
        <v>3043</v>
      </c>
      <c r="D693" t="s">
        <v>3044</v>
      </c>
      <c r="E693" s="140">
        <v>0</v>
      </c>
      <c r="F693" s="140">
        <v>0</v>
      </c>
      <c r="G693" s="140">
        <v>0</v>
      </c>
      <c r="H693" s="140">
        <v>0</v>
      </c>
      <c r="I693" s="140">
        <v>0</v>
      </c>
    </row>
    <row r="694" spans="2:9" x14ac:dyDescent="0.3">
      <c r="B694" t="s">
        <v>3045</v>
      </c>
      <c r="C694" t="s">
        <v>3046</v>
      </c>
      <c r="D694" t="s">
        <v>3047</v>
      </c>
      <c r="E694" s="140">
        <v>0</v>
      </c>
      <c r="F694" s="140">
        <v>0</v>
      </c>
      <c r="G694" s="140">
        <v>0</v>
      </c>
      <c r="H694" s="140">
        <v>0</v>
      </c>
      <c r="I694" s="140">
        <v>0</v>
      </c>
    </row>
    <row r="695" spans="2:9" x14ac:dyDescent="0.3">
      <c r="B695" t="s">
        <v>3048</v>
      </c>
      <c r="C695" t="s">
        <v>3049</v>
      </c>
      <c r="D695" t="s">
        <v>3050</v>
      </c>
      <c r="E695" s="140">
        <v>0</v>
      </c>
      <c r="F695" s="140">
        <v>0</v>
      </c>
      <c r="G695" s="140">
        <v>0</v>
      </c>
      <c r="H695" s="140">
        <v>0</v>
      </c>
      <c r="I695" s="140">
        <v>0</v>
      </c>
    </row>
    <row r="696" spans="2:9" x14ac:dyDescent="0.3">
      <c r="B696" t="s">
        <v>3051</v>
      </c>
      <c r="C696" t="s">
        <v>3052</v>
      </c>
      <c r="D696" t="s">
        <v>3053</v>
      </c>
      <c r="E696" s="140">
        <v>0</v>
      </c>
      <c r="F696" s="140">
        <v>0</v>
      </c>
      <c r="G696" s="140">
        <v>0</v>
      </c>
      <c r="H696" s="140">
        <v>0</v>
      </c>
      <c r="I696" s="140">
        <v>0</v>
      </c>
    </row>
    <row r="697" spans="2:9" x14ac:dyDescent="0.3">
      <c r="B697" t="s">
        <v>3054</v>
      </c>
      <c r="C697" t="s">
        <v>3055</v>
      </c>
      <c r="D697" t="s">
        <v>3056</v>
      </c>
      <c r="E697" s="140">
        <v>0</v>
      </c>
      <c r="F697" s="140">
        <v>0</v>
      </c>
      <c r="G697" s="140">
        <v>0</v>
      </c>
      <c r="H697" s="140">
        <v>0</v>
      </c>
      <c r="I697" s="140">
        <v>0</v>
      </c>
    </row>
    <row r="698" spans="2:9" x14ac:dyDescent="0.3">
      <c r="B698" t="s">
        <v>3057</v>
      </c>
      <c r="C698" t="s">
        <v>3058</v>
      </c>
      <c r="D698" t="s">
        <v>3059</v>
      </c>
      <c r="E698" s="140">
        <v>0</v>
      </c>
      <c r="F698" s="140">
        <v>0</v>
      </c>
      <c r="G698" s="140">
        <v>0</v>
      </c>
      <c r="H698" s="140">
        <v>0</v>
      </c>
      <c r="I698" s="140">
        <v>0</v>
      </c>
    </row>
    <row r="699" spans="2:9" x14ac:dyDescent="0.3">
      <c r="B699" t="s">
        <v>1627</v>
      </c>
      <c r="C699" t="s">
        <v>1628</v>
      </c>
      <c r="D699" t="s">
        <v>1629</v>
      </c>
      <c r="E699" s="140">
        <v>0</v>
      </c>
      <c r="F699" s="140">
        <v>0</v>
      </c>
      <c r="G699" s="140">
        <v>0</v>
      </c>
      <c r="H699" s="140">
        <v>0</v>
      </c>
      <c r="I699" s="140">
        <v>0</v>
      </c>
    </row>
    <row r="700" spans="2:9" x14ac:dyDescent="0.3">
      <c r="B700" t="s">
        <v>3060</v>
      </c>
      <c r="C700" t="s">
        <v>3061</v>
      </c>
      <c r="D700" t="s">
        <v>3062</v>
      </c>
      <c r="E700" s="140">
        <v>0</v>
      </c>
      <c r="F700" s="140">
        <v>0</v>
      </c>
      <c r="G700" s="140">
        <v>0</v>
      </c>
      <c r="H700" s="140">
        <v>0</v>
      </c>
      <c r="I700" s="140">
        <v>0</v>
      </c>
    </row>
    <row r="701" spans="2:9" x14ac:dyDescent="0.3">
      <c r="B701" t="s">
        <v>3063</v>
      </c>
      <c r="C701" t="s">
        <v>3064</v>
      </c>
      <c r="D701" t="s">
        <v>3065</v>
      </c>
      <c r="E701" s="140">
        <v>0</v>
      </c>
      <c r="F701" s="140">
        <v>0</v>
      </c>
      <c r="G701" s="140">
        <v>0</v>
      </c>
      <c r="H701" s="140">
        <v>0</v>
      </c>
      <c r="I701" s="140">
        <v>0</v>
      </c>
    </row>
    <row r="702" spans="2:9" x14ac:dyDescent="0.3">
      <c r="B702" t="s">
        <v>3066</v>
      </c>
      <c r="C702" t="s">
        <v>3067</v>
      </c>
      <c r="D702" t="s">
        <v>3068</v>
      </c>
      <c r="E702" s="140">
        <v>0</v>
      </c>
      <c r="F702" s="140">
        <v>0</v>
      </c>
      <c r="G702" s="140">
        <v>0</v>
      </c>
      <c r="H702" s="140">
        <v>0</v>
      </c>
      <c r="I702" s="140">
        <v>0</v>
      </c>
    </row>
    <row r="703" spans="2:9" x14ac:dyDescent="0.3">
      <c r="B703" t="s">
        <v>3069</v>
      </c>
      <c r="C703" t="s">
        <v>3070</v>
      </c>
      <c r="D703" t="s">
        <v>3071</v>
      </c>
      <c r="E703" s="140">
        <v>0</v>
      </c>
      <c r="F703" s="140">
        <v>0</v>
      </c>
      <c r="G703" s="140">
        <v>0</v>
      </c>
      <c r="H703" s="140">
        <v>0</v>
      </c>
      <c r="I703" s="140">
        <v>0</v>
      </c>
    </row>
    <row r="704" spans="2:9" x14ac:dyDescent="0.3">
      <c r="B704" t="s">
        <v>3072</v>
      </c>
      <c r="C704" t="s">
        <v>3073</v>
      </c>
      <c r="D704" t="s">
        <v>3074</v>
      </c>
      <c r="E704" s="140">
        <v>0</v>
      </c>
      <c r="F704" s="140">
        <v>0</v>
      </c>
      <c r="G704" s="140">
        <v>0</v>
      </c>
      <c r="H704" s="140">
        <v>0</v>
      </c>
      <c r="I704" s="140">
        <v>0</v>
      </c>
    </row>
    <row r="705" spans="2:9" x14ac:dyDescent="0.3">
      <c r="B705" t="s">
        <v>3075</v>
      </c>
      <c r="C705" t="s">
        <v>3076</v>
      </c>
      <c r="D705" t="s">
        <v>3077</v>
      </c>
      <c r="E705" s="140">
        <v>0</v>
      </c>
      <c r="F705" s="140">
        <v>0</v>
      </c>
      <c r="G705" s="140">
        <v>0</v>
      </c>
      <c r="H705" s="140">
        <v>0</v>
      </c>
      <c r="I705" s="140">
        <v>0</v>
      </c>
    </row>
    <row r="706" spans="2:9" x14ac:dyDescent="0.3">
      <c r="B706" t="s">
        <v>3078</v>
      </c>
      <c r="C706" t="s">
        <v>3079</v>
      </c>
      <c r="D706" t="s">
        <v>3080</v>
      </c>
      <c r="E706" s="140">
        <v>0</v>
      </c>
      <c r="F706" s="140">
        <v>0</v>
      </c>
      <c r="G706" s="140">
        <v>0</v>
      </c>
      <c r="H706" s="140">
        <v>0</v>
      </c>
      <c r="I706" s="140">
        <v>0</v>
      </c>
    </row>
    <row r="707" spans="2:9" x14ac:dyDescent="0.3">
      <c r="B707" t="s">
        <v>3081</v>
      </c>
      <c r="C707" t="s">
        <v>3082</v>
      </c>
      <c r="D707" t="s">
        <v>3083</v>
      </c>
      <c r="E707" s="140">
        <v>0</v>
      </c>
      <c r="F707" s="140">
        <v>0</v>
      </c>
      <c r="G707" s="140">
        <v>0</v>
      </c>
      <c r="H707" s="140">
        <v>0</v>
      </c>
      <c r="I707" s="140">
        <v>0</v>
      </c>
    </row>
    <row r="708" spans="2:9" x14ac:dyDescent="0.3">
      <c r="B708" t="s">
        <v>1630</v>
      </c>
      <c r="C708" t="s">
        <v>1631</v>
      </c>
      <c r="D708" t="s">
        <v>1632</v>
      </c>
      <c r="E708" s="140">
        <v>0</v>
      </c>
      <c r="F708" s="140">
        <v>0</v>
      </c>
      <c r="G708" s="140">
        <v>0</v>
      </c>
      <c r="H708" s="140">
        <v>0</v>
      </c>
      <c r="I708" s="140">
        <v>0</v>
      </c>
    </row>
    <row r="709" spans="2:9" x14ac:dyDescent="0.3">
      <c r="B709" t="s">
        <v>3084</v>
      </c>
      <c r="C709" t="s">
        <v>3085</v>
      </c>
      <c r="D709" t="s">
        <v>3086</v>
      </c>
      <c r="E709" s="140">
        <v>0</v>
      </c>
      <c r="F709" s="140">
        <v>0</v>
      </c>
      <c r="G709" s="140">
        <v>0</v>
      </c>
      <c r="H709" s="140">
        <v>0</v>
      </c>
      <c r="I709" s="140">
        <v>0</v>
      </c>
    </row>
    <row r="710" spans="2:9" x14ac:dyDescent="0.3">
      <c r="B710" t="s">
        <v>3087</v>
      </c>
      <c r="C710" t="s">
        <v>3088</v>
      </c>
      <c r="D710" t="s">
        <v>3089</v>
      </c>
      <c r="E710" s="140">
        <v>0</v>
      </c>
      <c r="F710" s="140">
        <v>0</v>
      </c>
      <c r="G710" s="140">
        <v>0</v>
      </c>
      <c r="H710" s="140">
        <v>0</v>
      </c>
      <c r="I710" s="140">
        <v>0</v>
      </c>
    </row>
    <row r="711" spans="2:9" x14ac:dyDescent="0.3">
      <c r="B711" t="s">
        <v>3090</v>
      </c>
      <c r="C711" t="s">
        <v>3091</v>
      </c>
      <c r="D711" t="s">
        <v>3092</v>
      </c>
      <c r="E711" s="140">
        <v>0</v>
      </c>
      <c r="F711" s="140">
        <v>0</v>
      </c>
      <c r="G711" s="140">
        <v>0</v>
      </c>
      <c r="H711" s="140">
        <v>0</v>
      </c>
      <c r="I711" s="140">
        <v>0</v>
      </c>
    </row>
    <row r="712" spans="2:9" x14ac:dyDescent="0.3">
      <c r="B712" t="s">
        <v>3093</v>
      </c>
      <c r="C712" t="s">
        <v>3094</v>
      </c>
      <c r="D712" t="s">
        <v>3095</v>
      </c>
      <c r="E712" s="140">
        <v>0</v>
      </c>
      <c r="F712" s="140">
        <v>0</v>
      </c>
      <c r="G712" s="140">
        <v>0</v>
      </c>
      <c r="H712" s="140">
        <v>0</v>
      </c>
      <c r="I712" s="140">
        <v>0</v>
      </c>
    </row>
    <row r="713" spans="2:9" x14ac:dyDescent="0.3">
      <c r="B713" t="s">
        <v>3096</v>
      </c>
      <c r="C713" t="s">
        <v>3097</v>
      </c>
      <c r="D713" t="s">
        <v>3098</v>
      </c>
      <c r="E713" s="140">
        <v>0</v>
      </c>
      <c r="F713" s="140">
        <v>0</v>
      </c>
      <c r="G713" s="140">
        <v>0</v>
      </c>
      <c r="H713" s="140">
        <v>0</v>
      </c>
      <c r="I713" s="140">
        <v>0</v>
      </c>
    </row>
    <row r="714" spans="2:9" x14ac:dyDescent="0.3">
      <c r="B714" t="s">
        <v>3099</v>
      </c>
      <c r="C714" t="s">
        <v>3100</v>
      </c>
      <c r="D714" t="s">
        <v>3101</v>
      </c>
      <c r="E714" s="140">
        <v>0</v>
      </c>
      <c r="F714" s="140">
        <v>0</v>
      </c>
      <c r="G714" s="140">
        <v>0</v>
      </c>
      <c r="H714" s="140">
        <v>0</v>
      </c>
      <c r="I714" s="140">
        <v>0</v>
      </c>
    </row>
    <row r="715" spans="2:9" x14ac:dyDescent="0.3">
      <c r="B715" t="s">
        <v>3102</v>
      </c>
      <c r="C715" t="s">
        <v>3103</v>
      </c>
      <c r="D715" t="s">
        <v>3104</v>
      </c>
      <c r="E715" s="140">
        <v>0</v>
      </c>
      <c r="F715" s="140">
        <v>0</v>
      </c>
      <c r="G715" s="140">
        <v>0</v>
      </c>
      <c r="H715" s="140">
        <v>0</v>
      </c>
      <c r="I715" s="140">
        <v>0</v>
      </c>
    </row>
    <row r="716" spans="2:9" x14ac:dyDescent="0.3">
      <c r="B716" t="s">
        <v>1633</v>
      </c>
      <c r="C716" t="s">
        <v>1634</v>
      </c>
      <c r="D716" t="s">
        <v>1635</v>
      </c>
      <c r="E716" s="140">
        <v>0</v>
      </c>
      <c r="F716" s="140">
        <v>0</v>
      </c>
      <c r="G716" s="140">
        <v>0</v>
      </c>
      <c r="H716" s="140">
        <v>0</v>
      </c>
      <c r="I716" s="140">
        <v>0</v>
      </c>
    </row>
    <row r="717" spans="2:9" x14ac:dyDescent="0.3">
      <c r="B717" t="s">
        <v>3105</v>
      </c>
      <c r="C717" s="261">
        <v>4709190000000</v>
      </c>
      <c r="D717" t="s">
        <v>3106</v>
      </c>
      <c r="E717" s="140">
        <v>0</v>
      </c>
      <c r="F717" s="140">
        <v>0</v>
      </c>
      <c r="G717" s="140">
        <v>0</v>
      </c>
      <c r="H717" s="140">
        <v>0</v>
      </c>
      <c r="I717" s="140">
        <v>0</v>
      </c>
    </row>
    <row r="718" spans="2:9" x14ac:dyDescent="0.3">
      <c r="B718" t="s">
        <v>3107</v>
      </c>
      <c r="C718" t="s">
        <v>3108</v>
      </c>
      <c r="D718" t="s">
        <v>3109</v>
      </c>
      <c r="E718" s="140">
        <v>0</v>
      </c>
      <c r="F718" s="140">
        <v>0</v>
      </c>
      <c r="G718" s="140">
        <v>0</v>
      </c>
      <c r="H718" s="140">
        <v>0</v>
      </c>
      <c r="I718" s="140">
        <v>0</v>
      </c>
    </row>
    <row r="719" spans="2:9" x14ac:dyDescent="0.3">
      <c r="B719" t="s">
        <v>1636</v>
      </c>
      <c r="C719" t="s">
        <v>1637</v>
      </c>
      <c r="D719" t="s">
        <v>1638</v>
      </c>
      <c r="E719" s="140">
        <v>0</v>
      </c>
      <c r="F719" s="140">
        <v>0</v>
      </c>
      <c r="G719" s="140">
        <v>0</v>
      </c>
      <c r="H719" s="140">
        <v>0</v>
      </c>
      <c r="I719" s="140">
        <v>0</v>
      </c>
    </row>
    <row r="720" spans="2:9" x14ac:dyDescent="0.3">
      <c r="B720" t="s">
        <v>3110</v>
      </c>
      <c r="C720" s="261">
        <v>7866290000000</v>
      </c>
      <c r="D720" t="s">
        <v>3111</v>
      </c>
      <c r="E720" s="140">
        <v>0</v>
      </c>
      <c r="F720" s="140">
        <v>0</v>
      </c>
      <c r="G720" s="140">
        <v>0</v>
      </c>
      <c r="H720" s="140">
        <v>0</v>
      </c>
      <c r="I720" s="140">
        <v>0</v>
      </c>
    </row>
    <row r="721" spans="2:9" x14ac:dyDescent="0.3">
      <c r="B721" t="s">
        <v>3112</v>
      </c>
      <c r="C721" t="s">
        <v>3113</v>
      </c>
      <c r="D721" t="s">
        <v>3114</v>
      </c>
      <c r="E721" s="140">
        <v>0</v>
      </c>
      <c r="F721" s="140">
        <v>0</v>
      </c>
      <c r="G721" s="140">
        <v>0</v>
      </c>
      <c r="H721" s="140">
        <v>0</v>
      </c>
      <c r="I721" s="140">
        <v>0</v>
      </c>
    </row>
    <row r="722" spans="2:9" x14ac:dyDescent="0.3">
      <c r="B722" t="s">
        <v>3115</v>
      </c>
      <c r="C722" t="s">
        <v>3116</v>
      </c>
      <c r="D722" t="s">
        <v>3117</v>
      </c>
      <c r="E722" s="140">
        <v>0</v>
      </c>
      <c r="F722" s="140">
        <v>0</v>
      </c>
      <c r="G722" s="140">
        <v>0</v>
      </c>
      <c r="H722" s="140">
        <v>0</v>
      </c>
      <c r="I722" s="140">
        <v>0</v>
      </c>
    </row>
    <row r="723" spans="2:9" x14ac:dyDescent="0.3">
      <c r="B723" t="s">
        <v>3118</v>
      </c>
      <c r="C723" t="s">
        <v>3119</v>
      </c>
      <c r="D723" t="s">
        <v>3120</v>
      </c>
      <c r="E723" s="140">
        <v>0</v>
      </c>
      <c r="F723" s="140">
        <v>0</v>
      </c>
      <c r="G723" s="140">
        <v>0</v>
      </c>
      <c r="H723" s="140">
        <v>0</v>
      </c>
      <c r="I723" s="140">
        <v>0</v>
      </c>
    </row>
    <row r="724" spans="2:9" x14ac:dyDescent="0.3">
      <c r="B724" t="s">
        <v>3121</v>
      </c>
      <c r="C724" t="s">
        <v>3122</v>
      </c>
      <c r="D724" t="s">
        <v>3123</v>
      </c>
      <c r="E724" s="140">
        <v>0</v>
      </c>
      <c r="F724" s="140">
        <v>0</v>
      </c>
      <c r="G724" s="140">
        <v>0</v>
      </c>
      <c r="H724" s="140">
        <v>0</v>
      </c>
      <c r="I724" s="140">
        <v>0</v>
      </c>
    </row>
    <row r="725" spans="2:9" x14ac:dyDescent="0.3">
      <c r="B725" t="s">
        <v>3124</v>
      </c>
      <c r="C725" t="s">
        <v>3125</v>
      </c>
      <c r="D725" t="s">
        <v>3126</v>
      </c>
      <c r="E725" s="140">
        <v>0</v>
      </c>
      <c r="F725" s="140">
        <v>0</v>
      </c>
      <c r="G725" s="140">
        <v>0</v>
      </c>
      <c r="H725" s="140">
        <v>0</v>
      </c>
      <c r="I725" s="140">
        <v>0</v>
      </c>
    </row>
    <row r="726" spans="2:9" x14ac:dyDescent="0.3">
      <c r="B726" t="s">
        <v>3127</v>
      </c>
      <c r="C726" t="s">
        <v>3128</v>
      </c>
      <c r="D726" t="s">
        <v>3129</v>
      </c>
      <c r="E726" s="140">
        <v>0</v>
      </c>
      <c r="F726" s="140">
        <v>0</v>
      </c>
      <c r="G726" s="140">
        <v>0</v>
      </c>
      <c r="H726" s="140">
        <v>0</v>
      </c>
      <c r="I726" s="140">
        <v>0</v>
      </c>
    </row>
    <row r="727" spans="2:9" x14ac:dyDescent="0.3">
      <c r="B727" t="s">
        <v>3130</v>
      </c>
      <c r="C727" t="s">
        <v>3131</v>
      </c>
      <c r="D727" t="s">
        <v>3132</v>
      </c>
      <c r="E727" s="140">
        <v>0</v>
      </c>
      <c r="F727" s="140">
        <v>0</v>
      </c>
      <c r="G727" s="140">
        <v>0</v>
      </c>
      <c r="H727" s="140">
        <v>0</v>
      </c>
      <c r="I727" s="140">
        <v>0</v>
      </c>
    </row>
    <row r="728" spans="2:9" x14ac:dyDescent="0.3">
      <c r="B728" t="s">
        <v>3133</v>
      </c>
      <c r="C728" t="s">
        <v>3134</v>
      </c>
      <c r="D728" t="s">
        <v>3135</v>
      </c>
      <c r="E728" s="140">
        <v>0</v>
      </c>
      <c r="F728" s="140">
        <v>0</v>
      </c>
      <c r="G728" s="140">
        <v>0</v>
      </c>
      <c r="H728" s="140">
        <v>0</v>
      </c>
      <c r="I728" s="140">
        <v>0</v>
      </c>
    </row>
    <row r="729" spans="2:9" x14ac:dyDescent="0.3">
      <c r="B729" t="s">
        <v>753</v>
      </c>
      <c r="C729" t="s">
        <v>754</v>
      </c>
      <c r="D729" t="s">
        <v>755</v>
      </c>
      <c r="E729" s="140">
        <v>0</v>
      </c>
      <c r="F729" s="140">
        <v>0</v>
      </c>
      <c r="G729" s="140">
        <v>0</v>
      </c>
      <c r="H729" s="140">
        <v>0</v>
      </c>
      <c r="I729" s="140">
        <v>0</v>
      </c>
    </row>
    <row r="730" spans="2:9" x14ac:dyDescent="0.3">
      <c r="B730" t="s">
        <v>756</v>
      </c>
      <c r="C730" t="s">
        <v>757</v>
      </c>
      <c r="D730" t="s">
        <v>758</v>
      </c>
      <c r="E730" s="140">
        <v>0</v>
      </c>
      <c r="F730" s="140">
        <v>39</v>
      </c>
      <c r="G730" s="140">
        <v>-54</v>
      </c>
      <c r="H730" s="140">
        <v>-15</v>
      </c>
      <c r="I730" s="140">
        <v>-15</v>
      </c>
    </row>
    <row r="731" spans="2:9" x14ac:dyDescent="0.3">
      <c r="B731" t="s">
        <v>3136</v>
      </c>
      <c r="C731" t="s">
        <v>3137</v>
      </c>
      <c r="D731" t="s">
        <v>3138</v>
      </c>
      <c r="E731" s="140">
        <v>0</v>
      </c>
      <c r="F731" s="140">
        <v>0</v>
      </c>
      <c r="G731" s="140">
        <v>0</v>
      </c>
      <c r="H731" s="140">
        <v>0</v>
      </c>
      <c r="I731" s="140">
        <v>0</v>
      </c>
    </row>
    <row r="732" spans="2:9" x14ac:dyDescent="0.3">
      <c r="B732" t="s">
        <v>3139</v>
      </c>
      <c r="C732" t="s">
        <v>3140</v>
      </c>
      <c r="D732" t="s">
        <v>3141</v>
      </c>
      <c r="E732" s="140">
        <v>0</v>
      </c>
      <c r="F732" s="140">
        <v>0</v>
      </c>
      <c r="G732" s="140">
        <v>0</v>
      </c>
      <c r="H732" s="140">
        <v>0</v>
      </c>
      <c r="I732" s="140">
        <v>0</v>
      </c>
    </row>
    <row r="733" spans="2:9" x14ac:dyDescent="0.3">
      <c r="B733" t="s">
        <v>3142</v>
      </c>
      <c r="C733" t="s">
        <v>3143</v>
      </c>
      <c r="D733" t="s">
        <v>3144</v>
      </c>
      <c r="E733" s="140">
        <v>0</v>
      </c>
      <c r="F733" s="140">
        <v>0</v>
      </c>
      <c r="G733" s="140">
        <v>0</v>
      </c>
      <c r="H733" s="140">
        <v>0</v>
      </c>
      <c r="I733" s="140">
        <v>0</v>
      </c>
    </row>
    <row r="734" spans="2:9" x14ac:dyDescent="0.3">
      <c r="B734" t="s">
        <v>759</v>
      </c>
      <c r="C734" t="s">
        <v>760</v>
      </c>
      <c r="D734" t="s">
        <v>761</v>
      </c>
      <c r="E734" s="140">
        <v>0</v>
      </c>
      <c r="F734" s="140">
        <v>30</v>
      </c>
      <c r="G734" s="140">
        <v>-30</v>
      </c>
      <c r="H734" s="140">
        <v>0</v>
      </c>
      <c r="I734" s="140">
        <v>0</v>
      </c>
    </row>
    <row r="735" spans="2:9" x14ac:dyDescent="0.3">
      <c r="B735" t="s">
        <v>3145</v>
      </c>
      <c r="C735" t="s">
        <v>3146</v>
      </c>
      <c r="D735" t="s">
        <v>3147</v>
      </c>
      <c r="E735" s="140">
        <v>0</v>
      </c>
      <c r="F735" s="140">
        <v>0</v>
      </c>
      <c r="G735" s="140">
        <v>0</v>
      </c>
      <c r="H735" s="140">
        <v>0</v>
      </c>
      <c r="I735" s="140">
        <v>0</v>
      </c>
    </row>
    <row r="736" spans="2:9" x14ac:dyDescent="0.3">
      <c r="B736" t="s">
        <v>3148</v>
      </c>
      <c r="C736" t="s">
        <v>3149</v>
      </c>
      <c r="D736" t="s">
        <v>3150</v>
      </c>
      <c r="E736" s="140">
        <v>0</v>
      </c>
      <c r="F736" s="140">
        <v>0</v>
      </c>
      <c r="G736" s="140">
        <v>0</v>
      </c>
      <c r="H736" s="140">
        <v>0</v>
      </c>
      <c r="I736" s="140">
        <v>0</v>
      </c>
    </row>
    <row r="737" spans="2:9" x14ac:dyDescent="0.3">
      <c r="B737" t="s">
        <v>3151</v>
      </c>
      <c r="C737" t="s">
        <v>3152</v>
      </c>
      <c r="D737" t="s">
        <v>3153</v>
      </c>
      <c r="E737" s="140">
        <v>0</v>
      </c>
      <c r="F737" s="140">
        <v>0</v>
      </c>
      <c r="G737" s="140">
        <v>0</v>
      </c>
      <c r="H737" s="140">
        <v>0</v>
      </c>
      <c r="I737" s="140">
        <v>0</v>
      </c>
    </row>
    <row r="738" spans="2:9" x14ac:dyDescent="0.3">
      <c r="B738" t="s">
        <v>3154</v>
      </c>
      <c r="C738" t="s">
        <v>3155</v>
      </c>
      <c r="D738" t="s">
        <v>3156</v>
      </c>
      <c r="E738" s="140">
        <v>0</v>
      </c>
      <c r="F738" s="140">
        <v>0</v>
      </c>
      <c r="G738" s="140">
        <v>0</v>
      </c>
      <c r="H738" s="140">
        <v>0</v>
      </c>
      <c r="I738" s="140">
        <v>0</v>
      </c>
    </row>
    <row r="739" spans="2:9" x14ac:dyDescent="0.3">
      <c r="B739" t="s">
        <v>3157</v>
      </c>
      <c r="C739" t="s">
        <v>3158</v>
      </c>
      <c r="D739" t="s">
        <v>3159</v>
      </c>
      <c r="E739" s="140">
        <v>0</v>
      </c>
      <c r="F739" s="140">
        <v>0</v>
      </c>
      <c r="G739" s="140">
        <v>0</v>
      </c>
      <c r="H739" s="140">
        <v>0</v>
      </c>
      <c r="I739" s="140">
        <v>0</v>
      </c>
    </row>
    <row r="740" spans="2:9" x14ac:dyDescent="0.3">
      <c r="B740" t="s">
        <v>3160</v>
      </c>
      <c r="C740" t="s">
        <v>3161</v>
      </c>
      <c r="D740" t="s">
        <v>3162</v>
      </c>
      <c r="E740" s="140">
        <v>0</v>
      </c>
      <c r="F740" s="140">
        <v>0</v>
      </c>
      <c r="G740" s="140">
        <v>0</v>
      </c>
      <c r="H740" s="140">
        <v>0</v>
      </c>
      <c r="I740" s="140">
        <v>0</v>
      </c>
    </row>
    <row r="741" spans="2:9" x14ac:dyDescent="0.3">
      <c r="B741" t="s">
        <v>3163</v>
      </c>
      <c r="C741" t="s">
        <v>3164</v>
      </c>
      <c r="D741" t="s">
        <v>3165</v>
      </c>
      <c r="E741" s="140">
        <v>0</v>
      </c>
      <c r="F741" s="140">
        <v>0</v>
      </c>
      <c r="G741" s="140">
        <v>0</v>
      </c>
      <c r="H741" s="140">
        <v>0</v>
      </c>
      <c r="I741" s="140">
        <v>0</v>
      </c>
    </row>
    <row r="742" spans="2:9" x14ac:dyDescent="0.3">
      <c r="B742" t="s">
        <v>762</v>
      </c>
      <c r="C742" t="s">
        <v>763</v>
      </c>
      <c r="D742" t="s">
        <v>764</v>
      </c>
      <c r="E742" s="140">
        <v>-84</v>
      </c>
      <c r="F742" s="140">
        <v>0</v>
      </c>
      <c r="G742" s="140">
        <v>0</v>
      </c>
      <c r="H742" s="140">
        <v>0</v>
      </c>
      <c r="I742" s="140">
        <v>-84</v>
      </c>
    </row>
    <row r="743" spans="2:9" x14ac:dyDescent="0.3">
      <c r="B743" t="s">
        <v>3166</v>
      </c>
      <c r="C743" t="s">
        <v>3167</v>
      </c>
      <c r="D743" t="s">
        <v>3168</v>
      </c>
      <c r="E743" s="140">
        <v>0</v>
      </c>
      <c r="F743" s="140">
        <v>0</v>
      </c>
      <c r="G743" s="140">
        <v>0</v>
      </c>
      <c r="H743" s="140">
        <v>0</v>
      </c>
      <c r="I743" s="140">
        <v>0</v>
      </c>
    </row>
    <row r="744" spans="2:9" x14ac:dyDescent="0.3">
      <c r="B744" t="s">
        <v>3169</v>
      </c>
      <c r="C744" t="s">
        <v>3170</v>
      </c>
      <c r="D744" t="s">
        <v>3171</v>
      </c>
      <c r="E744" s="140">
        <v>0</v>
      </c>
      <c r="F744" s="140">
        <v>0</v>
      </c>
      <c r="G744" s="140">
        <v>0</v>
      </c>
      <c r="H744" s="140">
        <v>0</v>
      </c>
      <c r="I744" s="140">
        <v>0</v>
      </c>
    </row>
    <row r="745" spans="2:9" x14ac:dyDescent="0.3">
      <c r="B745" t="s">
        <v>3172</v>
      </c>
      <c r="C745" t="s">
        <v>3173</v>
      </c>
      <c r="D745" t="s">
        <v>3174</v>
      </c>
      <c r="E745" s="140">
        <v>0</v>
      </c>
      <c r="F745" s="140">
        <v>0</v>
      </c>
      <c r="G745" s="140">
        <v>0</v>
      </c>
      <c r="H745" s="140">
        <v>0</v>
      </c>
      <c r="I745" s="140">
        <v>0</v>
      </c>
    </row>
    <row r="746" spans="2:9" x14ac:dyDescent="0.3">
      <c r="B746" t="s">
        <v>3175</v>
      </c>
      <c r="C746" t="s">
        <v>3176</v>
      </c>
      <c r="D746" t="s">
        <v>3177</v>
      </c>
      <c r="E746" s="140">
        <v>0</v>
      </c>
      <c r="F746" s="140">
        <v>0</v>
      </c>
      <c r="G746" s="140">
        <v>0</v>
      </c>
      <c r="H746" s="140">
        <v>0</v>
      </c>
      <c r="I746" s="140">
        <v>0</v>
      </c>
    </row>
    <row r="747" spans="2:9" x14ac:dyDescent="0.3">
      <c r="B747" t="s">
        <v>3178</v>
      </c>
      <c r="C747" t="s">
        <v>3179</v>
      </c>
      <c r="D747" t="s">
        <v>3180</v>
      </c>
      <c r="E747" s="140">
        <v>0</v>
      </c>
      <c r="F747" s="140">
        <v>0</v>
      </c>
      <c r="G747" s="140">
        <v>0</v>
      </c>
      <c r="H747" s="140">
        <v>0</v>
      </c>
      <c r="I747" s="140">
        <v>0</v>
      </c>
    </row>
    <row r="748" spans="2:9" x14ac:dyDescent="0.3">
      <c r="B748" t="s">
        <v>3181</v>
      </c>
      <c r="C748" t="s">
        <v>3182</v>
      </c>
      <c r="D748" t="s">
        <v>3183</v>
      </c>
      <c r="E748" s="140">
        <v>0</v>
      </c>
      <c r="F748" s="140">
        <v>0</v>
      </c>
      <c r="G748" s="140">
        <v>0</v>
      </c>
      <c r="H748" s="140">
        <v>0</v>
      </c>
      <c r="I748" s="140">
        <v>0</v>
      </c>
    </row>
    <row r="749" spans="2:9" x14ac:dyDescent="0.3">
      <c r="B749" t="s">
        <v>3184</v>
      </c>
      <c r="C749" t="s">
        <v>3185</v>
      </c>
      <c r="D749" t="s">
        <v>3186</v>
      </c>
      <c r="E749" s="140">
        <v>0</v>
      </c>
      <c r="F749" s="140">
        <v>0</v>
      </c>
      <c r="G749" s="140">
        <v>0</v>
      </c>
      <c r="H749" s="140">
        <v>0</v>
      </c>
      <c r="I749" s="140">
        <v>0</v>
      </c>
    </row>
    <row r="750" spans="2:9" x14ac:dyDescent="0.3">
      <c r="B750" t="s">
        <v>3187</v>
      </c>
      <c r="C750" t="s">
        <v>3188</v>
      </c>
      <c r="D750" t="s">
        <v>3189</v>
      </c>
      <c r="E750" s="140">
        <v>0</v>
      </c>
      <c r="F750" s="140">
        <v>0</v>
      </c>
      <c r="G750" s="140">
        <v>0</v>
      </c>
      <c r="H750" s="140">
        <v>0</v>
      </c>
      <c r="I750" s="140">
        <v>0</v>
      </c>
    </row>
    <row r="751" spans="2:9" x14ac:dyDescent="0.3">
      <c r="B751" t="s">
        <v>3190</v>
      </c>
      <c r="C751" t="s">
        <v>3191</v>
      </c>
      <c r="D751" t="s">
        <v>3192</v>
      </c>
      <c r="E751" s="140">
        <v>0</v>
      </c>
      <c r="F751" s="140">
        <v>0</v>
      </c>
      <c r="G751" s="140">
        <v>0</v>
      </c>
      <c r="H751" s="140">
        <v>0</v>
      </c>
      <c r="I751" s="140">
        <v>0</v>
      </c>
    </row>
    <row r="752" spans="2:9" x14ac:dyDescent="0.3">
      <c r="B752" t="s">
        <v>3193</v>
      </c>
      <c r="C752" t="s">
        <v>3194</v>
      </c>
      <c r="D752" t="s">
        <v>3195</v>
      </c>
      <c r="E752" s="140">
        <v>0</v>
      </c>
      <c r="F752" s="140">
        <v>0</v>
      </c>
      <c r="G752" s="140">
        <v>0</v>
      </c>
      <c r="H752" s="140">
        <v>0</v>
      </c>
      <c r="I752" s="140">
        <v>0</v>
      </c>
    </row>
    <row r="753" spans="2:9" x14ac:dyDescent="0.3">
      <c r="B753" t="s">
        <v>765</v>
      </c>
      <c r="C753" t="s">
        <v>766</v>
      </c>
      <c r="D753" t="s">
        <v>767</v>
      </c>
      <c r="E753" s="140">
        <v>0</v>
      </c>
      <c r="F753" s="140">
        <v>0</v>
      </c>
      <c r="G753" s="140">
        <v>0</v>
      </c>
      <c r="H753" s="140">
        <v>0</v>
      </c>
      <c r="I753" s="140">
        <v>0</v>
      </c>
    </row>
    <row r="754" spans="2:9" x14ac:dyDescent="0.3">
      <c r="B754" t="s">
        <v>3196</v>
      </c>
      <c r="C754" t="s">
        <v>3197</v>
      </c>
      <c r="D754" t="s">
        <v>3198</v>
      </c>
      <c r="E754" s="140">
        <v>0</v>
      </c>
      <c r="F754" s="140">
        <v>0</v>
      </c>
      <c r="G754" s="140">
        <v>0</v>
      </c>
      <c r="H754" s="140">
        <v>0</v>
      </c>
      <c r="I754" s="140">
        <v>0</v>
      </c>
    </row>
    <row r="755" spans="2:9" x14ac:dyDescent="0.3">
      <c r="B755" t="s">
        <v>3199</v>
      </c>
      <c r="C755" t="s">
        <v>3200</v>
      </c>
      <c r="D755" t="s">
        <v>3201</v>
      </c>
      <c r="E755" s="140">
        <v>0</v>
      </c>
      <c r="F755" s="140">
        <v>0</v>
      </c>
      <c r="G755" s="140">
        <v>0</v>
      </c>
      <c r="H755" s="140">
        <v>0</v>
      </c>
      <c r="I755" s="140">
        <v>0</v>
      </c>
    </row>
    <row r="756" spans="2:9" x14ac:dyDescent="0.3">
      <c r="B756" t="s">
        <v>3202</v>
      </c>
      <c r="C756" t="s">
        <v>3203</v>
      </c>
      <c r="D756" t="s">
        <v>3204</v>
      </c>
      <c r="E756" s="140">
        <v>0</v>
      </c>
      <c r="F756" s="140">
        <v>0</v>
      </c>
      <c r="G756" s="140">
        <v>0</v>
      </c>
      <c r="H756" s="140">
        <v>0</v>
      </c>
      <c r="I756" s="140">
        <v>0</v>
      </c>
    </row>
    <row r="757" spans="2:9" x14ac:dyDescent="0.3">
      <c r="B757" t="s">
        <v>3205</v>
      </c>
      <c r="C757" t="s">
        <v>3206</v>
      </c>
      <c r="D757" t="s">
        <v>3207</v>
      </c>
      <c r="E757" s="140">
        <v>0</v>
      </c>
      <c r="F757" s="140">
        <v>0</v>
      </c>
      <c r="G757" s="140">
        <v>0</v>
      </c>
      <c r="H757" s="140">
        <v>0</v>
      </c>
      <c r="I757" s="140">
        <v>0</v>
      </c>
    </row>
    <row r="758" spans="2:9" x14ac:dyDescent="0.3">
      <c r="B758" t="s">
        <v>3208</v>
      </c>
      <c r="C758" s="261">
        <v>40232500000000</v>
      </c>
      <c r="D758" t="s">
        <v>3209</v>
      </c>
      <c r="E758" s="140">
        <v>0</v>
      </c>
      <c r="F758" s="140">
        <v>0</v>
      </c>
      <c r="G758" s="140">
        <v>0</v>
      </c>
      <c r="H758" s="140">
        <v>0</v>
      </c>
      <c r="I758" s="140">
        <v>0</v>
      </c>
    </row>
    <row r="759" spans="2:9" x14ac:dyDescent="0.3">
      <c r="B759" t="s">
        <v>3210</v>
      </c>
      <c r="C759" s="261">
        <v>4725670000000</v>
      </c>
      <c r="D759" t="s">
        <v>3211</v>
      </c>
      <c r="E759" s="140">
        <v>0</v>
      </c>
      <c r="F759" s="140">
        <v>0</v>
      </c>
      <c r="G759" s="140">
        <v>0</v>
      </c>
      <c r="H759" s="140">
        <v>0</v>
      </c>
      <c r="I759" s="140">
        <v>0</v>
      </c>
    </row>
    <row r="760" spans="2:9" x14ac:dyDescent="0.3">
      <c r="B760" t="s">
        <v>3212</v>
      </c>
      <c r="C760" s="261">
        <v>20491400000000</v>
      </c>
      <c r="D760" t="s">
        <v>3213</v>
      </c>
      <c r="E760" s="140">
        <v>0</v>
      </c>
      <c r="F760" s="140">
        <v>0</v>
      </c>
      <c r="G760" s="140">
        <v>0</v>
      </c>
      <c r="H760" s="140">
        <v>0</v>
      </c>
      <c r="I760" s="140">
        <v>0</v>
      </c>
    </row>
    <row r="761" spans="2:9" x14ac:dyDescent="0.3">
      <c r="B761" t="s">
        <v>1017</v>
      </c>
      <c r="C761" s="261">
        <v>33754500000000</v>
      </c>
      <c r="D761" t="s">
        <v>768</v>
      </c>
      <c r="E761" s="140">
        <v>0</v>
      </c>
      <c r="F761" s="140">
        <v>1293</v>
      </c>
      <c r="G761" s="140">
        <v>-1293</v>
      </c>
      <c r="H761" s="140">
        <v>0</v>
      </c>
      <c r="I761" s="140">
        <v>0</v>
      </c>
    </row>
    <row r="762" spans="2:9" x14ac:dyDescent="0.3">
      <c r="B762" t="s">
        <v>3214</v>
      </c>
      <c r="C762" t="s">
        <v>3215</v>
      </c>
      <c r="D762" t="s">
        <v>3216</v>
      </c>
      <c r="E762" s="140">
        <v>0</v>
      </c>
      <c r="F762" s="140">
        <v>0</v>
      </c>
      <c r="G762" s="140">
        <v>0</v>
      </c>
      <c r="H762" s="140">
        <v>0</v>
      </c>
      <c r="I762" s="140">
        <v>0</v>
      </c>
    </row>
    <row r="763" spans="2:9" x14ac:dyDescent="0.3">
      <c r="B763" t="s">
        <v>3217</v>
      </c>
      <c r="C763" t="s">
        <v>3218</v>
      </c>
      <c r="D763" t="s">
        <v>3219</v>
      </c>
      <c r="E763" s="140">
        <v>0</v>
      </c>
      <c r="F763" s="140">
        <v>0</v>
      </c>
      <c r="G763" s="140">
        <v>0</v>
      </c>
      <c r="H763" s="140">
        <v>0</v>
      </c>
      <c r="I763" s="140">
        <v>0</v>
      </c>
    </row>
    <row r="764" spans="2:9" x14ac:dyDescent="0.3">
      <c r="B764" t="s">
        <v>3220</v>
      </c>
      <c r="C764" t="s">
        <v>3221</v>
      </c>
      <c r="D764" t="s">
        <v>3222</v>
      </c>
      <c r="E764" s="140">
        <v>0</v>
      </c>
      <c r="F764" s="140">
        <v>0</v>
      </c>
      <c r="G764" s="140">
        <v>0</v>
      </c>
      <c r="H764" s="140">
        <v>0</v>
      </c>
      <c r="I764" s="140">
        <v>0</v>
      </c>
    </row>
    <row r="765" spans="2:9" x14ac:dyDescent="0.3">
      <c r="B765" t="s">
        <v>3223</v>
      </c>
      <c r="C765" t="s">
        <v>3224</v>
      </c>
      <c r="D765" t="s">
        <v>3225</v>
      </c>
      <c r="E765" s="140">
        <v>0</v>
      </c>
      <c r="F765" s="140">
        <v>0</v>
      </c>
      <c r="G765" s="140">
        <v>0</v>
      </c>
      <c r="H765" s="140">
        <v>0</v>
      </c>
      <c r="I765" s="140">
        <v>0</v>
      </c>
    </row>
    <row r="766" spans="2:9" x14ac:dyDescent="0.3">
      <c r="B766" t="s">
        <v>3226</v>
      </c>
      <c r="C766" s="261">
        <v>7775030000000</v>
      </c>
      <c r="D766" t="s">
        <v>3227</v>
      </c>
      <c r="E766" s="140">
        <v>0</v>
      </c>
      <c r="F766" s="140">
        <v>0</v>
      </c>
      <c r="G766" s="140">
        <v>0</v>
      </c>
      <c r="H766" s="140">
        <v>0</v>
      </c>
      <c r="I766" s="140">
        <v>0</v>
      </c>
    </row>
    <row r="767" spans="2:9" x14ac:dyDescent="0.3">
      <c r="B767" t="s">
        <v>3228</v>
      </c>
      <c r="C767" s="261">
        <v>9664480000000</v>
      </c>
      <c r="D767" t="s">
        <v>3229</v>
      </c>
      <c r="E767" s="140">
        <v>0</v>
      </c>
      <c r="F767" s="140">
        <v>0</v>
      </c>
      <c r="G767" s="140">
        <v>0</v>
      </c>
      <c r="H767" s="140">
        <v>0</v>
      </c>
      <c r="I767" s="140">
        <v>0</v>
      </c>
    </row>
    <row r="768" spans="2:9" x14ac:dyDescent="0.3">
      <c r="B768" t="s">
        <v>1639</v>
      </c>
      <c r="C768" s="261">
        <v>23056200000000</v>
      </c>
      <c r="D768" t="s">
        <v>1640</v>
      </c>
      <c r="E768" s="140">
        <v>0</v>
      </c>
      <c r="F768" s="140">
        <v>0</v>
      </c>
      <c r="G768" s="140">
        <v>0</v>
      </c>
      <c r="H768" s="140">
        <v>0</v>
      </c>
      <c r="I768" s="140">
        <v>0</v>
      </c>
    </row>
    <row r="769" spans="2:9" x14ac:dyDescent="0.3">
      <c r="B769" t="s">
        <v>3230</v>
      </c>
      <c r="C769" s="261">
        <v>7993230000000</v>
      </c>
      <c r="D769" t="s">
        <v>3231</v>
      </c>
      <c r="E769" s="140">
        <v>0</v>
      </c>
      <c r="F769" s="140">
        <v>0</v>
      </c>
      <c r="G769" s="140">
        <v>0</v>
      </c>
      <c r="H769" s="140">
        <v>0</v>
      </c>
      <c r="I769" s="140">
        <v>0</v>
      </c>
    </row>
    <row r="770" spans="2:9" x14ac:dyDescent="0.3">
      <c r="B770" t="s">
        <v>769</v>
      </c>
      <c r="C770" s="261">
        <v>10865100000000</v>
      </c>
      <c r="D770" t="s">
        <v>770</v>
      </c>
      <c r="E770" s="140">
        <v>0</v>
      </c>
      <c r="F770" s="140">
        <v>0</v>
      </c>
      <c r="G770" s="140">
        <v>0</v>
      </c>
      <c r="H770" s="140">
        <v>0</v>
      </c>
      <c r="I770" s="140">
        <v>0</v>
      </c>
    </row>
    <row r="771" spans="2:9" x14ac:dyDescent="0.3">
      <c r="B771" t="s">
        <v>3232</v>
      </c>
      <c r="C771" s="261">
        <v>41769800000000</v>
      </c>
      <c r="D771" t="s">
        <v>3233</v>
      </c>
      <c r="E771" s="140">
        <v>0</v>
      </c>
      <c r="F771" s="140">
        <v>0</v>
      </c>
      <c r="G771" s="140">
        <v>0</v>
      </c>
      <c r="H771" s="140">
        <v>0</v>
      </c>
      <c r="I771" s="140">
        <v>0</v>
      </c>
    </row>
    <row r="772" spans="2:9" x14ac:dyDescent="0.3">
      <c r="B772" t="s">
        <v>3234</v>
      </c>
      <c r="C772" s="261">
        <v>5430530000000</v>
      </c>
      <c r="D772" t="s">
        <v>3235</v>
      </c>
      <c r="E772" s="140">
        <v>0</v>
      </c>
      <c r="F772" s="140">
        <v>0</v>
      </c>
      <c r="G772" s="140">
        <v>0</v>
      </c>
      <c r="H772" s="140">
        <v>0</v>
      </c>
      <c r="I772" s="140">
        <v>0</v>
      </c>
    </row>
    <row r="773" spans="2:9" x14ac:dyDescent="0.3">
      <c r="B773" t="s">
        <v>3236</v>
      </c>
      <c r="C773">
        <v>20177000114</v>
      </c>
      <c r="D773" t="s">
        <v>3237</v>
      </c>
      <c r="E773" s="140">
        <v>0</v>
      </c>
      <c r="F773" s="140">
        <v>0</v>
      </c>
      <c r="G773" s="140">
        <v>0</v>
      </c>
      <c r="H773" s="140">
        <v>0</v>
      </c>
      <c r="I773" s="140">
        <v>0</v>
      </c>
    </row>
    <row r="774" spans="2:9" x14ac:dyDescent="0.3">
      <c r="B774" t="s">
        <v>3238</v>
      </c>
      <c r="C774" s="261">
        <v>55475100000000</v>
      </c>
      <c r="D774" t="s">
        <v>3239</v>
      </c>
      <c r="E774" s="140">
        <v>0</v>
      </c>
      <c r="F774" s="140">
        <v>0</v>
      </c>
      <c r="G774" s="140">
        <v>0</v>
      </c>
      <c r="H774" s="140">
        <v>0</v>
      </c>
      <c r="I774" s="140">
        <v>0</v>
      </c>
    </row>
    <row r="775" spans="2:9" x14ac:dyDescent="0.3">
      <c r="B775" t="s">
        <v>3240</v>
      </c>
      <c r="C775" s="261">
        <v>9193430000000</v>
      </c>
      <c r="D775" t="s">
        <v>3241</v>
      </c>
      <c r="E775" s="140">
        <v>0</v>
      </c>
      <c r="F775" s="140">
        <v>0</v>
      </c>
      <c r="G775" s="140">
        <v>0</v>
      </c>
      <c r="H775" s="140">
        <v>0</v>
      </c>
      <c r="I775" s="140">
        <v>0</v>
      </c>
    </row>
    <row r="776" spans="2:9" x14ac:dyDescent="0.3">
      <c r="B776" t="s">
        <v>3242</v>
      </c>
      <c r="C776" s="261">
        <v>17069000000000</v>
      </c>
      <c r="D776" t="s">
        <v>3243</v>
      </c>
      <c r="E776" s="140">
        <v>0</v>
      </c>
      <c r="F776" s="140">
        <v>0</v>
      </c>
      <c r="G776" s="140">
        <v>0</v>
      </c>
      <c r="H776" s="140">
        <v>0</v>
      </c>
      <c r="I776" s="140">
        <v>0</v>
      </c>
    </row>
    <row r="777" spans="2:9" x14ac:dyDescent="0.3">
      <c r="B777" t="s">
        <v>3244</v>
      </c>
      <c r="C777" s="261">
        <v>71196000000000</v>
      </c>
      <c r="D777" t="s">
        <v>3245</v>
      </c>
      <c r="E777" s="140">
        <v>0</v>
      </c>
      <c r="F777" s="140">
        <v>0</v>
      </c>
      <c r="G777" s="140">
        <v>0</v>
      </c>
      <c r="H777" s="140">
        <v>0</v>
      </c>
      <c r="I777" s="140">
        <v>0</v>
      </c>
    </row>
    <row r="778" spans="2:9" x14ac:dyDescent="0.3">
      <c r="B778" t="s">
        <v>3246</v>
      </c>
      <c r="C778" s="261">
        <v>5724280000000</v>
      </c>
      <c r="D778" t="s">
        <v>3247</v>
      </c>
      <c r="E778" s="140">
        <v>0</v>
      </c>
      <c r="F778" s="140">
        <v>0</v>
      </c>
      <c r="G778" s="140">
        <v>0</v>
      </c>
      <c r="H778" s="140">
        <v>0</v>
      </c>
      <c r="I778" s="140">
        <v>0</v>
      </c>
    </row>
    <row r="779" spans="2:9" x14ac:dyDescent="0.3">
      <c r="B779" t="s">
        <v>3248</v>
      </c>
      <c r="C779" s="261">
        <v>19803800000000</v>
      </c>
      <c r="D779" t="s">
        <v>3249</v>
      </c>
      <c r="E779" s="140">
        <v>0</v>
      </c>
      <c r="F779" s="140">
        <v>0</v>
      </c>
      <c r="G779" s="140">
        <v>0</v>
      </c>
      <c r="H779" s="140">
        <v>0</v>
      </c>
      <c r="I779" s="140">
        <v>0</v>
      </c>
    </row>
    <row r="780" spans="2:9" x14ac:dyDescent="0.3">
      <c r="B780" t="s">
        <v>3250</v>
      </c>
      <c r="C780" s="261">
        <v>53437400000000</v>
      </c>
      <c r="D780" t="s">
        <v>3251</v>
      </c>
      <c r="E780" s="140">
        <v>0</v>
      </c>
      <c r="F780" s="140">
        <v>0</v>
      </c>
      <c r="G780" s="140">
        <v>0</v>
      </c>
      <c r="H780" s="140">
        <v>0</v>
      </c>
      <c r="I780" s="140">
        <v>0</v>
      </c>
    </row>
    <row r="781" spans="2:9" x14ac:dyDescent="0.3">
      <c r="B781" t="s">
        <v>3252</v>
      </c>
      <c r="C781" s="261">
        <v>9096720000000</v>
      </c>
      <c r="D781" t="s">
        <v>3253</v>
      </c>
      <c r="E781" s="140">
        <v>0</v>
      </c>
      <c r="F781" s="140">
        <v>0</v>
      </c>
      <c r="G781" s="140">
        <v>0</v>
      </c>
      <c r="H781" s="140">
        <v>0</v>
      </c>
      <c r="I781" s="140">
        <v>0</v>
      </c>
    </row>
    <row r="782" spans="2:9" x14ac:dyDescent="0.3">
      <c r="B782" t="s">
        <v>3254</v>
      </c>
      <c r="C782" s="261">
        <v>68153200000000</v>
      </c>
      <c r="D782" t="s">
        <v>3255</v>
      </c>
      <c r="E782" s="140">
        <v>0</v>
      </c>
      <c r="F782" s="140">
        <v>0</v>
      </c>
      <c r="G782" s="140">
        <v>0</v>
      </c>
      <c r="H782" s="140">
        <v>0</v>
      </c>
      <c r="I782" s="140">
        <v>0</v>
      </c>
    </row>
    <row r="783" spans="2:9" x14ac:dyDescent="0.3">
      <c r="B783" t="s">
        <v>3256</v>
      </c>
      <c r="C783" s="261">
        <v>1804990000000</v>
      </c>
      <c r="D783" t="s">
        <v>3257</v>
      </c>
      <c r="E783" s="140">
        <v>0</v>
      </c>
      <c r="F783" s="140">
        <v>0</v>
      </c>
      <c r="G783" s="140">
        <v>0</v>
      </c>
      <c r="H783" s="140">
        <v>0</v>
      </c>
      <c r="I783" s="140">
        <v>0</v>
      </c>
    </row>
    <row r="784" spans="2:9" x14ac:dyDescent="0.3">
      <c r="B784" t="s">
        <v>1018</v>
      </c>
      <c r="C784" s="261">
        <v>3017430000000</v>
      </c>
      <c r="D784" t="s">
        <v>145</v>
      </c>
      <c r="E784" s="140">
        <v>-15</v>
      </c>
      <c r="F784" s="140">
        <v>28</v>
      </c>
      <c r="G784" s="140">
        <v>-13</v>
      </c>
      <c r="H784" s="140">
        <v>15</v>
      </c>
      <c r="I784" s="140">
        <v>0</v>
      </c>
    </row>
    <row r="785" spans="2:9" x14ac:dyDescent="0.3">
      <c r="B785" t="s">
        <v>3258</v>
      </c>
      <c r="C785" s="261">
        <v>4131920000000</v>
      </c>
      <c r="D785" t="s">
        <v>3259</v>
      </c>
      <c r="E785" s="140">
        <v>0</v>
      </c>
      <c r="F785" s="140">
        <v>0</v>
      </c>
      <c r="G785" s="140">
        <v>0</v>
      </c>
      <c r="H785" s="140">
        <v>0</v>
      </c>
      <c r="I785" s="140">
        <v>0</v>
      </c>
    </row>
    <row r="786" spans="2:9" x14ac:dyDescent="0.3">
      <c r="B786" t="s">
        <v>1019</v>
      </c>
      <c r="C786" t="s">
        <v>771</v>
      </c>
      <c r="D786" t="s">
        <v>772</v>
      </c>
      <c r="E786" s="140">
        <v>0</v>
      </c>
      <c r="F786" s="140">
        <v>0</v>
      </c>
      <c r="G786" s="140">
        <v>0</v>
      </c>
      <c r="H786" s="140">
        <v>0</v>
      </c>
      <c r="I786" s="140">
        <v>0</v>
      </c>
    </row>
    <row r="787" spans="2:9" x14ac:dyDescent="0.3">
      <c r="B787" t="s">
        <v>3260</v>
      </c>
      <c r="C787" t="s">
        <v>3261</v>
      </c>
      <c r="D787" t="s">
        <v>3262</v>
      </c>
      <c r="E787" s="140">
        <v>0</v>
      </c>
      <c r="F787" s="140">
        <v>0</v>
      </c>
      <c r="G787" s="140">
        <v>0</v>
      </c>
      <c r="H787" s="140">
        <v>0</v>
      </c>
      <c r="I787" s="140">
        <v>0</v>
      </c>
    </row>
    <row r="788" spans="2:9" x14ac:dyDescent="0.3">
      <c r="B788" t="s">
        <v>773</v>
      </c>
      <c r="C788" t="s">
        <v>774</v>
      </c>
      <c r="D788" t="s">
        <v>775</v>
      </c>
      <c r="E788" s="140">
        <v>0</v>
      </c>
      <c r="F788" s="140">
        <v>0</v>
      </c>
      <c r="G788" s="140">
        <v>0</v>
      </c>
      <c r="H788" s="140">
        <v>0</v>
      </c>
      <c r="I788" s="140">
        <v>0</v>
      </c>
    </row>
    <row r="789" spans="2:9" x14ac:dyDescent="0.3">
      <c r="B789" t="s">
        <v>3263</v>
      </c>
      <c r="C789" t="s">
        <v>3264</v>
      </c>
      <c r="D789" t="s">
        <v>3265</v>
      </c>
      <c r="E789" s="140">
        <v>0</v>
      </c>
      <c r="F789" s="140">
        <v>0</v>
      </c>
      <c r="G789" s="140">
        <v>0</v>
      </c>
      <c r="H789" s="140">
        <v>0</v>
      </c>
      <c r="I789" s="140">
        <v>0</v>
      </c>
    </row>
    <row r="790" spans="2:9" x14ac:dyDescent="0.3">
      <c r="B790" t="s">
        <v>3266</v>
      </c>
      <c r="C790" t="s">
        <v>3267</v>
      </c>
      <c r="D790" t="s">
        <v>3268</v>
      </c>
      <c r="E790" s="140">
        <v>0</v>
      </c>
      <c r="F790" s="140">
        <v>0</v>
      </c>
      <c r="G790" s="140">
        <v>0</v>
      </c>
      <c r="H790" s="140">
        <v>0</v>
      </c>
      <c r="I790" s="140">
        <v>0</v>
      </c>
    </row>
    <row r="791" spans="2:9" x14ac:dyDescent="0.3">
      <c r="B791" t="s">
        <v>3269</v>
      </c>
      <c r="C791" t="s">
        <v>3270</v>
      </c>
      <c r="D791" t="s">
        <v>3271</v>
      </c>
      <c r="E791" s="140">
        <v>0</v>
      </c>
      <c r="F791" s="140">
        <v>0</v>
      </c>
      <c r="G791" s="140">
        <v>0</v>
      </c>
      <c r="H791" s="140">
        <v>0</v>
      </c>
      <c r="I791" s="140">
        <v>0</v>
      </c>
    </row>
    <row r="792" spans="2:9" x14ac:dyDescent="0.3">
      <c r="B792" t="s">
        <v>3272</v>
      </c>
      <c r="C792" t="s">
        <v>3273</v>
      </c>
      <c r="D792" t="s">
        <v>3274</v>
      </c>
      <c r="E792" s="140">
        <v>0</v>
      </c>
      <c r="F792" s="140">
        <v>0</v>
      </c>
      <c r="G792" s="140">
        <v>0</v>
      </c>
      <c r="H792" s="140">
        <v>0</v>
      </c>
      <c r="I792" s="140">
        <v>0</v>
      </c>
    </row>
    <row r="793" spans="2:9" x14ac:dyDescent="0.3">
      <c r="B793" t="s">
        <v>3275</v>
      </c>
      <c r="C793" t="s">
        <v>3276</v>
      </c>
      <c r="D793" t="s">
        <v>3277</v>
      </c>
      <c r="E793" s="140">
        <v>0</v>
      </c>
      <c r="F793" s="140">
        <v>0</v>
      </c>
      <c r="G793" s="140">
        <v>0</v>
      </c>
      <c r="H793" s="140">
        <v>0</v>
      </c>
      <c r="I793" s="140">
        <v>0</v>
      </c>
    </row>
    <row r="794" spans="2:9" x14ac:dyDescent="0.3">
      <c r="B794" t="s">
        <v>3278</v>
      </c>
      <c r="C794" s="261">
        <v>23656100000000</v>
      </c>
      <c r="D794" t="s">
        <v>3279</v>
      </c>
      <c r="E794" s="140">
        <v>0</v>
      </c>
      <c r="F794" s="140">
        <v>0</v>
      </c>
      <c r="G794" s="140">
        <v>0</v>
      </c>
      <c r="H794" s="140">
        <v>0</v>
      </c>
      <c r="I794" s="140">
        <v>0</v>
      </c>
    </row>
    <row r="795" spans="2:9" x14ac:dyDescent="0.3">
      <c r="B795" t="s">
        <v>1641</v>
      </c>
      <c r="C795" s="261">
        <v>3344830000000</v>
      </c>
      <c r="D795" t="s">
        <v>1642</v>
      </c>
      <c r="E795" s="140">
        <v>0</v>
      </c>
      <c r="F795" s="140">
        <v>0</v>
      </c>
      <c r="G795" s="140">
        <v>0</v>
      </c>
      <c r="H795" s="140">
        <v>0</v>
      </c>
      <c r="I795" s="140">
        <v>0</v>
      </c>
    </row>
    <row r="796" spans="2:9" x14ac:dyDescent="0.3">
      <c r="B796" t="s">
        <v>3280</v>
      </c>
      <c r="C796" s="261">
        <v>8086690000000</v>
      </c>
      <c r="D796" t="s">
        <v>3281</v>
      </c>
      <c r="E796" s="140">
        <v>0</v>
      </c>
      <c r="F796" s="140">
        <v>0</v>
      </c>
      <c r="G796" s="140">
        <v>0</v>
      </c>
      <c r="H796" s="140">
        <v>0</v>
      </c>
      <c r="I796" s="140">
        <v>0</v>
      </c>
    </row>
    <row r="797" spans="2:9" x14ac:dyDescent="0.3">
      <c r="B797" t="s">
        <v>3282</v>
      </c>
      <c r="C797" s="261">
        <v>12114500000000</v>
      </c>
      <c r="D797" t="s">
        <v>3283</v>
      </c>
      <c r="E797" s="140">
        <v>0</v>
      </c>
      <c r="F797" s="140">
        <v>0</v>
      </c>
      <c r="G797" s="140">
        <v>0</v>
      </c>
      <c r="H797" s="140">
        <v>0</v>
      </c>
      <c r="I797" s="140">
        <v>0</v>
      </c>
    </row>
    <row r="798" spans="2:9" x14ac:dyDescent="0.3">
      <c r="B798" t="s">
        <v>3284</v>
      </c>
      <c r="C798" t="s">
        <v>3285</v>
      </c>
      <c r="D798" t="s">
        <v>3286</v>
      </c>
      <c r="E798" s="140">
        <v>0</v>
      </c>
      <c r="F798" s="140">
        <v>0</v>
      </c>
      <c r="G798" s="140">
        <v>0</v>
      </c>
      <c r="H798" s="140">
        <v>0</v>
      </c>
      <c r="I798" s="140">
        <v>0</v>
      </c>
    </row>
    <row r="799" spans="2:9" x14ac:dyDescent="0.3">
      <c r="B799" t="s">
        <v>3287</v>
      </c>
      <c r="C799" t="s">
        <v>3288</v>
      </c>
      <c r="D799" t="s">
        <v>3289</v>
      </c>
      <c r="E799" s="140">
        <v>0</v>
      </c>
      <c r="F799" s="140">
        <v>0</v>
      </c>
      <c r="G799" s="140">
        <v>0</v>
      </c>
      <c r="H799" s="140">
        <v>0</v>
      </c>
      <c r="I799" s="140">
        <v>0</v>
      </c>
    </row>
    <row r="800" spans="2:9" x14ac:dyDescent="0.3">
      <c r="B800" t="s">
        <v>3290</v>
      </c>
      <c r="C800" s="261">
        <v>15586900000000</v>
      </c>
      <c r="D800" t="s">
        <v>3291</v>
      </c>
      <c r="E800" s="140">
        <v>0</v>
      </c>
      <c r="F800" s="140">
        <v>0</v>
      </c>
      <c r="G800" s="140">
        <v>0</v>
      </c>
      <c r="H800" s="140">
        <v>0</v>
      </c>
      <c r="I800" s="140">
        <v>0</v>
      </c>
    </row>
    <row r="801" spans="2:9" x14ac:dyDescent="0.3">
      <c r="B801" t="s">
        <v>3292</v>
      </c>
      <c r="C801" s="261">
        <v>13159800000000</v>
      </c>
      <c r="D801" t="s">
        <v>3293</v>
      </c>
      <c r="E801" s="140">
        <v>0</v>
      </c>
      <c r="F801" s="140">
        <v>0</v>
      </c>
      <c r="G801" s="140">
        <v>0</v>
      </c>
      <c r="H801" s="140">
        <v>0</v>
      </c>
      <c r="I801" s="140">
        <v>0</v>
      </c>
    </row>
    <row r="802" spans="2:9" x14ac:dyDescent="0.3">
      <c r="B802" t="s">
        <v>3294</v>
      </c>
      <c r="C802" s="261">
        <v>5633420000000</v>
      </c>
      <c r="D802" t="s">
        <v>3295</v>
      </c>
      <c r="E802" s="140">
        <v>0</v>
      </c>
      <c r="F802" s="140">
        <v>0</v>
      </c>
      <c r="G802" s="140">
        <v>0</v>
      </c>
      <c r="H802" s="140">
        <v>0</v>
      </c>
      <c r="I802" s="140">
        <v>0</v>
      </c>
    </row>
    <row r="803" spans="2:9" x14ac:dyDescent="0.3">
      <c r="B803" t="s">
        <v>3296</v>
      </c>
      <c r="C803" s="261">
        <v>20120900000000</v>
      </c>
      <c r="D803" t="s">
        <v>3297</v>
      </c>
      <c r="E803" s="140">
        <v>0</v>
      </c>
      <c r="F803" s="140">
        <v>0</v>
      </c>
      <c r="G803" s="140">
        <v>0</v>
      </c>
      <c r="H803" s="140">
        <v>0</v>
      </c>
      <c r="I803" s="140">
        <v>0</v>
      </c>
    </row>
    <row r="804" spans="2:9" x14ac:dyDescent="0.3">
      <c r="B804" t="s">
        <v>3298</v>
      </c>
      <c r="C804" t="s">
        <v>3299</v>
      </c>
      <c r="D804" t="s">
        <v>3300</v>
      </c>
      <c r="E804" s="140">
        <v>0</v>
      </c>
      <c r="F804" s="140">
        <v>0</v>
      </c>
      <c r="G804" s="140">
        <v>0</v>
      </c>
      <c r="H804" s="140">
        <v>0</v>
      </c>
      <c r="I804" s="140">
        <v>0</v>
      </c>
    </row>
    <row r="805" spans="2:9" x14ac:dyDescent="0.3">
      <c r="B805" t="s">
        <v>3301</v>
      </c>
      <c r="C805" t="s">
        <v>3302</v>
      </c>
      <c r="D805" t="s">
        <v>3303</v>
      </c>
      <c r="E805" s="140">
        <v>0</v>
      </c>
      <c r="F805" s="140">
        <v>0</v>
      </c>
      <c r="G805" s="140">
        <v>0</v>
      </c>
      <c r="H805" s="140">
        <v>0</v>
      </c>
      <c r="I805" s="140">
        <v>0</v>
      </c>
    </row>
    <row r="806" spans="2:9" x14ac:dyDescent="0.3">
      <c r="B806" t="s">
        <v>3304</v>
      </c>
      <c r="C806" t="s">
        <v>3305</v>
      </c>
      <c r="D806" t="s">
        <v>3306</v>
      </c>
      <c r="E806" s="140">
        <v>0</v>
      </c>
      <c r="F806" s="140">
        <v>0</v>
      </c>
      <c r="G806" s="140">
        <v>0</v>
      </c>
      <c r="H806" s="140">
        <v>0</v>
      </c>
      <c r="I806" s="140">
        <v>0</v>
      </c>
    </row>
    <row r="807" spans="2:9" x14ac:dyDescent="0.3">
      <c r="B807" t="s">
        <v>3307</v>
      </c>
      <c r="C807" t="s">
        <v>3308</v>
      </c>
      <c r="D807" t="s">
        <v>1943</v>
      </c>
      <c r="E807" s="140">
        <v>0</v>
      </c>
      <c r="F807" s="140">
        <v>0</v>
      </c>
      <c r="G807" s="140">
        <v>0</v>
      </c>
      <c r="H807" s="140">
        <v>0</v>
      </c>
      <c r="I807" s="140">
        <v>0</v>
      </c>
    </row>
    <row r="808" spans="2:9" x14ac:dyDescent="0.3">
      <c r="B808" t="s">
        <v>3309</v>
      </c>
      <c r="C808" t="s">
        <v>3310</v>
      </c>
      <c r="D808" t="s">
        <v>3311</v>
      </c>
      <c r="E808" s="140">
        <v>0</v>
      </c>
      <c r="F808" s="140">
        <v>0</v>
      </c>
      <c r="G808" s="140">
        <v>0</v>
      </c>
      <c r="H808" s="140">
        <v>0</v>
      </c>
      <c r="I808" s="140">
        <v>0</v>
      </c>
    </row>
    <row r="809" spans="2:9" x14ac:dyDescent="0.3">
      <c r="B809" t="s">
        <v>3312</v>
      </c>
      <c r="C809" t="s">
        <v>3313</v>
      </c>
      <c r="D809" t="s">
        <v>3314</v>
      </c>
      <c r="E809" s="140">
        <v>0</v>
      </c>
      <c r="F809" s="140">
        <v>0</v>
      </c>
      <c r="G809" s="140">
        <v>0</v>
      </c>
      <c r="H809" s="140">
        <v>0</v>
      </c>
      <c r="I809" s="140">
        <v>0</v>
      </c>
    </row>
    <row r="810" spans="2:9" x14ac:dyDescent="0.3">
      <c r="B810" t="s">
        <v>3315</v>
      </c>
      <c r="C810" t="s">
        <v>3316</v>
      </c>
      <c r="D810" t="s">
        <v>3317</v>
      </c>
      <c r="E810" s="140">
        <v>0</v>
      </c>
      <c r="F810" s="140">
        <v>0</v>
      </c>
      <c r="G810" s="140">
        <v>0</v>
      </c>
      <c r="H810" s="140">
        <v>0</v>
      </c>
      <c r="I810" s="140">
        <v>0</v>
      </c>
    </row>
    <row r="811" spans="2:9" x14ac:dyDescent="0.3">
      <c r="B811" t="s">
        <v>3318</v>
      </c>
      <c r="C811" s="261">
        <v>10499000000000</v>
      </c>
      <c r="D811" t="s">
        <v>3319</v>
      </c>
      <c r="E811" s="140">
        <v>0</v>
      </c>
      <c r="F811" s="140">
        <v>0</v>
      </c>
      <c r="G811" s="140">
        <v>0</v>
      </c>
      <c r="H811" s="140">
        <v>0</v>
      </c>
      <c r="I811" s="140">
        <v>0</v>
      </c>
    </row>
    <row r="812" spans="2:9" x14ac:dyDescent="0.3">
      <c r="B812" t="s">
        <v>3320</v>
      </c>
      <c r="C812" t="s">
        <v>3321</v>
      </c>
      <c r="D812" t="s">
        <v>3322</v>
      </c>
      <c r="E812" s="140">
        <v>0</v>
      </c>
      <c r="F812" s="140">
        <v>0</v>
      </c>
      <c r="G812" s="140">
        <v>0</v>
      </c>
      <c r="H812" s="140">
        <v>0</v>
      </c>
      <c r="I812" s="140">
        <v>0</v>
      </c>
    </row>
    <row r="813" spans="2:9" x14ac:dyDescent="0.3">
      <c r="B813" t="s">
        <v>3323</v>
      </c>
      <c r="C813" t="s">
        <v>3324</v>
      </c>
      <c r="D813" t="s">
        <v>3325</v>
      </c>
      <c r="E813" s="140">
        <v>0</v>
      </c>
      <c r="F813" s="140">
        <v>0</v>
      </c>
      <c r="G813" s="140">
        <v>0</v>
      </c>
      <c r="H813" s="140">
        <v>0</v>
      </c>
      <c r="I813" s="140">
        <v>0</v>
      </c>
    </row>
    <row r="814" spans="2:9" x14ac:dyDescent="0.3">
      <c r="B814" t="s">
        <v>3326</v>
      </c>
      <c r="C814" t="s">
        <v>3327</v>
      </c>
      <c r="D814" t="s">
        <v>3328</v>
      </c>
      <c r="E814" s="140">
        <v>0</v>
      </c>
      <c r="F814" s="140">
        <v>0</v>
      </c>
      <c r="G814" s="140">
        <v>0</v>
      </c>
      <c r="H814" s="140">
        <v>0</v>
      </c>
      <c r="I814" s="140">
        <v>0</v>
      </c>
    </row>
    <row r="815" spans="2:9" x14ac:dyDescent="0.3">
      <c r="B815" t="s">
        <v>3329</v>
      </c>
      <c r="C815" t="s">
        <v>3330</v>
      </c>
      <c r="D815" t="s">
        <v>3331</v>
      </c>
      <c r="E815" s="140">
        <v>0</v>
      </c>
      <c r="F815" s="140">
        <v>0</v>
      </c>
      <c r="G815" s="140">
        <v>0</v>
      </c>
      <c r="H815" s="140">
        <v>0</v>
      </c>
      <c r="I815" s="140">
        <v>0</v>
      </c>
    </row>
    <row r="816" spans="2:9" x14ac:dyDescent="0.3">
      <c r="B816" t="s">
        <v>3332</v>
      </c>
      <c r="C816" t="s">
        <v>3333</v>
      </c>
      <c r="D816" t="s">
        <v>3334</v>
      </c>
      <c r="E816" s="140">
        <v>0</v>
      </c>
      <c r="F816" s="140">
        <v>0</v>
      </c>
      <c r="G816" s="140">
        <v>0</v>
      </c>
      <c r="H816" s="140">
        <v>0</v>
      </c>
      <c r="I816" s="140">
        <v>0</v>
      </c>
    </row>
    <row r="817" spans="2:9" x14ac:dyDescent="0.3">
      <c r="B817" t="s">
        <v>3335</v>
      </c>
      <c r="C817" s="261">
        <v>26172600000000</v>
      </c>
      <c r="D817" t="s">
        <v>3336</v>
      </c>
      <c r="E817" s="140">
        <v>0</v>
      </c>
      <c r="F817" s="140">
        <v>0</v>
      </c>
      <c r="G817" s="140">
        <v>0</v>
      </c>
      <c r="H817" s="140">
        <v>0</v>
      </c>
      <c r="I817" s="140">
        <v>0</v>
      </c>
    </row>
    <row r="818" spans="2:9" x14ac:dyDescent="0.3">
      <c r="B818" t="s">
        <v>3337</v>
      </c>
      <c r="C818" s="261">
        <v>7282520000000</v>
      </c>
      <c r="D818" t="s">
        <v>3338</v>
      </c>
      <c r="E818" s="140">
        <v>0</v>
      </c>
      <c r="F818" s="140">
        <v>0</v>
      </c>
      <c r="G818" s="140">
        <v>0</v>
      </c>
      <c r="H818" s="140">
        <v>0</v>
      </c>
      <c r="I818" s="140">
        <v>0</v>
      </c>
    </row>
    <row r="819" spans="2:9" x14ac:dyDescent="0.3">
      <c r="B819" t="s">
        <v>3339</v>
      </c>
      <c r="C819" s="261">
        <v>86046500000000</v>
      </c>
      <c r="D819" t="s">
        <v>3340</v>
      </c>
      <c r="E819" s="140">
        <v>0</v>
      </c>
      <c r="F819" s="140">
        <v>0</v>
      </c>
      <c r="G819" s="140">
        <v>0</v>
      </c>
      <c r="H819" s="140">
        <v>0</v>
      </c>
      <c r="I819" s="140">
        <v>0</v>
      </c>
    </row>
    <row r="820" spans="2:9" x14ac:dyDescent="0.3">
      <c r="B820" t="s">
        <v>3341</v>
      </c>
      <c r="C820" s="261">
        <v>523726000000</v>
      </c>
      <c r="D820" t="s">
        <v>3342</v>
      </c>
      <c r="E820" s="140">
        <v>0</v>
      </c>
      <c r="F820" s="140">
        <v>0</v>
      </c>
      <c r="G820" s="140">
        <v>0</v>
      </c>
      <c r="H820" s="140">
        <v>0</v>
      </c>
      <c r="I820" s="140">
        <v>0</v>
      </c>
    </row>
    <row r="821" spans="2:9" x14ac:dyDescent="0.3">
      <c r="B821" t="s">
        <v>3343</v>
      </c>
      <c r="C821" s="261">
        <v>16600000000000</v>
      </c>
      <c r="D821" t="s">
        <v>3344</v>
      </c>
      <c r="E821" s="140">
        <v>0</v>
      </c>
      <c r="F821" s="140">
        <v>0</v>
      </c>
      <c r="G821" s="140">
        <v>0</v>
      </c>
      <c r="H821" s="140">
        <v>0</v>
      </c>
      <c r="I821" s="140">
        <v>0</v>
      </c>
    </row>
    <row r="822" spans="2:9" x14ac:dyDescent="0.3">
      <c r="B822" t="s">
        <v>3345</v>
      </c>
      <c r="C822" s="261">
        <v>7524040000000</v>
      </c>
      <c r="D822" t="s">
        <v>3346</v>
      </c>
      <c r="E822" s="140">
        <v>0</v>
      </c>
      <c r="F822" s="140">
        <v>0</v>
      </c>
      <c r="G822" s="140">
        <v>0</v>
      </c>
      <c r="H822" s="140">
        <v>0</v>
      </c>
      <c r="I822" s="140">
        <v>0</v>
      </c>
    </row>
    <row r="823" spans="2:9" x14ac:dyDescent="0.3">
      <c r="B823" t="s">
        <v>3347</v>
      </c>
      <c r="C823" s="261">
        <v>8827630000000</v>
      </c>
      <c r="D823" t="s">
        <v>3348</v>
      </c>
      <c r="E823" s="140">
        <v>0</v>
      </c>
      <c r="F823" s="140">
        <v>0</v>
      </c>
      <c r="G823" s="140">
        <v>0</v>
      </c>
      <c r="H823" s="140">
        <v>0</v>
      </c>
      <c r="I823" s="140">
        <v>0</v>
      </c>
    </row>
    <row r="824" spans="2:9" x14ac:dyDescent="0.3">
      <c r="B824" t="s">
        <v>3349</v>
      </c>
      <c r="C824" s="261">
        <v>10741700000000</v>
      </c>
      <c r="D824" t="s">
        <v>3350</v>
      </c>
      <c r="E824" s="140">
        <v>0</v>
      </c>
      <c r="F824" s="140">
        <v>0</v>
      </c>
      <c r="G824" s="140">
        <v>0</v>
      </c>
      <c r="H824" s="140">
        <v>0</v>
      </c>
      <c r="I824" s="140">
        <v>0</v>
      </c>
    </row>
    <row r="825" spans="2:9" x14ac:dyDescent="0.3">
      <c r="B825" t="s">
        <v>1643</v>
      </c>
      <c r="C825" s="261">
        <v>33555900000000</v>
      </c>
      <c r="D825" t="s">
        <v>1644</v>
      </c>
      <c r="E825" s="140">
        <v>0</v>
      </c>
      <c r="F825" s="140">
        <v>0</v>
      </c>
      <c r="G825" s="140">
        <v>0</v>
      </c>
      <c r="H825" s="140">
        <v>0</v>
      </c>
      <c r="I825" s="140">
        <v>0</v>
      </c>
    </row>
    <row r="826" spans="2:9" x14ac:dyDescent="0.3">
      <c r="B826" t="s">
        <v>1645</v>
      </c>
      <c r="C826" s="261">
        <v>482998000000</v>
      </c>
      <c r="D826" t="s">
        <v>1646</v>
      </c>
      <c r="E826" s="140">
        <v>0</v>
      </c>
      <c r="F826" s="140">
        <v>0</v>
      </c>
      <c r="G826" s="140">
        <v>0</v>
      </c>
      <c r="H826" s="140">
        <v>0</v>
      </c>
      <c r="I826" s="140">
        <v>0</v>
      </c>
    </row>
    <row r="827" spans="2:9" x14ac:dyDescent="0.3">
      <c r="B827" t="s">
        <v>3351</v>
      </c>
      <c r="C827" s="261">
        <v>28019200000000</v>
      </c>
      <c r="D827" t="s">
        <v>3352</v>
      </c>
      <c r="E827" s="140">
        <v>0</v>
      </c>
      <c r="F827" s="140">
        <v>0</v>
      </c>
      <c r="G827" s="140">
        <v>0</v>
      </c>
      <c r="H827" s="140">
        <v>0</v>
      </c>
      <c r="I827" s="140">
        <v>0</v>
      </c>
    </row>
    <row r="828" spans="2:9" x14ac:dyDescent="0.3">
      <c r="B828" t="s">
        <v>3353</v>
      </c>
      <c r="C828" s="261">
        <v>3254970000000</v>
      </c>
      <c r="D828" t="s">
        <v>3354</v>
      </c>
      <c r="E828" s="140">
        <v>0</v>
      </c>
      <c r="F828" s="140">
        <v>0</v>
      </c>
      <c r="G828" s="140">
        <v>0</v>
      </c>
      <c r="H828" s="140">
        <v>0</v>
      </c>
      <c r="I828" s="140">
        <v>0</v>
      </c>
    </row>
    <row r="829" spans="2:9" x14ac:dyDescent="0.3">
      <c r="B829" t="s">
        <v>3355</v>
      </c>
      <c r="C829" s="261">
        <v>429640000000</v>
      </c>
      <c r="D829" t="s">
        <v>3356</v>
      </c>
      <c r="E829" s="140">
        <v>0</v>
      </c>
      <c r="F829" s="140">
        <v>0</v>
      </c>
      <c r="G829" s="140">
        <v>0</v>
      </c>
      <c r="H829" s="140">
        <v>0</v>
      </c>
      <c r="I829" s="140">
        <v>0</v>
      </c>
    </row>
    <row r="830" spans="2:9" x14ac:dyDescent="0.3">
      <c r="B830" t="s">
        <v>3357</v>
      </c>
      <c r="C830" s="261">
        <v>10656900000000</v>
      </c>
      <c r="D830" t="s">
        <v>3358</v>
      </c>
      <c r="E830" s="140">
        <v>0</v>
      </c>
      <c r="F830" s="140">
        <v>0</v>
      </c>
      <c r="G830" s="140">
        <v>0</v>
      </c>
      <c r="H830" s="140">
        <v>0</v>
      </c>
      <c r="I830" s="140">
        <v>0</v>
      </c>
    </row>
    <row r="831" spans="2:9" x14ac:dyDescent="0.3">
      <c r="B831" t="s">
        <v>3359</v>
      </c>
      <c r="C831" s="261">
        <v>61398200000000</v>
      </c>
      <c r="D831" t="s">
        <v>3360</v>
      </c>
      <c r="E831" s="140">
        <v>0</v>
      </c>
      <c r="F831" s="140">
        <v>0</v>
      </c>
      <c r="G831" s="140">
        <v>0</v>
      </c>
      <c r="H831" s="140">
        <v>0</v>
      </c>
      <c r="I831" s="140">
        <v>0</v>
      </c>
    </row>
    <row r="832" spans="2:9" x14ac:dyDescent="0.3">
      <c r="B832" t="s">
        <v>3361</v>
      </c>
      <c r="C832" s="261">
        <v>15805700000000</v>
      </c>
      <c r="D832" t="s">
        <v>3362</v>
      </c>
      <c r="E832" s="140">
        <v>0</v>
      </c>
      <c r="F832" s="140">
        <v>0</v>
      </c>
      <c r="G832" s="140">
        <v>0</v>
      </c>
      <c r="H832" s="140">
        <v>0</v>
      </c>
      <c r="I832" s="140">
        <v>0</v>
      </c>
    </row>
    <row r="833" spans="2:9" x14ac:dyDescent="0.3">
      <c r="B833" t="s">
        <v>3363</v>
      </c>
      <c r="C833" s="261">
        <v>39184000000000</v>
      </c>
      <c r="D833" t="s">
        <v>3364</v>
      </c>
      <c r="E833" s="140">
        <v>0</v>
      </c>
      <c r="F833" s="140">
        <v>0</v>
      </c>
      <c r="G833" s="140">
        <v>0</v>
      </c>
      <c r="H833" s="140">
        <v>0</v>
      </c>
      <c r="I833" s="140">
        <v>0</v>
      </c>
    </row>
    <row r="834" spans="2:9" x14ac:dyDescent="0.3">
      <c r="B834" t="s">
        <v>3365</v>
      </c>
      <c r="C834" s="261">
        <v>13828400000000</v>
      </c>
      <c r="D834" t="s">
        <v>3366</v>
      </c>
      <c r="E834" s="140">
        <v>0</v>
      </c>
      <c r="F834" s="140">
        <v>0</v>
      </c>
      <c r="G834" s="140">
        <v>0</v>
      </c>
      <c r="H834" s="140">
        <v>0</v>
      </c>
      <c r="I834" s="140">
        <v>0</v>
      </c>
    </row>
    <row r="835" spans="2:9" x14ac:dyDescent="0.3">
      <c r="B835" t="s">
        <v>3367</v>
      </c>
      <c r="C835" s="261">
        <v>2497400000000</v>
      </c>
      <c r="D835" t="s">
        <v>3368</v>
      </c>
      <c r="E835" s="140">
        <v>0</v>
      </c>
      <c r="F835" s="140">
        <v>0</v>
      </c>
      <c r="G835" s="140">
        <v>0</v>
      </c>
      <c r="H835" s="140">
        <v>0</v>
      </c>
      <c r="I835" s="140">
        <v>0</v>
      </c>
    </row>
    <row r="836" spans="2:9" x14ac:dyDescent="0.3">
      <c r="B836" t="s">
        <v>3369</v>
      </c>
      <c r="C836" s="261">
        <v>4206050000000</v>
      </c>
      <c r="D836" t="s">
        <v>3370</v>
      </c>
      <c r="E836" s="140">
        <v>0</v>
      </c>
      <c r="F836" s="140">
        <v>0</v>
      </c>
      <c r="G836" s="140">
        <v>0</v>
      </c>
      <c r="H836" s="140">
        <v>0</v>
      </c>
      <c r="I836" s="140">
        <v>0</v>
      </c>
    </row>
    <row r="837" spans="2:9" x14ac:dyDescent="0.3">
      <c r="B837" t="s">
        <v>3371</v>
      </c>
      <c r="C837" s="261">
        <v>9597890000000</v>
      </c>
      <c r="D837" t="s">
        <v>3372</v>
      </c>
      <c r="E837" s="140">
        <v>0</v>
      </c>
      <c r="F837" s="140">
        <v>0</v>
      </c>
      <c r="G837" s="140">
        <v>0</v>
      </c>
      <c r="H837" s="140">
        <v>0</v>
      </c>
      <c r="I837" s="140">
        <v>0</v>
      </c>
    </row>
    <row r="838" spans="2:9" x14ac:dyDescent="0.3">
      <c r="B838" t="s">
        <v>3373</v>
      </c>
      <c r="C838" s="261">
        <v>24521900000000</v>
      </c>
      <c r="D838" t="s">
        <v>3374</v>
      </c>
      <c r="E838" s="140">
        <v>0</v>
      </c>
      <c r="F838" s="140">
        <v>0</v>
      </c>
      <c r="G838" s="140">
        <v>0</v>
      </c>
      <c r="H838" s="140">
        <v>0</v>
      </c>
      <c r="I838" s="140">
        <v>0</v>
      </c>
    </row>
    <row r="839" spans="2:9" x14ac:dyDescent="0.3">
      <c r="B839" t="s">
        <v>3375</v>
      </c>
      <c r="C839" s="261">
        <v>8071770000000</v>
      </c>
      <c r="D839" t="s">
        <v>3376</v>
      </c>
      <c r="E839" s="140">
        <v>0</v>
      </c>
      <c r="F839" s="140">
        <v>0</v>
      </c>
      <c r="G839" s="140">
        <v>0</v>
      </c>
      <c r="H839" s="140">
        <v>0</v>
      </c>
      <c r="I839" s="140">
        <v>0</v>
      </c>
    </row>
    <row r="840" spans="2:9" x14ac:dyDescent="0.3">
      <c r="B840" t="s">
        <v>3377</v>
      </c>
      <c r="C840" s="261">
        <v>29108100000000</v>
      </c>
      <c r="D840" t="s">
        <v>3378</v>
      </c>
      <c r="E840" s="140">
        <v>0</v>
      </c>
      <c r="F840" s="140">
        <v>0</v>
      </c>
      <c r="G840" s="140">
        <v>0</v>
      </c>
      <c r="H840" s="140">
        <v>0</v>
      </c>
      <c r="I840" s="140">
        <v>0</v>
      </c>
    </row>
    <row r="841" spans="2:9" x14ac:dyDescent="0.3">
      <c r="B841" t="s">
        <v>776</v>
      </c>
      <c r="C841" s="261">
        <v>16727400000000</v>
      </c>
      <c r="D841" t="s">
        <v>777</v>
      </c>
      <c r="E841" s="140">
        <v>0</v>
      </c>
      <c r="F841" s="140">
        <v>7</v>
      </c>
      <c r="G841" s="140">
        <v>-9</v>
      </c>
      <c r="H841" s="140">
        <v>-2</v>
      </c>
      <c r="I841" s="140">
        <v>-3</v>
      </c>
    </row>
    <row r="842" spans="2:9" x14ac:dyDescent="0.3">
      <c r="B842" t="s">
        <v>3379</v>
      </c>
      <c r="C842">
        <v>18696859</v>
      </c>
      <c r="D842" t="s">
        <v>3380</v>
      </c>
      <c r="E842" s="140">
        <v>0</v>
      </c>
      <c r="F842" s="140">
        <v>0</v>
      </c>
      <c r="G842" s="140">
        <v>0</v>
      </c>
      <c r="H842" s="140">
        <v>0</v>
      </c>
      <c r="I842" s="140">
        <v>0</v>
      </c>
    </row>
    <row r="843" spans="2:9" x14ac:dyDescent="0.3">
      <c r="B843" t="s">
        <v>3381</v>
      </c>
      <c r="C843">
        <v>21687254</v>
      </c>
      <c r="D843" t="s">
        <v>3382</v>
      </c>
      <c r="E843" s="140">
        <v>0</v>
      </c>
      <c r="F843" s="140">
        <v>0</v>
      </c>
      <c r="G843" s="140">
        <v>0</v>
      </c>
      <c r="H843" s="140">
        <v>0</v>
      </c>
      <c r="I843" s="140">
        <v>0</v>
      </c>
    </row>
    <row r="844" spans="2:9" x14ac:dyDescent="0.3">
      <c r="B844" t="s">
        <v>3383</v>
      </c>
      <c r="C844">
        <v>21456509</v>
      </c>
      <c r="D844" t="s">
        <v>3384</v>
      </c>
      <c r="E844" s="140">
        <v>0</v>
      </c>
      <c r="F844" s="140">
        <v>0</v>
      </c>
      <c r="G844" s="140">
        <v>0</v>
      </c>
      <c r="H844" s="140">
        <v>0</v>
      </c>
      <c r="I844" s="140">
        <v>0</v>
      </c>
    </row>
    <row r="845" spans="2:9" x14ac:dyDescent="0.3">
      <c r="B845" t="s">
        <v>778</v>
      </c>
      <c r="C845">
        <v>3535902</v>
      </c>
      <c r="D845" t="s">
        <v>779</v>
      </c>
      <c r="E845" s="140">
        <v>0</v>
      </c>
      <c r="F845" s="140">
        <v>2</v>
      </c>
      <c r="G845" s="140">
        <v>-2</v>
      </c>
      <c r="H845" s="140">
        <v>0</v>
      </c>
      <c r="I845" s="140">
        <v>0</v>
      </c>
    </row>
    <row r="846" spans="2:9" x14ac:dyDescent="0.3">
      <c r="B846" t="s">
        <v>3385</v>
      </c>
      <c r="C846">
        <v>13403896</v>
      </c>
      <c r="D846" t="s">
        <v>3386</v>
      </c>
      <c r="E846" s="140">
        <v>0</v>
      </c>
      <c r="F846" s="140">
        <v>0</v>
      </c>
      <c r="G846" s="140">
        <v>0</v>
      </c>
      <c r="H846" s="140">
        <v>0</v>
      </c>
      <c r="I846" s="140">
        <v>0</v>
      </c>
    </row>
    <row r="847" spans="2:9" x14ac:dyDescent="0.3">
      <c r="B847" t="s">
        <v>3387</v>
      </c>
      <c r="C847">
        <v>18324158</v>
      </c>
      <c r="D847" t="s">
        <v>3388</v>
      </c>
      <c r="E847" s="140">
        <v>0</v>
      </c>
      <c r="F847" s="140">
        <v>0</v>
      </c>
      <c r="G847" s="140">
        <v>0</v>
      </c>
      <c r="H847" s="140">
        <v>0</v>
      </c>
      <c r="I847" s="140">
        <v>0</v>
      </c>
    </row>
    <row r="848" spans="2:9" x14ac:dyDescent="0.3">
      <c r="B848" t="s">
        <v>3389</v>
      </c>
      <c r="C848">
        <v>1337552</v>
      </c>
      <c r="D848" t="s">
        <v>3390</v>
      </c>
      <c r="E848" s="140">
        <v>0</v>
      </c>
      <c r="F848" s="140">
        <v>0</v>
      </c>
      <c r="G848" s="140">
        <v>0</v>
      </c>
      <c r="H848" s="140">
        <v>0</v>
      </c>
      <c r="I848" s="140">
        <v>0</v>
      </c>
    </row>
    <row r="849" spans="2:9" x14ac:dyDescent="0.3">
      <c r="B849" t="s">
        <v>3391</v>
      </c>
      <c r="C849" s="261">
        <v>7777720000000</v>
      </c>
      <c r="D849" t="s">
        <v>3392</v>
      </c>
      <c r="E849" s="140">
        <v>0</v>
      </c>
      <c r="F849" s="140">
        <v>0</v>
      </c>
      <c r="G849" s="140">
        <v>0</v>
      </c>
      <c r="H849" s="140">
        <v>0</v>
      </c>
      <c r="I849" s="140">
        <v>0</v>
      </c>
    </row>
    <row r="850" spans="2:9" x14ac:dyDescent="0.3">
      <c r="B850" t="s">
        <v>3393</v>
      </c>
      <c r="C850" s="261">
        <v>5794830000000</v>
      </c>
      <c r="D850" t="s">
        <v>3394</v>
      </c>
      <c r="E850" s="140">
        <v>0</v>
      </c>
      <c r="F850" s="140">
        <v>0</v>
      </c>
      <c r="G850" s="140">
        <v>0</v>
      </c>
      <c r="H850" s="140">
        <v>0</v>
      </c>
      <c r="I850" s="140">
        <v>0</v>
      </c>
    </row>
    <row r="851" spans="2:9" x14ac:dyDescent="0.3">
      <c r="B851" t="s">
        <v>3395</v>
      </c>
      <c r="C851" s="261">
        <v>5512470000000</v>
      </c>
      <c r="D851" t="s">
        <v>3396</v>
      </c>
      <c r="E851" s="140">
        <v>0</v>
      </c>
      <c r="F851" s="140">
        <v>0</v>
      </c>
      <c r="G851" s="140">
        <v>0</v>
      </c>
      <c r="H851" s="140">
        <v>0</v>
      </c>
      <c r="I851" s="140">
        <v>0</v>
      </c>
    </row>
    <row r="852" spans="2:9" x14ac:dyDescent="0.3">
      <c r="B852" t="s">
        <v>3397</v>
      </c>
      <c r="C852" s="261">
        <v>9398230000000</v>
      </c>
      <c r="D852" t="s">
        <v>3398</v>
      </c>
      <c r="E852" s="140">
        <v>0</v>
      </c>
      <c r="F852" s="140">
        <v>0</v>
      </c>
      <c r="G852" s="140">
        <v>0</v>
      </c>
      <c r="H852" s="140">
        <v>0</v>
      </c>
      <c r="I852" s="140">
        <v>0</v>
      </c>
    </row>
    <row r="853" spans="2:9" x14ac:dyDescent="0.3">
      <c r="B853" t="s">
        <v>3399</v>
      </c>
      <c r="C853" s="261">
        <v>9676510000000</v>
      </c>
      <c r="D853" t="s">
        <v>3400</v>
      </c>
      <c r="E853" s="140">
        <v>0</v>
      </c>
      <c r="F853" s="140">
        <v>0</v>
      </c>
      <c r="G853" s="140">
        <v>0</v>
      </c>
      <c r="H853" s="140">
        <v>0</v>
      </c>
      <c r="I853" s="140">
        <v>0</v>
      </c>
    </row>
    <row r="854" spans="2:9" x14ac:dyDescent="0.3">
      <c r="B854" t="s">
        <v>3401</v>
      </c>
      <c r="C854" s="261">
        <v>14783400000000</v>
      </c>
      <c r="D854" t="s">
        <v>3402</v>
      </c>
      <c r="E854" s="140">
        <v>0</v>
      </c>
      <c r="F854" s="140">
        <v>0</v>
      </c>
      <c r="G854" s="140">
        <v>0</v>
      </c>
      <c r="H854" s="140">
        <v>0</v>
      </c>
      <c r="I854" s="140">
        <v>0</v>
      </c>
    </row>
    <row r="855" spans="2:9" x14ac:dyDescent="0.3">
      <c r="B855" t="s">
        <v>3403</v>
      </c>
      <c r="C855" s="261">
        <v>1001720000000</v>
      </c>
      <c r="D855" t="s">
        <v>3404</v>
      </c>
      <c r="E855" s="140">
        <v>0</v>
      </c>
      <c r="F855" s="140">
        <v>0</v>
      </c>
      <c r="G855" s="140">
        <v>0</v>
      </c>
      <c r="H855" s="140">
        <v>0</v>
      </c>
      <c r="I855" s="140">
        <v>0</v>
      </c>
    </row>
    <row r="856" spans="2:9" x14ac:dyDescent="0.3">
      <c r="B856" t="s">
        <v>3405</v>
      </c>
      <c r="C856" s="261">
        <v>854137000000</v>
      </c>
      <c r="D856" t="s">
        <v>3406</v>
      </c>
      <c r="E856" s="140">
        <v>0</v>
      </c>
      <c r="F856" s="140">
        <v>0</v>
      </c>
      <c r="G856" s="140">
        <v>0</v>
      </c>
      <c r="H856" s="140">
        <v>0</v>
      </c>
      <c r="I856" s="140">
        <v>0</v>
      </c>
    </row>
    <row r="857" spans="2:9" x14ac:dyDescent="0.3">
      <c r="B857" t="s">
        <v>3407</v>
      </c>
      <c r="C857" s="261">
        <v>2799290000000</v>
      </c>
      <c r="D857" t="s">
        <v>3408</v>
      </c>
      <c r="E857" s="140">
        <v>0</v>
      </c>
      <c r="F857" s="140">
        <v>0</v>
      </c>
      <c r="G857" s="140">
        <v>0</v>
      </c>
      <c r="H857" s="140">
        <v>0</v>
      </c>
      <c r="I857" s="140">
        <v>0</v>
      </c>
    </row>
    <row r="858" spans="2:9" x14ac:dyDescent="0.3">
      <c r="B858" t="s">
        <v>780</v>
      </c>
      <c r="C858" s="261">
        <v>5555380000000</v>
      </c>
      <c r="D858" t="s">
        <v>146</v>
      </c>
      <c r="E858" s="140">
        <v>0</v>
      </c>
      <c r="F858" s="140">
        <v>0</v>
      </c>
      <c r="G858" s="140">
        <v>0</v>
      </c>
      <c r="H858" s="140">
        <v>0</v>
      </c>
      <c r="I858" s="140">
        <v>0</v>
      </c>
    </row>
    <row r="859" spans="2:9" x14ac:dyDescent="0.3">
      <c r="B859" t="s">
        <v>3409</v>
      </c>
      <c r="C859" s="261">
        <v>6166650000000</v>
      </c>
      <c r="D859" t="s">
        <v>3410</v>
      </c>
      <c r="E859" s="140">
        <v>0</v>
      </c>
      <c r="F859" s="140">
        <v>0</v>
      </c>
      <c r="G859" s="140">
        <v>0</v>
      </c>
      <c r="H859" s="140">
        <v>0</v>
      </c>
      <c r="I859" s="140">
        <v>0</v>
      </c>
    </row>
    <row r="860" spans="2:9" x14ac:dyDescent="0.3">
      <c r="B860" t="s">
        <v>3411</v>
      </c>
      <c r="C860" s="261">
        <v>51109100000000</v>
      </c>
      <c r="D860" t="s">
        <v>3412</v>
      </c>
      <c r="E860" s="140">
        <v>0</v>
      </c>
      <c r="F860" s="140">
        <v>0</v>
      </c>
      <c r="G860" s="140">
        <v>0</v>
      </c>
      <c r="H860" s="140">
        <v>0</v>
      </c>
      <c r="I860" s="140">
        <v>0</v>
      </c>
    </row>
    <row r="861" spans="2:9" x14ac:dyDescent="0.3">
      <c r="B861" t="s">
        <v>3413</v>
      </c>
      <c r="C861" s="261">
        <v>8518870000000</v>
      </c>
      <c r="D861" t="s">
        <v>3414</v>
      </c>
      <c r="E861" s="140">
        <v>0</v>
      </c>
      <c r="F861" s="140">
        <v>0</v>
      </c>
      <c r="G861" s="140">
        <v>0</v>
      </c>
      <c r="H861" s="140">
        <v>0</v>
      </c>
      <c r="I861" s="140">
        <v>0</v>
      </c>
    </row>
    <row r="862" spans="2:9" x14ac:dyDescent="0.3">
      <c r="B862" t="s">
        <v>3415</v>
      </c>
      <c r="C862" s="261">
        <v>14885800000000</v>
      </c>
      <c r="D862" t="s">
        <v>3416</v>
      </c>
      <c r="E862" s="140">
        <v>0</v>
      </c>
      <c r="F862" s="140">
        <v>0</v>
      </c>
      <c r="G862" s="140">
        <v>0</v>
      </c>
      <c r="H862" s="140">
        <v>0</v>
      </c>
      <c r="I862" s="140">
        <v>0</v>
      </c>
    </row>
    <row r="863" spans="2:9" x14ac:dyDescent="0.3">
      <c r="B863" t="s">
        <v>3417</v>
      </c>
      <c r="C863" s="261">
        <v>2922870000000</v>
      </c>
      <c r="D863" t="s">
        <v>3418</v>
      </c>
      <c r="E863" s="140">
        <v>0</v>
      </c>
      <c r="F863" s="140">
        <v>0</v>
      </c>
      <c r="G863" s="140">
        <v>0</v>
      </c>
      <c r="H863" s="140">
        <v>0</v>
      </c>
      <c r="I863" s="140">
        <v>0</v>
      </c>
    </row>
    <row r="864" spans="2:9" x14ac:dyDescent="0.3">
      <c r="B864" t="s">
        <v>3419</v>
      </c>
      <c r="C864" s="261">
        <v>12538000000000</v>
      </c>
      <c r="D864" t="s">
        <v>3420</v>
      </c>
      <c r="E864" s="140">
        <v>0</v>
      </c>
      <c r="F864" s="140">
        <v>0</v>
      </c>
      <c r="G864" s="140">
        <v>0</v>
      </c>
      <c r="H864" s="140">
        <v>0</v>
      </c>
      <c r="I864" s="140">
        <v>0</v>
      </c>
    </row>
    <row r="865" spans="2:9" x14ac:dyDescent="0.3">
      <c r="B865" t="s">
        <v>3421</v>
      </c>
      <c r="C865" s="261">
        <v>4001950000000</v>
      </c>
      <c r="D865" t="s">
        <v>3422</v>
      </c>
      <c r="E865" s="140">
        <v>0</v>
      </c>
      <c r="F865" s="140">
        <v>0</v>
      </c>
      <c r="G865" s="140">
        <v>0</v>
      </c>
      <c r="H865" s="140">
        <v>0</v>
      </c>
      <c r="I865" s="140">
        <v>0</v>
      </c>
    </row>
    <row r="866" spans="2:9" x14ac:dyDescent="0.3">
      <c r="B866" t="s">
        <v>3423</v>
      </c>
      <c r="C866" s="261">
        <v>22939900000000</v>
      </c>
      <c r="D866" t="s">
        <v>3424</v>
      </c>
      <c r="E866" s="140">
        <v>0</v>
      </c>
      <c r="F866" s="140">
        <v>0</v>
      </c>
      <c r="G866" s="140">
        <v>0</v>
      </c>
      <c r="H866" s="140">
        <v>0</v>
      </c>
      <c r="I866" s="140">
        <v>0</v>
      </c>
    </row>
    <row r="867" spans="2:9" x14ac:dyDescent="0.3">
      <c r="B867" t="s">
        <v>3425</v>
      </c>
      <c r="C867" s="261">
        <v>10378800000000</v>
      </c>
      <c r="D867" t="s">
        <v>3426</v>
      </c>
      <c r="E867" s="140">
        <v>0</v>
      </c>
      <c r="F867" s="140">
        <v>0</v>
      </c>
      <c r="G867" s="140">
        <v>0</v>
      </c>
      <c r="H867" s="140">
        <v>0</v>
      </c>
      <c r="I867" s="140">
        <v>0</v>
      </c>
    </row>
    <row r="868" spans="2:9" x14ac:dyDescent="0.3">
      <c r="B868" t="s">
        <v>3427</v>
      </c>
      <c r="C868" s="261">
        <v>875135000000</v>
      </c>
      <c r="D868" t="s">
        <v>3428</v>
      </c>
      <c r="E868" s="140">
        <v>0</v>
      </c>
      <c r="F868" s="140">
        <v>0</v>
      </c>
      <c r="G868" s="140">
        <v>0</v>
      </c>
      <c r="H868" s="140">
        <v>0</v>
      </c>
      <c r="I868" s="140">
        <v>0</v>
      </c>
    </row>
    <row r="869" spans="2:9" x14ac:dyDescent="0.3">
      <c r="B869" t="s">
        <v>3429</v>
      </c>
      <c r="C869" s="261">
        <v>7491340000000</v>
      </c>
      <c r="D869" t="s">
        <v>3430</v>
      </c>
      <c r="E869" s="140">
        <v>0</v>
      </c>
      <c r="F869" s="140">
        <v>0</v>
      </c>
      <c r="G869" s="140">
        <v>0</v>
      </c>
      <c r="H869" s="140">
        <v>0</v>
      </c>
      <c r="I869" s="140">
        <v>0</v>
      </c>
    </row>
    <row r="870" spans="2:9" x14ac:dyDescent="0.3">
      <c r="B870" t="s">
        <v>3431</v>
      </c>
      <c r="C870" s="261">
        <v>4298310000000</v>
      </c>
      <c r="D870" t="s">
        <v>3432</v>
      </c>
      <c r="E870" s="140">
        <v>0</v>
      </c>
      <c r="F870" s="140">
        <v>0</v>
      </c>
      <c r="G870" s="140">
        <v>0</v>
      </c>
      <c r="H870" s="140">
        <v>0</v>
      </c>
      <c r="I870" s="140">
        <v>0</v>
      </c>
    </row>
    <row r="871" spans="2:9" x14ac:dyDescent="0.3">
      <c r="B871" t="s">
        <v>3433</v>
      </c>
      <c r="C871" s="261">
        <v>12482800000000</v>
      </c>
      <c r="D871" t="s">
        <v>3434</v>
      </c>
      <c r="E871" s="140">
        <v>0</v>
      </c>
      <c r="F871" s="140">
        <v>0</v>
      </c>
      <c r="G871" s="140">
        <v>0</v>
      </c>
      <c r="H871" s="140">
        <v>0</v>
      </c>
      <c r="I871" s="140">
        <v>0</v>
      </c>
    </row>
    <row r="872" spans="2:9" x14ac:dyDescent="0.3">
      <c r="B872" t="s">
        <v>1647</v>
      </c>
      <c r="C872" s="261">
        <v>26464900000000</v>
      </c>
      <c r="D872" t="s">
        <v>1648</v>
      </c>
      <c r="E872" s="140">
        <v>0</v>
      </c>
      <c r="F872" s="140">
        <v>0</v>
      </c>
      <c r="G872" s="140">
        <v>0</v>
      </c>
      <c r="H872" s="140">
        <v>0</v>
      </c>
      <c r="I872" s="140">
        <v>0</v>
      </c>
    </row>
    <row r="873" spans="2:9" x14ac:dyDescent="0.3">
      <c r="B873" t="s">
        <v>781</v>
      </c>
      <c r="C873" s="261">
        <v>18522900000000</v>
      </c>
      <c r="D873" t="s">
        <v>147</v>
      </c>
      <c r="E873" s="140">
        <v>0</v>
      </c>
      <c r="F873" s="140">
        <v>0</v>
      </c>
      <c r="G873" s="140">
        <v>0</v>
      </c>
      <c r="H873" s="140">
        <v>0</v>
      </c>
      <c r="I873" s="140">
        <v>0</v>
      </c>
    </row>
    <row r="874" spans="2:9" x14ac:dyDescent="0.3">
      <c r="B874" t="s">
        <v>3435</v>
      </c>
      <c r="C874" s="261">
        <v>14129100000000</v>
      </c>
      <c r="D874" t="s">
        <v>3436</v>
      </c>
      <c r="E874" s="140">
        <v>0</v>
      </c>
      <c r="F874" s="140">
        <v>0</v>
      </c>
      <c r="G874" s="140">
        <v>0</v>
      </c>
      <c r="H874" s="140">
        <v>0</v>
      </c>
      <c r="I874" s="140">
        <v>0</v>
      </c>
    </row>
    <row r="875" spans="2:9" x14ac:dyDescent="0.3">
      <c r="B875" t="s">
        <v>3437</v>
      </c>
      <c r="C875" s="261">
        <v>82581400000000</v>
      </c>
      <c r="D875" t="s">
        <v>3438</v>
      </c>
      <c r="E875" s="140">
        <v>0</v>
      </c>
      <c r="F875" s="140">
        <v>0</v>
      </c>
      <c r="G875" s="140">
        <v>0</v>
      </c>
      <c r="H875" s="140">
        <v>0</v>
      </c>
      <c r="I875" s="140">
        <v>0</v>
      </c>
    </row>
    <row r="876" spans="2:9" x14ac:dyDescent="0.3">
      <c r="B876" t="s">
        <v>782</v>
      </c>
      <c r="C876">
        <v>3200400001</v>
      </c>
      <c r="D876" t="s">
        <v>783</v>
      </c>
      <c r="E876" s="140">
        <v>-2</v>
      </c>
      <c r="F876" s="140">
        <v>0</v>
      </c>
      <c r="G876" s="140">
        <v>0</v>
      </c>
      <c r="H876" s="140">
        <v>0</v>
      </c>
      <c r="I876" s="140">
        <v>-2</v>
      </c>
    </row>
    <row r="877" spans="2:9" x14ac:dyDescent="0.3">
      <c r="B877" t="s">
        <v>3439</v>
      </c>
      <c r="C877" s="261">
        <v>11543300000000</v>
      </c>
      <c r="D877" t="s">
        <v>3440</v>
      </c>
      <c r="E877" s="140">
        <v>0</v>
      </c>
      <c r="F877" s="140">
        <v>0</v>
      </c>
      <c r="G877" s="140">
        <v>0</v>
      </c>
      <c r="H877" s="140">
        <v>0</v>
      </c>
      <c r="I877" s="140">
        <v>0</v>
      </c>
    </row>
    <row r="878" spans="2:9" x14ac:dyDescent="0.3">
      <c r="B878" t="s">
        <v>3441</v>
      </c>
      <c r="C878" s="261">
        <v>8582480000000</v>
      </c>
      <c r="D878" t="s">
        <v>3442</v>
      </c>
      <c r="E878" s="140">
        <v>0</v>
      </c>
      <c r="F878" s="140">
        <v>0</v>
      </c>
      <c r="G878" s="140">
        <v>0</v>
      </c>
      <c r="H878" s="140">
        <v>0</v>
      </c>
      <c r="I878" s="140">
        <v>0</v>
      </c>
    </row>
    <row r="879" spans="2:9" x14ac:dyDescent="0.3">
      <c r="B879" t="s">
        <v>3443</v>
      </c>
      <c r="C879" s="261">
        <v>8254940000000</v>
      </c>
      <c r="D879" t="s">
        <v>3444</v>
      </c>
      <c r="E879" s="140">
        <v>0</v>
      </c>
      <c r="F879" s="140">
        <v>0</v>
      </c>
      <c r="G879" s="140">
        <v>0</v>
      </c>
      <c r="H879" s="140">
        <v>0</v>
      </c>
      <c r="I879" s="140">
        <v>0</v>
      </c>
    </row>
    <row r="880" spans="2:9" x14ac:dyDescent="0.3">
      <c r="B880" t="s">
        <v>784</v>
      </c>
      <c r="C880" s="261">
        <v>19268300000000</v>
      </c>
      <c r="D880" t="s">
        <v>785</v>
      </c>
      <c r="E880" s="140">
        <v>0</v>
      </c>
      <c r="F880" s="140">
        <v>0</v>
      </c>
      <c r="G880" s="140">
        <v>0</v>
      </c>
      <c r="H880" s="140">
        <v>0</v>
      </c>
      <c r="I880" s="140">
        <v>0</v>
      </c>
    </row>
    <row r="881" spans="2:9" x14ac:dyDescent="0.3">
      <c r="B881" t="s">
        <v>3445</v>
      </c>
      <c r="C881" s="261">
        <v>2402500000000</v>
      </c>
      <c r="D881" t="s">
        <v>3446</v>
      </c>
      <c r="E881" s="140">
        <v>0</v>
      </c>
      <c r="F881" s="140">
        <v>0</v>
      </c>
      <c r="G881" s="140">
        <v>0</v>
      </c>
      <c r="H881" s="140">
        <v>0</v>
      </c>
      <c r="I881" s="140">
        <v>0</v>
      </c>
    </row>
    <row r="882" spans="2:9" x14ac:dyDescent="0.3">
      <c r="B882" t="s">
        <v>3447</v>
      </c>
      <c r="C882" s="261">
        <v>12270600000000</v>
      </c>
      <c r="D882" t="s">
        <v>3448</v>
      </c>
      <c r="E882" s="140">
        <v>0</v>
      </c>
      <c r="F882" s="140">
        <v>0</v>
      </c>
      <c r="G882" s="140">
        <v>0</v>
      </c>
      <c r="H882" s="140">
        <v>0</v>
      </c>
      <c r="I882" s="140">
        <v>0</v>
      </c>
    </row>
    <row r="883" spans="2:9" x14ac:dyDescent="0.3">
      <c r="B883" t="s">
        <v>3449</v>
      </c>
      <c r="C883" s="261">
        <v>1437170000000</v>
      </c>
      <c r="D883" t="s">
        <v>3450</v>
      </c>
      <c r="E883" s="140">
        <v>0</v>
      </c>
      <c r="F883" s="140">
        <v>0</v>
      </c>
      <c r="G883" s="140">
        <v>0</v>
      </c>
      <c r="H883" s="140">
        <v>0</v>
      </c>
      <c r="I883" s="140">
        <v>0</v>
      </c>
    </row>
    <row r="884" spans="2:9" x14ac:dyDescent="0.3">
      <c r="B884" t="s">
        <v>3451</v>
      </c>
      <c r="C884" s="261">
        <v>22233600000000</v>
      </c>
      <c r="D884" t="s">
        <v>3452</v>
      </c>
      <c r="E884" s="140">
        <v>0</v>
      </c>
      <c r="F884" s="140">
        <v>0</v>
      </c>
      <c r="G884" s="140">
        <v>0</v>
      </c>
      <c r="H884" s="140">
        <v>0</v>
      </c>
      <c r="I884" s="140">
        <v>0</v>
      </c>
    </row>
    <row r="885" spans="2:9" x14ac:dyDescent="0.3">
      <c r="B885" t="s">
        <v>3453</v>
      </c>
      <c r="C885" s="261">
        <v>307049000000</v>
      </c>
      <c r="D885" t="s">
        <v>3454</v>
      </c>
      <c r="E885" s="140">
        <v>0</v>
      </c>
      <c r="F885" s="140">
        <v>0</v>
      </c>
      <c r="G885" s="140">
        <v>0</v>
      </c>
      <c r="H885" s="140">
        <v>0</v>
      </c>
      <c r="I885" s="140">
        <v>0</v>
      </c>
    </row>
    <row r="886" spans="2:9" x14ac:dyDescent="0.3">
      <c r="B886" t="s">
        <v>3455</v>
      </c>
      <c r="C886" s="261">
        <v>6942470000000</v>
      </c>
      <c r="D886" t="s">
        <v>3456</v>
      </c>
      <c r="E886" s="140">
        <v>0</v>
      </c>
      <c r="F886" s="140">
        <v>0</v>
      </c>
      <c r="G886" s="140">
        <v>0</v>
      </c>
      <c r="H886" s="140">
        <v>0</v>
      </c>
      <c r="I886" s="140">
        <v>0</v>
      </c>
    </row>
    <row r="887" spans="2:9" x14ac:dyDescent="0.3">
      <c r="B887" t="s">
        <v>3457</v>
      </c>
      <c r="C887">
        <v>2114694</v>
      </c>
      <c r="D887" t="s">
        <v>3458</v>
      </c>
      <c r="E887" s="140">
        <v>0</v>
      </c>
      <c r="F887" s="140">
        <v>0</v>
      </c>
      <c r="G887" s="140">
        <v>0</v>
      </c>
      <c r="H887" s="140">
        <v>0</v>
      </c>
      <c r="I887" s="140">
        <v>0</v>
      </c>
    </row>
    <row r="888" spans="2:9" x14ac:dyDescent="0.3">
      <c r="B888" t="s">
        <v>3459</v>
      </c>
      <c r="C888" s="261">
        <v>81708500000000</v>
      </c>
      <c r="D888" t="s">
        <v>3460</v>
      </c>
      <c r="E888" s="140">
        <v>0</v>
      </c>
      <c r="F888" s="140">
        <v>0</v>
      </c>
      <c r="G888" s="140">
        <v>0</v>
      </c>
      <c r="H888" s="140">
        <v>0</v>
      </c>
      <c r="I888" s="140">
        <v>0</v>
      </c>
    </row>
    <row r="889" spans="2:9" x14ac:dyDescent="0.3">
      <c r="B889" t="s">
        <v>3461</v>
      </c>
      <c r="C889" s="261">
        <v>35794100000000</v>
      </c>
      <c r="D889" t="s">
        <v>3462</v>
      </c>
      <c r="E889" s="140">
        <v>0</v>
      </c>
      <c r="F889" s="140">
        <v>0</v>
      </c>
      <c r="G889" s="140">
        <v>0</v>
      </c>
      <c r="H889" s="140">
        <v>0</v>
      </c>
      <c r="I889" s="140">
        <v>0</v>
      </c>
    </row>
    <row r="890" spans="2:9" x14ac:dyDescent="0.3">
      <c r="B890" t="s">
        <v>3463</v>
      </c>
      <c r="C890" s="261">
        <v>24695900000000</v>
      </c>
      <c r="D890" t="s">
        <v>3464</v>
      </c>
      <c r="E890" s="140">
        <v>0</v>
      </c>
      <c r="F890" s="140">
        <v>0</v>
      </c>
      <c r="G890" s="140">
        <v>0</v>
      </c>
      <c r="H890" s="140">
        <v>0</v>
      </c>
      <c r="I890" s="140">
        <v>0</v>
      </c>
    </row>
    <row r="891" spans="2:9" x14ac:dyDescent="0.3">
      <c r="B891" t="s">
        <v>3465</v>
      </c>
      <c r="C891" s="261">
        <v>8432360000000</v>
      </c>
      <c r="D891" t="s">
        <v>3466</v>
      </c>
      <c r="E891" s="140">
        <v>0</v>
      </c>
      <c r="F891" s="140">
        <v>0</v>
      </c>
      <c r="G891" s="140">
        <v>0</v>
      </c>
      <c r="H891" s="140">
        <v>0</v>
      </c>
      <c r="I891" s="140">
        <v>0</v>
      </c>
    </row>
    <row r="892" spans="2:9" x14ac:dyDescent="0.3">
      <c r="B892" t="s">
        <v>3467</v>
      </c>
      <c r="C892" s="261">
        <v>14337000000000</v>
      </c>
      <c r="D892" t="s">
        <v>3468</v>
      </c>
      <c r="E892" s="140">
        <v>0</v>
      </c>
      <c r="F892" s="140">
        <v>0</v>
      </c>
      <c r="G892" s="140">
        <v>0</v>
      </c>
      <c r="H892" s="140">
        <v>0</v>
      </c>
      <c r="I892" s="140">
        <v>0</v>
      </c>
    </row>
    <row r="893" spans="2:9" x14ac:dyDescent="0.3">
      <c r="B893" t="s">
        <v>3469</v>
      </c>
      <c r="C893" s="261">
        <v>32039900000000</v>
      </c>
      <c r="D893" t="s">
        <v>3470</v>
      </c>
      <c r="E893" s="140">
        <v>0</v>
      </c>
      <c r="F893" s="140">
        <v>0</v>
      </c>
      <c r="G893" s="140">
        <v>0</v>
      </c>
      <c r="H893" s="140">
        <v>0</v>
      </c>
      <c r="I893" s="140">
        <v>0</v>
      </c>
    </row>
    <row r="894" spans="2:9" x14ac:dyDescent="0.3">
      <c r="B894" t="s">
        <v>3471</v>
      </c>
      <c r="C894" s="261">
        <v>8022650000000</v>
      </c>
      <c r="D894" t="s">
        <v>3472</v>
      </c>
      <c r="E894" s="140">
        <v>0</v>
      </c>
      <c r="F894" s="140">
        <v>0</v>
      </c>
      <c r="G894" s="140">
        <v>0</v>
      </c>
      <c r="H894" s="140">
        <v>0</v>
      </c>
      <c r="I894" s="140">
        <v>0</v>
      </c>
    </row>
    <row r="895" spans="2:9" x14ac:dyDescent="0.3">
      <c r="B895" t="s">
        <v>3473</v>
      </c>
      <c r="C895" s="261">
        <v>13918900000000</v>
      </c>
      <c r="D895" t="s">
        <v>3474</v>
      </c>
      <c r="E895" s="140">
        <v>0</v>
      </c>
      <c r="F895" s="140">
        <v>0</v>
      </c>
      <c r="G895" s="140">
        <v>0</v>
      </c>
      <c r="H895" s="140">
        <v>0</v>
      </c>
      <c r="I895" s="140">
        <v>0</v>
      </c>
    </row>
    <row r="896" spans="2:9" x14ac:dyDescent="0.3">
      <c r="B896" t="s">
        <v>786</v>
      </c>
      <c r="C896" s="261">
        <v>67632200000000</v>
      </c>
      <c r="D896" t="s">
        <v>787</v>
      </c>
      <c r="E896" s="140">
        <v>0</v>
      </c>
      <c r="F896" s="140">
        <v>854</v>
      </c>
      <c r="G896" s="140">
        <v>-854</v>
      </c>
      <c r="H896" s="140">
        <v>0</v>
      </c>
      <c r="I896" s="140">
        <v>0</v>
      </c>
    </row>
    <row r="897" spans="2:9" x14ac:dyDescent="0.3">
      <c r="B897" t="s">
        <v>788</v>
      </c>
      <c r="C897" s="261">
        <v>5761750000000</v>
      </c>
      <c r="D897" t="s">
        <v>789</v>
      </c>
      <c r="E897" s="140">
        <v>0</v>
      </c>
      <c r="F897" s="140">
        <v>979</v>
      </c>
      <c r="G897" s="140">
        <v>-979</v>
      </c>
      <c r="H897" s="140">
        <v>0</v>
      </c>
      <c r="I897" s="140">
        <v>0</v>
      </c>
    </row>
    <row r="898" spans="2:9" x14ac:dyDescent="0.3">
      <c r="B898" t="s">
        <v>3475</v>
      </c>
      <c r="C898" s="261">
        <v>24120200000000</v>
      </c>
      <c r="D898" t="s">
        <v>3476</v>
      </c>
      <c r="E898" s="140">
        <v>0</v>
      </c>
      <c r="F898" s="140">
        <v>0</v>
      </c>
      <c r="G898" s="140">
        <v>0</v>
      </c>
      <c r="H898" s="140">
        <v>0</v>
      </c>
      <c r="I898" s="140">
        <v>0</v>
      </c>
    </row>
    <row r="899" spans="2:9" x14ac:dyDescent="0.3">
      <c r="B899" t="s">
        <v>3477</v>
      </c>
      <c r="C899" s="261">
        <v>28101400000000</v>
      </c>
      <c r="D899" t="s">
        <v>3478</v>
      </c>
      <c r="E899" s="140">
        <v>0</v>
      </c>
      <c r="F899" s="140">
        <v>0</v>
      </c>
      <c r="G899" s="140">
        <v>0</v>
      </c>
      <c r="H899" s="140">
        <v>0</v>
      </c>
      <c r="I899" s="140">
        <v>0</v>
      </c>
    </row>
    <row r="900" spans="2:9" x14ac:dyDescent="0.3">
      <c r="B900" t="s">
        <v>3479</v>
      </c>
      <c r="C900" s="261">
        <v>27869100000000</v>
      </c>
      <c r="D900" t="s">
        <v>3480</v>
      </c>
      <c r="E900" s="140">
        <v>0</v>
      </c>
      <c r="F900" s="140">
        <v>0</v>
      </c>
      <c r="G900" s="140">
        <v>0</v>
      </c>
      <c r="H900" s="140">
        <v>0</v>
      </c>
      <c r="I900" s="140">
        <v>0</v>
      </c>
    </row>
    <row r="901" spans="2:9" x14ac:dyDescent="0.3">
      <c r="B901" t="s">
        <v>3481</v>
      </c>
      <c r="C901" t="s">
        <v>3482</v>
      </c>
      <c r="D901" t="s">
        <v>3483</v>
      </c>
      <c r="E901" s="140">
        <v>0</v>
      </c>
      <c r="F901" s="140">
        <v>0</v>
      </c>
      <c r="G901" s="140">
        <v>0</v>
      </c>
      <c r="H901" s="140">
        <v>0</v>
      </c>
      <c r="I901" s="140">
        <v>0</v>
      </c>
    </row>
    <row r="902" spans="2:9" x14ac:dyDescent="0.3">
      <c r="B902" t="s">
        <v>3484</v>
      </c>
      <c r="C902" s="261">
        <v>10742600000000</v>
      </c>
      <c r="D902" t="s">
        <v>3485</v>
      </c>
      <c r="E902" s="140">
        <v>0</v>
      </c>
      <c r="F902" s="140">
        <v>0</v>
      </c>
      <c r="G902" s="140">
        <v>0</v>
      </c>
      <c r="H902" s="140">
        <v>0</v>
      </c>
      <c r="I902" s="140">
        <v>0</v>
      </c>
    </row>
    <row r="903" spans="2:9" x14ac:dyDescent="0.3">
      <c r="B903" t="s">
        <v>3486</v>
      </c>
      <c r="C903" s="261">
        <v>30024600000000</v>
      </c>
      <c r="D903" t="s">
        <v>3487</v>
      </c>
      <c r="E903" s="140">
        <v>0</v>
      </c>
      <c r="F903" s="140">
        <v>0</v>
      </c>
      <c r="G903" s="140">
        <v>0</v>
      </c>
      <c r="H903" s="140">
        <v>0</v>
      </c>
      <c r="I903" s="140">
        <v>0</v>
      </c>
    </row>
    <row r="904" spans="2:9" x14ac:dyDescent="0.3">
      <c r="B904" t="s">
        <v>3488</v>
      </c>
      <c r="C904" s="261">
        <v>30735800000000</v>
      </c>
      <c r="D904" t="s">
        <v>3489</v>
      </c>
      <c r="E904" s="140">
        <v>0</v>
      </c>
      <c r="F904" s="140">
        <v>0</v>
      </c>
      <c r="G904" s="140">
        <v>0</v>
      </c>
      <c r="H904" s="140">
        <v>0</v>
      </c>
      <c r="I904" s="140">
        <v>0</v>
      </c>
    </row>
    <row r="905" spans="2:9" x14ac:dyDescent="0.3">
      <c r="B905" t="s">
        <v>3490</v>
      </c>
      <c r="C905" s="261">
        <v>2247350000000</v>
      </c>
      <c r="D905" t="s">
        <v>3491</v>
      </c>
      <c r="E905" s="140">
        <v>0</v>
      </c>
      <c r="F905" s="140">
        <v>0</v>
      </c>
      <c r="G905" s="140">
        <v>0</v>
      </c>
      <c r="H905" s="140">
        <v>0</v>
      </c>
      <c r="I905" s="140">
        <v>0</v>
      </c>
    </row>
    <row r="906" spans="2:9" x14ac:dyDescent="0.3">
      <c r="B906" t="s">
        <v>3492</v>
      </c>
      <c r="C906" s="261">
        <v>3557000000000</v>
      </c>
      <c r="D906" t="s">
        <v>3493</v>
      </c>
      <c r="E906" s="140">
        <v>0</v>
      </c>
      <c r="F906" s="140">
        <v>0</v>
      </c>
      <c r="G906" s="140">
        <v>0</v>
      </c>
      <c r="H906" s="140">
        <v>0</v>
      </c>
      <c r="I906" s="140">
        <v>0</v>
      </c>
    </row>
    <row r="907" spans="2:9" x14ac:dyDescent="0.3">
      <c r="B907" t="s">
        <v>3494</v>
      </c>
      <c r="C907" s="261">
        <v>23327400000000</v>
      </c>
      <c r="D907" t="s">
        <v>3495</v>
      </c>
      <c r="E907" s="140">
        <v>0</v>
      </c>
      <c r="F907" s="140">
        <v>0</v>
      </c>
      <c r="G907" s="140">
        <v>0</v>
      </c>
      <c r="H907" s="140">
        <v>0</v>
      </c>
      <c r="I907" s="140">
        <v>0</v>
      </c>
    </row>
    <row r="908" spans="2:9" x14ac:dyDescent="0.3">
      <c r="B908" t="s">
        <v>3496</v>
      </c>
      <c r="C908" s="261">
        <v>20593800000000</v>
      </c>
      <c r="D908" t="s">
        <v>3497</v>
      </c>
      <c r="E908" s="140">
        <v>0</v>
      </c>
      <c r="F908" s="140">
        <v>0</v>
      </c>
      <c r="G908" s="140">
        <v>0</v>
      </c>
      <c r="H908" s="140">
        <v>0</v>
      </c>
      <c r="I908" s="140">
        <v>0</v>
      </c>
    </row>
    <row r="909" spans="2:9" x14ac:dyDescent="0.3">
      <c r="B909" t="s">
        <v>3498</v>
      </c>
      <c r="C909" s="261">
        <v>14683200000000</v>
      </c>
      <c r="D909" t="s">
        <v>3499</v>
      </c>
      <c r="E909" s="140">
        <v>0</v>
      </c>
      <c r="F909" s="140">
        <v>0</v>
      </c>
      <c r="G909" s="140">
        <v>0</v>
      </c>
      <c r="H909" s="140">
        <v>0</v>
      </c>
      <c r="I909" s="140">
        <v>0</v>
      </c>
    </row>
    <row r="910" spans="2:9" x14ac:dyDescent="0.3">
      <c r="B910" t="s">
        <v>3500</v>
      </c>
      <c r="C910" s="261">
        <v>32088200000000</v>
      </c>
      <c r="D910" t="s">
        <v>3501</v>
      </c>
      <c r="E910" s="140">
        <v>0</v>
      </c>
      <c r="F910" s="140">
        <v>0</v>
      </c>
      <c r="G910" s="140">
        <v>0</v>
      </c>
      <c r="H910" s="140">
        <v>0</v>
      </c>
      <c r="I910" s="140">
        <v>0</v>
      </c>
    </row>
    <row r="911" spans="2:9" x14ac:dyDescent="0.3">
      <c r="B911" t="s">
        <v>3502</v>
      </c>
      <c r="C911" s="261">
        <v>49738600000000</v>
      </c>
      <c r="D911" t="s">
        <v>3503</v>
      </c>
      <c r="E911" s="140">
        <v>0</v>
      </c>
      <c r="F911" s="140">
        <v>0</v>
      </c>
      <c r="G911" s="140">
        <v>0</v>
      </c>
      <c r="H911" s="140">
        <v>0</v>
      </c>
      <c r="I911" s="140">
        <v>0</v>
      </c>
    </row>
    <row r="912" spans="2:9" x14ac:dyDescent="0.3">
      <c r="B912" t="s">
        <v>3504</v>
      </c>
      <c r="C912" s="261">
        <v>78954300000000</v>
      </c>
      <c r="D912" t="s">
        <v>3505</v>
      </c>
      <c r="E912" s="140">
        <v>0</v>
      </c>
      <c r="F912" s="140">
        <v>0</v>
      </c>
      <c r="G912" s="140">
        <v>0</v>
      </c>
      <c r="H912" s="140">
        <v>0</v>
      </c>
      <c r="I912" s="140">
        <v>0</v>
      </c>
    </row>
    <row r="913" spans="2:9" x14ac:dyDescent="0.3">
      <c r="B913" t="s">
        <v>3506</v>
      </c>
      <c r="C913" s="261">
        <v>8418170000000</v>
      </c>
      <c r="D913" t="s">
        <v>3507</v>
      </c>
      <c r="E913" s="140">
        <v>0</v>
      </c>
      <c r="F913" s="140">
        <v>0</v>
      </c>
      <c r="G913" s="140">
        <v>0</v>
      </c>
      <c r="H913" s="140">
        <v>0</v>
      </c>
      <c r="I913" s="140">
        <v>0</v>
      </c>
    </row>
    <row r="914" spans="2:9" x14ac:dyDescent="0.3">
      <c r="B914" t="s">
        <v>3508</v>
      </c>
      <c r="C914" s="261">
        <v>31206500000000</v>
      </c>
      <c r="D914" t="s">
        <v>3509</v>
      </c>
      <c r="E914" s="140">
        <v>0</v>
      </c>
      <c r="F914" s="140">
        <v>0</v>
      </c>
      <c r="G914" s="140">
        <v>0</v>
      </c>
      <c r="H914" s="140">
        <v>0</v>
      </c>
      <c r="I914" s="140">
        <v>0</v>
      </c>
    </row>
    <row r="915" spans="2:9" x14ac:dyDescent="0.3">
      <c r="B915" t="s">
        <v>3510</v>
      </c>
      <c r="C915" s="261">
        <v>27214900000000</v>
      </c>
      <c r="D915" t="s">
        <v>3511</v>
      </c>
      <c r="E915" s="140">
        <v>0</v>
      </c>
      <c r="F915" s="140">
        <v>0</v>
      </c>
      <c r="G915" s="140">
        <v>0</v>
      </c>
      <c r="H915" s="140">
        <v>0</v>
      </c>
      <c r="I915" s="140">
        <v>0</v>
      </c>
    </row>
    <row r="916" spans="2:9" x14ac:dyDescent="0.3">
      <c r="B916" t="s">
        <v>3512</v>
      </c>
      <c r="C916" s="261">
        <v>11168200000000</v>
      </c>
      <c r="D916" t="s">
        <v>3513</v>
      </c>
      <c r="E916" s="140">
        <v>0</v>
      </c>
      <c r="F916" s="140">
        <v>0</v>
      </c>
      <c r="G916" s="140">
        <v>0</v>
      </c>
      <c r="H916" s="140">
        <v>0</v>
      </c>
      <c r="I916" s="140">
        <v>0</v>
      </c>
    </row>
    <row r="917" spans="2:9" x14ac:dyDescent="0.3">
      <c r="B917" t="s">
        <v>3514</v>
      </c>
      <c r="C917" s="261">
        <v>9967850000000</v>
      </c>
      <c r="D917" t="s">
        <v>3515</v>
      </c>
      <c r="E917" s="140">
        <v>0</v>
      </c>
      <c r="F917" s="140">
        <v>0</v>
      </c>
      <c r="G917" s="140">
        <v>0</v>
      </c>
      <c r="H917" s="140">
        <v>0</v>
      </c>
      <c r="I917" s="140">
        <v>0</v>
      </c>
    </row>
    <row r="918" spans="2:9" x14ac:dyDescent="0.3">
      <c r="B918" t="s">
        <v>3516</v>
      </c>
      <c r="C918" s="261">
        <v>24158700000000</v>
      </c>
      <c r="D918" t="s">
        <v>3517</v>
      </c>
      <c r="E918" s="140">
        <v>0</v>
      </c>
      <c r="F918" s="140">
        <v>0</v>
      </c>
      <c r="G918" s="140">
        <v>0</v>
      </c>
      <c r="H918" s="140">
        <v>0</v>
      </c>
      <c r="I918" s="140">
        <v>0</v>
      </c>
    </row>
    <row r="919" spans="2:9" x14ac:dyDescent="0.3">
      <c r="B919" t="s">
        <v>3518</v>
      </c>
      <c r="C919" s="261">
        <v>9656610000000</v>
      </c>
      <c r="D919" t="s">
        <v>3519</v>
      </c>
      <c r="E919" s="140">
        <v>0</v>
      </c>
      <c r="F919" s="140">
        <v>0</v>
      </c>
      <c r="G919" s="140">
        <v>0</v>
      </c>
      <c r="H919" s="140">
        <v>0</v>
      </c>
      <c r="I919" s="140">
        <v>0</v>
      </c>
    </row>
    <row r="920" spans="2:9" x14ac:dyDescent="0.3">
      <c r="B920" t="s">
        <v>3520</v>
      </c>
      <c r="C920" s="261">
        <v>7868100000000</v>
      </c>
      <c r="D920" t="s">
        <v>3521</v>
      </c>
      <c r="E920" s="140">
        <v>0</v>
      </c>
      <c r="F920" s="140">
        <v>0</v>
      </c>
      <c r="G920" s="140">
        <v>0</v>
      </c>
      <c r="H920" s="140">
        <v>0</v>
      </c>
      <c r="I920" s="140">
        <v>0</v>
      </c>
    </row>
    <row r="921" spans="2:9" x14ac:dyDescent="0.3">
      <c r="B921" t="s">
        <v>3522</v>
      </c>
      <c r="C921" s="261">
        <v>8763640000000</v>
      </c>
      <c r="D921" t="s">
        <v>3523</v>
      </c>
      <c r="E921" s="140">
        <v>0</v>
      </c>
      <c r="F921" s="140">
        <v>0</v>
      </c>
      <c r="G921" s="140">
        <v>0</v>
      </c>
      <c r="H921" s="140">
        <v>0</v>
      </c>
      <c r="I921" s="140">
        <v>0</v>
      </c>
    </row>
    <row r="922" spans="2:9" x14ac:dyDescent="0.3">
      <c r="B922" t="s">
        <v>3524</v>
      </c>
      <c r="C922" s="261">
        <v>776574000000</v>
      </c>
      <c r="D922" t="s">
        <v>3525</v>
      </c>
      <c r="E922" s="140">
        <v>0</v>
      </c>
      <c r="F922" s="140">
        <v>0</v>
      </c>
      <c r="G922" s="140">
        <v>0</v>
      </c>
      <c r="H922" s="140">
        <v>0</v>
      </c>
      <c r="I922" s="140">
        <v>0</v>
      </c>
    </row>
    <row r="923" spans="2:9" x14ac:dyDescent="0.3">
      <c r="B923" t="s">
        <v>3526</v>
      </c>
      <c r="C923" s="261">
        <v>3989370000000</v>
      </c>
      <c r="D923" t="s">
        <v>3527</v>
      </c>
      <c r="E923" s="140">
        <v>0</v>
      </c>
      <c r="F923" s="140">
        <v>0</v>
      </c>
      <c r="G923" s="140">
        <v>0</v>
      </c>
      <c r="H923" s="140">
        <v>0</v>
      </c>
      <c r="I923" s="140">
        <v>0</v>
      </c>
    </row>
    <row r="924" spans="2:9" x14ac:dyDescent="0.3">
      <c r="B924" t="s">
        <v>3528</v>
      </c>
      <c r="C924" s="261">
        <v>5809980000000</v>
      </c>
      <c r="D924" t="s">
        <v>3529</v>
      </c>
      <c r="E924" s="140">
        <v>0</v>
      </c>
      <c r="F924" s="140">
        <v>0</v>
      </c>
      <c r="G924" s="140">
        <v>0</v>
      </c>
      <c r="H924" s="140">
        <v>0</v>
      </c>
      <c r="I924" s="140">
        <v>0</v>
      </c>
    </row>
    <row r="925" spans="2:9" x14ac:dyDescent="0.3">
      <c r="B925" t="s">
        <v>3530</v>
      </c>
      <c r="C925" s="261">
        <v>8752570000000</v>
      </c>
      <c r="D925" t="s">
        <v>3531</v>
      </c>
      <c r="E925" s="140">
        <v>0</v>
      </c>
      <c r="F925" s="140">
        <v>0</v>
      </c>
      <c r="G925" s="140">
        <v>0</v>
      </c>
      <c r="H925" s="140">
        <v>0</v>
      </c>
      <c r="I925" s="140">
        <v>0</v>
      </c>
    </row>
    <row r="926" spans="2:9" x14ac:dyDescent="0.3">
      <c r="B926" t="s">
        <v>3532</v>
      </c>
      <c r="C926" s="261">
        <v>79942600000000</v>
      </c>
      <c r="D926" t="s">
        <v>3533</v>
      </c>
      <c r="E926" s="140">
        <v>0</v>
      </c>
      <c r="F926" s="140">
        <v>0</v>
      </c>
      <c r="G926" s="140">
        <v>0</v>
      </c>
      <c r="H926" s="140">
        <v>0</v>
      </c>
      <c r="I926" s="140">
        <v>0</v>
      </c>
    </row>
    <row r="927" spans="2:9" x14ac:dyDescent="0.3">
      <c r="B927" t="s">
        <v>3534</v>
      </c>
      <c r="C927" s="261">
        <v>42356800000000</v>
      </c>
      <c r="D927" t="s">
        <v>3535</v>
      </c>
      <c r="E927" s="140">
        <v>0</v>
      </c>
      <c r="F927" s="140">
        <v>0</v>
      </c>
      <c r="G927" s="140">
        <v>0</v>
      </c>
      <c r="H927" s="140">
        <v>0</v>
      </c>
      <c r="I927" s="140">
        <v>0</v>
      </c>
    </row>
    <row r="928" spans="2:9" x14ac:dyDescent="0.3">
      <c r="B928" t="s">
        <v>3536</v>
      </c>
      <c r="C928" s="261">
        <v>19238100000000</v>
      </c>
      <c r="D928" t="s">
        <v>3537</v>
      </c>
      <c r="E928" s="140">
        <v>0</v>
      </c>
      <c r="F928" s="140">
        <v>0</v>
      </c>
      <c r="G928" s="140">
        <v>0</v>
      </c>
      <c r="H928" s="140">
        <v>0</v>
      </c>
      <c r="I928" s="140">
        <v>0</v>
      </c>
    </row>
    <row r="929" spans="2:9" x14ac:dyDescent="0.3">
      <c r="B929" t="s">
        <v>3538</v>
      </c>
      <c r="C929" s="261">
        <v>30636900000000</v>
      </c>
      <c r="D929" t="s">
        <v>3539</v>
      </c>
      <c r="E929" s="140">
        <v>0</v>
      </c>
      <c r="F929" s="140">
        <v>0</v>
      </c>
      <c r="G929" s="140">
        <v>0</v>
      </c>
      <c r="H929" s="140">
        <v>0</v>
      </c>
      <c r="I929" s="140">
        <v>0</v>
      </c>
    </row>
    <row r="930" spans="2:9" x14ac:dyDescent="0.3">
      <c r="B930" t="s">
        <v>3540</v>
      </c>
      <c r="C930" s="261">
        <v>14186300000000</v>
      </c>
      <c r="D930" t="s">
        <v>3541</v>
      </c>
      <c r="E930" s="140">
        <v>0</v>
      </c>
      <c r="F930" s="140">
        <v>0</v>
      </c>
      <c r="G930" s="140">
        <v>0</v>
      </c>
      <c r="H930" s="140">
        <v>0</v>
      </c>
      <c r="I930" s="140">
        <v>0</v>
      </c>
    </row>
    <row r="931" spans="2:9" x14ac:dyDescent="0.3">
      <c r="B931" t="s">
        <v>3542</v>
      </c>
      <c r="C931" s="261">
        <v>24875200000000</v>
      </c>
      <c r="D931" t="s">
        <v>3543</v>
      </c>
      <c r="E931" s="140">
        <v>0</v>
      </c>
      <c r="F931" s="140">
        <v>0</v>
      </c>
      <c r="G931" s="140">
        <v>0</v>
      </c>
      <c r="H931" s="140">
        <v>0</v>
      </c>
      <c r="I931" s="140">
        <v>0</v>
      </c>
    </row>
    <row r="932" spans="2:9" x14ac:dyDescent="0.3">
      <c r="B932" t="s">
        <v>3544</v>
      </c>
      <c r="C932" s="261">
        <v>12929300000000</v>
      </c>
      <c r="D932" t="s">
        <v>3545</v>
      </c>
      <c r="E932" s="140">
        <v>0</v>
      </c>
      <c r="F932" s="140">
        <v>0</v>
      </c>
      <c r="G932" s="140">
        <v>0</v>
      </c>
      <c r="H932" s="140">
        <v>0</v>
      </c>
      <c r="I932" s="140">
        <v>0</v>
      </c>
    </row>
    <row r="933" spans="2:9" x14ac:dyDescent="0.3">
      <c r="B933" t="s">
        <v>3546</v>
      </c>
      <c r="C933" s="261">
        <v>26986600000000</v>
      </c>
      <c r="D933" t="s">
        <v>3547</v>
      </c>
      <c r="E933" s="140">
        <v>0</v>
      </c>
      <c r="F933" s="140">
        <v>0</v>
      </c>
      <c r="G933" s="140">
        <v>0</v>
      </c>
      <c r="H933" s="140">
        <v>0</v>
      </c>
      <c r="I933" s="140">
        <v>0</v>
      </c>
    </row>
    <row r="934" spans="2:9" x14ac:dyDescent="0.3">
      <c r="B934" t="s">
        <v>3548</v>
      </c>
      <c r="C934" s="261">
        <v>57988900000000</v>
      </c>
      <c r="D934" t="s">
        <v>3549</v>
      </c>
      <c r="E934" s="140">
        <v>0</v>
      </c>
      <c r="F934" s="140">
        <v>0</v>
      </c>
      <c r="G934" s="140">
        <v>0</v>
      </c>
      <c r="H934" s="140">
        <v>0</v>
      </c>
      <c r="I934" s="140">
        <v>0</v>
      </c>
    </row>
    <row r="935" spans="2:9" x14ac:dyDescent="0.3">
      <c r="B935" t="s">
        <v>3550</v>
      </c>
      <c r="C935" s="261">
        <v>2421420000000</v>
      </c>
      <c r="D935" t="s">
        <v>3551</v>
      </c>
      <c r="E935" s="140">
        <v>0</v>
      </c>
      <c r="F935" s="140">
        <v>0</v>
      </c>
      <c r="G935" s="140">
        <v>0</v>
      </c>
      <c r="H935" s="140">
        <v>0</v>
      </c>
      <c r="I935" s="140">
        <v>0</v>
      </c>
    </row>
    <row r="936" spans="2:9" x14ac:dyDescent="0.3">
      <c r="B936" t="s">
        <v>3552</v>
      </c>
      <c r="C936" s="261">
        <v>4524240000000</v>
      </c>
      <c r="D936" t="s">
        <v>3553</v>
      </c>
      <c r="E936" s="140">
        <v>0</v>
      </c>
      <c r="F936" s="140">
        <v>0</v>
      </c>
      <c r="G936" s="140">
        <v>0</v>
      </c>
      <c r="H936" s="140">
        <v>0</v>
      </c>
      <c r="I936" s="140">
        <v>0</v>
      </c>
    </row>
    <row r="937" spans="2:9" x14ac:dyDescent="0.3">
      <c r="B937" t="s">
        <v>790</v>
      </c>
      <c r="C937" s="261">
        <v>10348300000000</v>
      </c>
      <c r="D937" t="s">
        <v>791</v>
      </c>
      <c r="E937" s="140">
        <v>0</v>
      </c>
      <c r="F937" s="140">
        <v>0</v>
      </c>
      <c r="G937" s="140">
        <v>0</v>
      </c>
      <c r="H937" s="140">
        <v>0</v>
      </c>
      <c r="I937" s="140">
        <v>0</v>
      </c>
    </row>
    <row r="938" spans="2:9" x14ac:dyDescent="0.3">
      <c r="B938" t="s">
        <v>3554</v>
      </c>
      <c r="C938" s="261">
        <v>3498010000000</v>
      </c>
      <c r="D938" t="s">
        <v>3555</v>
      </c>
      <c r="E938" s="140">
        <v>0</v>
      </c>
      <c r="F938" s="140">
        <v>0</v>
      </c>
      <c r="G938" s="140">
        <v>0</v>
      </c>
      <c r="H938" s="140">
        <v>0</v>
      </c>
      <c r="I938" s="140">
        <v>0</v>
      </c>
    </row>
    <row r="939" spans="2:9" x14ac:dyDescent="0.3">
      <c r="B939" t="s">
        <v>3556</v>
      </c>
      <c r="C939" s="261">
        <v>7731740000000</v>
      </c>
      <c r="D939" t="s">
        <v>3557</v>
      </c>
      <c r="E939" s="140">
        <v>0</v>
      </c>
      <c r="F939" s="140">
        <v>0</v>
      </c>
      <c r="G939" s="140">
        <v>0</v>
      </c>
      <c r="H939" s="140">
        <v>0</v>
      </c>
      <c r="I939" s="140">
        <v>0</v>
      </c>
    </row>
    <row r="940" spans="2:9" x14ac:dyDescent="0.3">
      <c r="B940" t="s">
        <v>3558</v>
      </c>
      <c r="C940" s="261">
        <v>11749700000000</v>
      </c>
      <c r="D940" t="s">
        <v>3559</v>
      </c>
      <c r="E940" s="140">
        <v>0</v>
      </c>
      <c r="F940" s="140">
        <v>0</v>
      </c>
      <c r="G940" s="140">
        <v>0</v>
      </c>
      <c r="H940" s="140">
        <v>0</v>
      </c>
      <c r="I940" s="140">
        <v>0</v>
      </c>
    </row>
    <row r="941" spans="2:9" x14ac:dyDescent="0.3">
      <c r="B941" t="s">
        <v>3560</v>
      </c>
      <c r="C941" s="261">
        <v>16457800000000</v>
      </c>
      <c r="D941" t="s">
        <v>3561</v>
      </c>
      <c r="E941" s="140">
        <v>0</v>
      </c>
      <c r="F941" s="140">
        <v>0</v>
      </c>
      <c r="G941" s="140">
        <v>0</v>
      </c>
      <c r="H941" s="140">
        <v>0</v>
      </c>
      <c r="I941" s="140">
        <v>0</v>
      </c>
    </row>
    <row r="942" spans="2:9" x14ac:dyDescent="0.3">
      <c r="B942" t="s">
        <v>3562</v>
      </c>
      <c r="C942" s="261">
        <v>12391000000000</v>
      </c>
      <c r="D942" t="s">
        <v>3563</v>
      </c>
      <c r="E942" s="140">
        <v>0</v>
      </c>
      <c r="F942" s="140">
        <v>0</v>
      </c>
      <c r="G942" s="140">
        <v>0</v>
      </c>
      <c r="H942" s="140">
        <v>0</v>
      </c>
      <c r="I942" s="140">
        <v>0</v>
      </c>
    </row>
    <row r="943" spans="2:9" x14ac:dyDescent="0.3">
      <c r="B943" t="s">
        <v>3564</v>
      </c>
      <c r="C943" s="261">
        <v>7803000000000</v>
      </c>
      <c r="D943" t="s">
        <v>3565</v>
      </c>
      <c r="E943" s="140">
        <v>0</v>
      </c>
      <c r="F943" s="140">
        <v>0</v>
      </c>
      <c r="G943" s="140">
        <v>0</v>
      </c>
      <c r="H943" s="140">
        <v>0</v>
      </c>
      <c r="I943" s="140">
        <v>0</v>
      </c>
    </row>
    <row r="944" spans="2:9" x14ac:dyDescent="0.3">
      <c r="B944" t="s">
        <v>1020</v>
      </c>
      <c r="C944" s="261">
        <v>8896750000000</v>
      </c>
      <c r="D944" t="s">
        <v>792</v>
      </c>
      <c r="E944" s="140">
        <v>0</v>
      </c>
      <c r="F944" s="140">
        <v>490</v>
      </c>
      <c r="G944" s="140">
        <v>-490</v>
      </c>
      <c r="H944" s="140">
        <v>0</v>
      </c>
      <c r="I944" s="140">
        <v>0</v>
      </c>
    </row>
    <row r="945" spans="2:9" x14ac:dyDescent="0.3">
      <c r="B945" t="s">
        <v>1649</v>
      </c>
      <c r="C945" s="261">
        <v>43942400000000</v>
      </c>
      <c r="D945" t="s">
        <v>1650</v>
      </c>
      <c r="E945" s="140">
        <v>0</v>
      </c>
      <c r="F945" s="140">
        <v>0</v>
      </c>
      <c r="G945" s="140">
        <v>0</v>
      </c>
      <c r="H945" s="140">
        <v>0</v>
      </c>
      <c r="I945" s="140">
        <v>0</v>
      </c>
    </row>
    <row r="946" spans="2:9" x14ac:dyDescent="0.3">
      <c r="B946" t="s">
        <v>3566</v>
      </c>
      <c r="C946" s="261">
        <v>28542000000000</v>
      </c>
      <c r="D946" t="s">
        <v>3567</v>
      </c>
      <c r="E946" s="140">
        <v>0</v>
      </c>
      <c r="F946" s="140">
        <v>0</v>
      </c>
      <c r="G946" s="140">
        <v>0</v>
      </c>
      <c r="H946" s="140">
        <v>0</v>
      </c>
      <c r="I946" s="140">
        <v>0</v>
      </c>
    </row>
    <row r="947" spans="2:9" x14ac:dyDescent="0.3">
      <c r="B947" t="s">
        <v>3568</v>
      </c>
      <c r="C947" s="261">
        <v>3282070000000</v>
      </c>
      <c r="D947" t="s">
        <v>3569</v>
      </c>
      <c r="E947" s="140">
        <v>0</v>
      </c>
      <c r="F947" s="140">
        <v>0</v>
      </c>
      <c r="G947" s="140">
        <v>0</v>
      </c>
      <c r="H947" s="140">
        <v>0</v>
      </c>
      <c r="I947" s="140">
        <v>0</v>
      </c>
    </row>
    <row r="948" spans="2:9" x14ac:dyDescent="0.3">
      <c r="B948" t="s">
        <v>3570</v>
      </c>
      <c r="C948">
        <v>2114755</v>
      </c>
      <c r="D948" t="s">
        <v>3571</v>
      </c>
      <c r="E948" s="140">
        <v>0</v>
      </c>
      <c r="F948" s="140">
        <v>0</v>
      </c>
      <c r="G948" s="140">
        <v>0</v>
      </c>
      <c r="H948" s="140">
        <v>0</v>
      </c>
      <c r="I948" s="140">
        <v>0</v>
      </c>
    </row>
    <row r="949" spans="2:9" x14ac:dyDescent="0.3">
      <c r="B949" t="s">
        <v>3572</v>
      </c>
      <c r="C949">
        <v>2114756</v>
      </c>
      <c r="D949" t="s">
        <v>3573</v>
      </c>
      <c r="E949" s="140">
        <v>0</v>
      </c>
      <c r="F949" s="140">
        <v>0</v>
      </c>
      <c r="G949" s="140">
        <v>0</v>
      </c>
      <c r="H949" s="140">
        <v>0</v>
      </c>
      <c r="I949" s="140">
        <v>0</v>
      </c>
    </row>
    <row r="950" spans="2:9" x14ac:dyDescent="0.3">
      <c r="B950" t="s">
        <v>3574</v>
      </c>
      <c r="C950">
        <v>2114757</v>
      </c>
      <c r="D950" t="s">
        <v>3575</v>
      </c>
      <c r="E950" s="140">
        <v>0</v>
      </c>
      <c r="F950" s="140">
        <v>0</v>
      </c>
      <c r="G950" s="140">
        <v>0</v>
      </c>
      <c r="H950" s="140">
        <v>0</v>
      </c>
      <c r="I950" s="140">
        <v>0</v>
      </c>
    </row>
    <row r="951" spans="2:9" x14ac:dyDescent="0.3">
      <c r="B951" t="s">
        <v>3576</v>
      </c>
      <c r="C951" s="261">
        <v>22891500000000</v>
      </c>
      <c r="D951" t="s">
        <v>3577</v>
      </c>
      <c r="E951" s="140">
        <v>0</v>
      </c>
      <c r="F951" s="140">
        <v>0</v>
      </c>
      <c r="G951" s="140">
        <v>0</v>
      </c>
      <c r="H951" s="140">
        <v>0</v>
      </c>
      <c r="I951" s="140">
        <v>0</v>
      </c>
    </row>
    <row r="952" spans="2:9" x14ac:dyDescent="0.3">
      <c r="B952" t="s">
        <v>3578</v>
      </c>
      <c r="C952" s="261">
        <v>3589090000000</v>
      </c>
      <c r="D952" t="s">
        <v>3579</v>
      </c>
      <c r="E952" s="140">
        <v>0</v>
      </c>
      <c r="F952" s="140">
        <v>0</v>
      </c>
      <c r="G952" s="140">
        <v>0</v>
      </c>
      <c r="H952" s="140">
        <v>0</v>
      </c>
      <c r="I952" s="140">
        <v>0</v>
      </c>
    </row>
    <row r="953" spans="2:9" x14ac:dyDescent="0.3">
      <c r="B953" t="s">
        <v>3580</v>
      </c>
      <c r="C953" s="261">
        <v>13399000000000</v>
      </c>
      <c r="D953" t="s">
        <v>3581</v>
      </c>
      <c r="E953" s="140">
        <v>0</v>
      </c>
      <c r="F953" s="140">
        <v>0</v>
      </c>
      <c r="G953" s="140">
        <v>0</v>
      </c>
      <c r="H953" s="140">
        <v>0</v>
      </c>
      <c r="I953" s="140">
        <v>0</v>
      </c>
    </row>
    <row r="954" spans="2:9" x14ac:dyDescent="0.3">
      <c r="B954" t="s">
        <v>1021</v>
      </c>
      <c r="C954" s="261">
        <v>23458500000000</v>
      </c>
      <c r="D954" t="s">
        <v>793</v>
      </c>
      <c r="E954" s="140">
        <v>-11</v>
      </c>
      <c r="F954" s="140">
        <v>34</v>
      </c>
      <c r="G954" s="140">
        <v>-35</v>
      </c>
      <c r="H954" s="140">
        <v>-1</v>
      </c>
      <c r="I954" s="140">
        <v>-12</v>
      </c>
    </row>
    <row r="955" spans="2:9" x14ac:dyDescent="0.3">
      <c r="B955" t="s">
        <v>3582</v>
      </c>
      <c r="C955" s="261">
        <v>5888810000000</v>
      </c>
      <c r="D955" t="s">
        <v>3583</v>
      </c>
      <c r="E955" s="140">
        <v>0</v>
      </c>
      <c r="F955" s="140">
        <v>0</v>
      </c>
      <c r="G955" s="140">
        <v>0</v>
      </c>
      <c r="H955" s="140">
        <v>0</v>
      </c>
      <c r="I955" s="140">
        <v>0</v>
      </c>
    </row>
    <row r="956" spans="2:9" x14ac:dyDescent="0.3">
      <c r="B956" t="s">
        <v>3584</v>
      </c>
      <c r="C956" s="261">
        <v>3659170000000</v>
      </c>
      <c r="D956" t="s">
        <v>3585</v>
      </c>
      <c r="E956" s="140">
        <v>0</v>
      </c>
      <c r="F956" s="140">
        <v>0</v>
      </c>
      <c r="G956" s="140">
        <v>0</v>
      </c>
      <c r="H956" s="140">
        <v>0</v>
      </c>
      <c r="I956" s="140">
        <v>0</v>
      </c>
    </row>
    <row r="957" spans="2:9" x14ac:dyDescent="0.3">
      <c r="B957" t="s">
        <v>1651</v>
      </c>
      <c r="C957" s="261">
        <v>10939400000000</v>
      </c>
      <c r="D957" t="s">
        <v>1652</v>
      </c>
      <c r="E957" s="140">
        <v>0</v>
      </c>
      <c r="F957" s="140">
        <v>0</v>
      </c>
      <c r="G957" s="140">
        <v>0</v>
      </c>
      <c r="H957" s="140">
        <v>0</v>
      </c>
      <c r="I957" s="140">
        <v>0</v>
      </c>
    </row>
    <row r="958" spans="2:9" x14ac:dyDescent="0.3">
      <c r="B958" t="s">
        <v>3586</v>
      </c>
      <c r="C958" s="261">
        <v>89237900000000</v>
      </c>
      <c r="D958" t="s">
        <v>3587</v>
      </c>
      <c r="E958" s="140">
        <v>0</v>
      </c>
      <c r="F958" s="140">
        <v>0</v>
      </c>
      <c r="G958" s="140">
        <v>0</v>
      </c>
      <c r="H958" s="140">
        <v>0</v>
      </c>
      <c r="I958" s="140">
        <v>0</v>
      </c>
    </row>
    <row r="959" spans="2:9" x14ac:dyDescent="0.3">
      <c r="B959" t="s">
        <v>3588</v>
      </c>
      <c r="C959" s="261">
        <v>11311300000000</v>
      </c>
      <c r="D959" t="s">
        <v>3589</v>
      </c>
      <c r="E959" s="140">
        <v>0</v>
      </c>
      <c r="F959" s="140">
        <v>0</v>
      </c>
      <c r="G959" s="140">
        <v>0</v>
      </c>
      <c r="H959" s="140">
        <v>0</v>
      </c>
      <c r="I959" s="140">
        <v>0</v>
      </c>
    </row>
    <row r="960" spans="2:9" x14ac:dyDescent="0.3">
      <c r="B960" t="s">
        <v>3590</v>
      </c>
      <c r="C960" s="261">
        <v>18704000000000</v>
      </c>
      <c r="D960" t="s">
        <v>3591</v>
      </c>
      <c r="E960" s="140">
        <v>0</v>
      </c>
      <c r="F960" s="140">
        <v>0</v>
      </c>
      <c r="G960" s="140">
        <v>0</v>
      </c>
      <c r="H960" s="140">
        <v>0</v>
      </c>
      <c r="I960" s="140">
        <v>0</v>
      </c>
    </row>
    <row r="961" spans="2:9" x14ac:dyDescent="0.3">
      <c r="B961" t="s">
        <v>3592</v>
      </c>
      <c r="C961" s="261">
        <v>1590730000000</v>
      </c>
      <c r="D961" t="s">
        <v>3593</v>
      </c>
      <c r="E961" s="140">
        <v>0</v>
      </c>
      <c r="F961" s="140">
        <v>0</v>
      </c>
      <c r="G961" s="140">
        <v>0</v>
      </c>
      <c r="H961" s="140">
        <v>0</v>
      </c>
      <c r="I961" s="140">
        <v>0</v>
      </c>
    </row>
    <row r="962" spans="2:9" x14ac:dyDescent="0.3">
      <c r="B962" t="s">
        <v>3594</v>
      </c>
      <c r="C962" s="261">
        <v>4602790000000</v>
      </c>
      <c r="D962" t="s">
        <v>3595</v>
      </c>
      <c r="E962" s="140">
        <v>0</v>
      </c>
      <c r="F962" s="140">
        <v>0</v>
      </c>
      <c r="G962" s="140">
        <v>0</v>
      </c>
      <c r="H962" s="140">
        <v>0</v>
      </c>
      <c r="I962" s="140">
        <v>0</v>
      </c>
    </row>
    <row r="963" spans="2:9" x14ac:dyDescent="0.3">
      <c r="B963" t="s">
        <v>3596</v>
      </c>
      <c r="C963" s="261">
        <v>8139870000000</v>
      </c>
      <c r="D963" t="s">
        <v>3597</v>
      </c>
      <c r="E963" s="140">
        <v>0</v>
      </c>
      <c r="F963" s="140">
        <v>0</v>
      </c>
      <c r="G963" s="140">
        <v>0</v>
      </c>
      <c r="H963" s="140">
        <v>0</v>
      </c>
      <c r="I963" s="140">
        <v>0</v>
      </c>
    </row>
    <row r="964" spans="2:9" x14ac:dyDescent="0.3">
      <c r="B964" t="s">
        <v>3598</v>
      </c>
      <c r="C964" s="261">
        <v>779548000000</v>
      </c>
      <c r="D964" t="s">
        <v>3599</v>
      </c>
      <c r="E964" s="140">
        <v>0</v>
      </c>
      <c r="F964" s="140">
        <v>0</v>
      </c>
      <c r="G964" s="140">
        <v>0</v>
      </c>
      <c r="H964" s="140">
        <v>0</v>
      </c>
      <c r="I964" s="140">
        <v>0</v>
      </c>
    </row>
    <row r="965" spans="2:9" x14ac:dyDescent="0.3">
      <c r="B965" t="s">
        <v>3600</v>
      </c>
      <c r="C965" s="261">
        <v>9364570000000</v>
      </c>
      <c r="D965" t="s">
        <v>3601</v>
      </c>
      <c r="E965" s="140">
        <v>0</v>
      </c>
      <c r="F965" s="140">
        <v>0</v>
      </c>
      <c r="G965" s="140">
        <v>0</v>
      </c>
      <c r="H965" s="140">
        <v>0</v>
      </c>
      <c r="I965" s="140">
        <v>0</v>
      </c>
    </row>
    <row r="966" spans="2:9" x14ac:dyDescent="0.3">
      <c r="B966" t="s">
        <v>3602</v>
      </c>
      <c r="C966" s="261">
        <v>22108400000000</v>
      </c>
      <c r="D966" t="s">
        <v>3603</v>
      </c>
      <c r="E966" s="140">
        <v>0</v>
      </c>
      <c r="F966" s="140">
        <v>0</v>
      </c>
      <c r="G966" s="140">
        <v>0</v>
      </c>
      <c r="H966" s="140">
        <v>0</v>
      </c>
      <c r="I966" s="140">
        <v>0</v>
      </c>
    </row>
    <row r="967" spans="2:9" x14ac:dyDescent="0.3">
      <c r="B967" t="s">
        <v>3604</v>
      </c>
      <c r="C967" s="261">
        <v>31328300000000</v>
      </c>
      <c r="D967" t="s">
        <v>3605</v>
      </c>
      <c r="E967" s="140">
        <v>0</v>
      </c>
      <c r="F967" s="140">
        <v>0</v>
      </c>
      <c r="G967" s="140">
        <v>0</v>
      </c>
      <c r="H967" s="140">
        <v>0</v>
      </c>
      <c r="I967" s="140">
        <v>0</v>
      </c>
    </row>
    <row r="968" spans="2:9" x14ac:dyDescent="0.3">
      <c r="B968" t="s">
        <v>3606</v>
      </c>
      <c r="C968" s="261">
        <v>21823200000000</v>
      </c>
      <c r="D968" t="s">
        <v>3607</v>
      </c>
      <c r="E968" s="140">
        <v>0</v>
      </c>
      <c r="F968" s="140">
        <v>0</v>
      </c>
      <c r="G968" s="140">
        <v>0</v>
      </c>
      <c r="H968" s="140">
        <v>0</v>
      </c>
      <c r="I968" s="140">
        <v>0</v>
      </c>
    </row>
    <row r="969" spans="2:9" x14ac:dyDescent="0.3">
      <c r="B969" t="s">
        <v>3608</v>
      </c>
      <c r="C969" s="261">
        <v>5953550000000</v>
      </c>
      <c r="D969" t="s">
        <v>3609</v>
      </c>
      <c r="E969" s="140">
        <v>0</v>
      </c>
      <c r="F969" s="140">
        <v>0</v>
      </c>
      <c r="G969" s="140">
        <v>0</v>
      </c>
      <c r="H969" s="140">
        <v>0</v>
      </c>
      <c r="I969" s="140">
        <v>0</v>
      </c>
    </row>
    <row r="970" spans="2:9" x14ac:dyDescent="0.3">
      <c r="B970" t="s">
        <v>794</v>
      </c>
      <c r="C970" s="261">
        <v>52618100000000</v>
      </c>
      <c r="D970" t="s">
        <v>148</v>
      </c>
      <c r="E970" s="140">
        <v>0</v>
      </c>
      <c r="F970" s="140">
        <v>0</v>
      </c>
      <c r="G970" s="140">
        <v>-1</v>
      </c>
      <c r="H970" s="140">
        <v>-1</v>
      </c>
      <c r="I970" s="140">
        <v>-1</v>
      </c>
    </row>
    <row r="971" spans="2:9" x14ac:dyDescent="0.3">
      <c r="B971" t="s">
        <v>3610</v>
      </c>
      <c r="C971" s="261">
        <v>61665200000000</v>
      </c>
      <c r="D971" t="s">
        <v>3611</v>
      </c>
      <c r="E971" s="140">
        <v>0</v>
      </c>
      <c r="F971" s="140">
        <v>0</v>
      </c>
      <c r="G971" s="140">
        <v>0</v>
      </c>
      <c r="H971" s="140">
        <v>0</v>
      </c>
      <c r="I971" s="140">
        <v>0</v>
      </c>
    </row>
    <row r="972" spans="2:9" x14ac:dyDescent="0.3">
      <c r="B972" t="s">
        <v>3612</v>
      </c>
      <c r="C972" s="261">
        <v>62329000000000</v>
      </c>
      <c r="D972" t="s">
        <v>3613</v>
      </c>
      <c r="E972" s="140">
        <v>0</v>
      </c>
      <c r="F972" s="140">
        <v>0</v>
      </c>
      <c r="G972" s="140">
        <v>0</v>
      </c>
      <c r="H972" s="140">
        <v>0</v>
      </c>
      <c r="I972" s="140">
        <v>0</v>
      </c>
    </row>
    <row r="973" spans="2:9" x14ac:dyDescent="0.3">
      <c r="B973" t="s">
        <v>3614</v>
      </c>
      <c r="C973" s="261">
        <v>33402900000000</v>
      </c>
      <c r="D973" t="s">
        <v>3615</v>
      </c>
      <c r="E973" s="140">
        <v>0</v>
      </c>
      <c r="F973" s="140">
        <v>0</v>
      </c>
      <c r="G973" s="140">
        <v>0</v>
      </c>
      <c r="H973" s="140">
        <v>0</v>
      </c>
      <c r="I973" s="140">
        <v>0</v>
      </c>
    </row>
    <row r="974" spans="2:9" x14ac:dyDescent="0.3">
      <c r="B974" t="s">
        <v>795</v>
      </c>
      <c r="C974" s="261">
        <v>2593170000000</v>
      </c>
      <c r="D974" t="s">
        <v>796</v>
      </c>
      <c r="E974" s="140">
        <v>0</v>
      </c>
      <c r="F974" s="140">
        <v>0</v>
      </c>
      <c r="G974" s="140">
        <v>0</v>
      </c>
      <c r="H974" s="140">
        <v>0</v>
      </c>
      <c r="I974" s="140">
        <v>0</v>
      </c>
    </row>
    <row r="975" spans="2:9" x14ac:dyDescent="0.3">
      <c r="B975" t="s">
        <v>3616</v>
      </c>
      <c r="C975" s="261">
        <v>11662800000000</v>
      </c>
      <c r="D975" t="s">
        <v>3617</v>
      </c>
      <c r="E975" s="140">
        <v>0</v>
      </c>
      <c r="F975" s="140">
        <v>0</v>
      </c>
      <c r="G975" s="140">
        <v>0</v>
      </c>
      <c r="H975" s="140">
        <v>0</v>
      </c>
      <c r="I975" s="140">
        <v>0</v>
      </c>
    </row>
    <row r="976" spans="2:9" x14ac:dyDescent="0.3">
      <c r="B976" t="s">
        <v>3618</v>
      </c>
      <c r="C976" s="261">
        <v>14350700000000</v>
      </c>
      <c r="D976" t="s">
        <v>3619</v>
      </c>
      <c r="E976" s="140">
        <v>0</v>
      </c>
      <c r="F976" s="140">
        <v>0</v>
      </c>
      <c r="G976" s="140">
        <v>0</v>
      </c>
      <c r="H976" s="140">
        <v>0</v>
      </c>
      <c r="I976" s="140">
        <v>0</v>
      </c>
    </row>
    <row r="977" spans="2:9" x14ac:dyDescent="0.3">
      <c r="B977" t="s">
        <v>3620</v>
      </c>
      <c r="C977" s="261">
        <v>52168500000000</v>
      </c>
      <c r="D977" t="s">
        <v>3621</v>
      </c>
      <c r="E977" s="140">
        <v>0</v>
      </c>
      <c r="F977" s="140">
        <v>0</v>
      </c>
      <c r="G977" s="140">
        <v>0</v>
      </c>
      <c r="H977" s="140">
        <v>0</v>
      </c>
      <c r="I977" s="140">
        <v>0</v>
      </c>
    </row>
    <row r="978" spans="2:9" x14ac:dyDescent="0.3">
      <c r="B978" t="s">
        <v>3622</v>
      </c>
      <c r="C978" s="261">
        <v>4999510000000</v>
      </c>
      <c r="D978" t="s">
        <v>3623</v>
      </c>
      <c r="E978" s="140">
        <v>0</v>
      </c>
      <c r="F978" s="140">
        <v>0</v>
      </c>
      <c r="G978" s="140">
        <v>0</v>
      </c>
      <c r="H978" s="140">
        <v>0</v>
      </c>
      <c r="I978" s="140">
        <v>0</v>
      </c>
    </row>
    <row r="979" spans="2:9" x14ac:dyDescent="0.3">
      <c r="B979" t="s">
        <v>3624</v>
      </c>
      <c r="C979" s="261">
        <v>8821750000000</v>
      </c>
      <c r="D979" t="s">
        <v>3625</v>
      </c>
      <c r="E979" s="140">
        <v>0</v>
      </c>
      <c r="F979" s="140">
        <v>0</v>
      </c>
      <c r="G979" s="140">
        <v>0</v>
      </c>
      <c r="H979" s="140">
        <v>0</v>
      </c>
      <c r="I979" s="140">
        <v>0</v>
      </c>
    </row>
    <row r="980" spans="2:9" x14ac:dyDescent="0.3">
      <c r="B980" t="s">
        <v>3626</v>
      </c>
      <c r="C980" s="261">
        <v>62044200000000</v>
      </c>
      <c r="D980" t="s">
        <v>3627</v>
      </c>
      <c r="E980" s="140">
        <v>0</v>
      </c>
      <c r="F980" s="140">
        <v>0</v>
      </c>
      <c r="G980" s="140">
        <v>0</v>
      </c>
      <c r="H980" s="140">
        <v>0</v>
      </c>
      <c r="I980" s="140">
        <v>0</v>
      </c>
    </row>
    <row r="981" spans="2:9" x14ac:dyDescent="0.3">
      <c r="B981" t="s">
        <v>3628</v>
      </c>
      <c r="C981" s="261">
        <v>31316300000000</v>
      </c>
      <c r="D981" t="s">
        <v>3629</v>
      </c>
      <c r="E981" s="140">
        <v>0</v>
      </c>
      <c r="F981" s="140">
        <v>0</v>
      </c>
      <c r="G981" s="140">
        <v>0</v>
      </c>
      <c r="H981" s="140">
        <v>0</v>
      </c>
      <c r="I981" s="140">
        <v>0</v>
      </c>
    </row>
    <row r="982" spans="2:9" x14ac:dyDescent="0.3">
      <c r="B982" t="s">
        <v>3630</v>
      </c>
      <c r="C982" s="261">
        <v>18534200000000</v>
      </c>
      <c r="D982" t="s">
        <v>3631</v>
      </c>
      <c r="E982" s="140">
        <v>0</v>
      </c>
      <c r="F982" s="140">
        <v>0</v>
      </c>
      <c r="G982" s="140">
        <v>0</v>
      </c>
      <c r="H982" s="140">
        <v>0</v>
      </c>
      <c r="I982" s="140">
        <v>0</v>
      </c>
    </row>
    <row r="983" spans="2:9" x14ac:dyDescent="0.3">
      <c r="B983" t="s">
        <v>3632</v>
      </c>
      <c r="C983" s="261">
        <v>17781700000000</v>
      </c>
      <c r="D983" t="s">
        <v>3633</v>
      </c>
      <c r="E983" s="140">
        <v>0</v>
      </c>
      <c r="F983" s="140">
        <v>0</v>
      </c>
      <c r="G983" s="140">
        <v>0</v>
      </c>
      <c r="H983" s="140">
        <v>0</v>
      </c>
      <c r="I983" s="140">
        <v>0</v>
      </c>
    </row>
    <row r="984" spans="2:9" x14ac:dyDescent="0.3">
      <c r="B984" t="s">
        <v>3634</v>
      </c>
      <c r="C984" s="261">
        <v>258246000000</v>
      </c>
      <c r="D984" t="s">
        <v>3635</v>
      </c>
      <c r="E984" s="140">
        <v>0</v>
      </c>
      <c r="F984" s="140">
        <v>0</v>
      </c>
      <c r="G984" s="140">
        <v>0</v>
      </c>
      <c r="H984" s="140">
        <v>0</v>
      </c>
      <c r="I984" s="140">
        <v>0</v>
      </c>
    </row>
    <row r="985" spans="2:9" x14ac:dyDescent="0.3">
      <c r="B985" t="s">
        <v>3636</v>
      </c>
      <c r="C985" s="261">
        <v>13921100000000</v>
      </c>
      <c r="D985" t="s">
        <v>3637</v>
      </c>
      <c r="E985" s="140">
        <v>0</v>
      </c>
      <c r="F985" s="140">
        <v>0</v>
      </c>
      <c r="G985" s="140">
        <v>0</v>
      </c>
      <c r="H985" s="140">
        <v>0</v>
      </c>
      <c r="I985" s="140">
        <v>0</v>
      </c>
    </row>
    <row r="986" spans="2:9" x14ac:dyDescent="0.3">
      <c r="B986" t="s">
        <v>3638</v>
      </c>
      <c r="C986" s="261">
        <v>30947600000000</v>
      </c>
      <c r="D986" t="s">
        <v>3639</v>
      </c>
      <c r="E986" s="140">
        <v>0</v>
      </c>
      <c r="F986" s="140">
        <v>0</v>
      </c>
      <c r="G986" s="140">
        <v>0</v>
      </c>
      <c r="H986" s="140">
        <v>0</v>
      </c>
      <c r="I986" s="140">
        <v>0</v>
      </c>
    </row>
    <row r="987" spans="2:9" x14ac:dyDescent="0.3">
      <c r="B987" t="s">
        <v>3640</v>
      </c>
      <c r="C987" s="261">
        <v>3598920000000</v>
      </c>
      <c r="D987" t="s">
        <v>3641</v>
      </c>
      <c r="E987" s="140">
        <v>0</v>
      </c>
      <c r="F987" s="140">
        <v>0</v>
      </c>
      <c r="G987" s="140">
        <v>0</v>
      </c>
      <c r="H987" s="140">
        <v>0</v>
      </c>
      <c r="I987" s="140">
        <v>0</v>
      </c>
    </row>
    <row r="988" spans="2:9" x14ac:dyDescent="0.3">
      <c r="B988" t="s">
        <v>3642</v>
      </c>
      <c r="C988" s="261">
        <v>62642900000000</v>
      </c>
      <c r="D988" t="s">
        <v>3643</v>
      </c>
      <c r="E988" s="140">
        <v>0</v>
      </c>
      <c r="F988" s="140">
        <v>0</v>
      </c>
      <c r="G988" s="140">
        <v>0</v>
      </c>
      <c r="H988" s="140">
        <v>0</v>
      </c>
      <c r="I988" s="140">
        <v>0</v>
      </c>
    </row>
    <row r="989" spans="2:9" x14ac:dyDescent="0.3">
      <c r="B989" t="s">
        <v>3644</v>
      </c>
      <c r="C989" s="261">
        <v>28861400000000</v>
      </c>
      <c r="D989" t="s">
        <v>3645</v>
      </c>
      <c r="E989" s="140">
        <v>0</v>
      </c>
      <c r="F989" s="140">
        <v>0</v>
      </c>
      <c r="G989" s="140">
        <v>0</v>
      </c>
      <c r="H989" s="140">
        <v>0</v>
      </c>
      <c r="I989" s="140">
        <v>0</v>
      </c>
    </row>
    <row r="990" spans="2:9" x14ac:dyDescent="0.3">
      <c r="B990" t="s">
        <v>3646</v>
      </c>
      <c r="C990" s="261">
        <v>30526700000000</v>
      </c>
      <c r="D990" t="s">
        <v>3647</v>
      </c>
      <c r="E990" s="140">
        <v>0</v>
      </c>
      <c r="F990" s="140">
        <v>0</v>
      </c>
      <c r="G990" s="140">
        <v>0</v>
      </c>
      <c r="H990" s="140">
        <v>0</v>
      </c>
      <c r="I990" s="140">
        <v>0</v>
      </c>
    </row>
    <row r="991" spans="2:9" x14ac:dyDescent="0.3">
      <c r="B991" t="s">
        <v>3648</v>
      </c>
      <c r="C991" s="261">
        <v>460831000000</v>
      </c>
      <c r="D991" t="s">
        <v>3649</v>
      </c>
      <c r="E991" s="140">
        <v>0</v>
      </c>
      <c r="F991" s="140">
        <v>0</v>
      </c>
      <c r="G991" s="140">
        <v>0</v>
      </c>
      <c r="H991" s="140">
        <v>0</v>
      </c>
      <c r="I991" s="140">
        <v>0</v>
      </c>
    </row>
    <row r="992" spans="2:9" x14ac:dyDescent="0.3">
      <c r="B992" t="s">
        <v>3650</v>
      </c>
      <c r="C992" s="261">
        <v>35794100000000</v>
      </c>
      <c r="D992" t="s">
        <v>3651</v>
      </c>
      <c r="E992" s="140">
        <v>0</v>
      </c>
      <c r="F992" s="140">
        <v>0</v>
      </c>
      <c r="G992" s="140">
        <v>0</v>
      </c>
      <c r="H992" s="140">
        <v>0</v>
      </c>
      <c r="I992" s="140">
        <v>0</v>
      </c>
    </row>
    <row r="993" spans="2:9" x14ac:dyDescent="0.3">
      <c r="B993" t="s">
        <v>3652</v>
      </c>
      <c r="C993" s="261">
        <v>5533020000000</v>
      </c>
      <c r="D993" t="s">
        <v>3653</v>
      </c>
      <c r="E993" s="140">
        <v>0</v>
      </c>
      <c r="F993" s="140">
        <v>0</v>
      </c>
      <c r="G993" s="140">
        <v>0</v>
      </c>
      <c r="H993" s="140">
        <v>0</v>
      </c>
      <c r="I993" s="140">
        <v>0</v>
      </c>
    </row>
    <row r="994" spans="2:9" x14ac:dyDescent="0.3">
      <c r="B994" t="s">
        <v>3654</v>
      </c>
      <c r="C994" s="261">
        <v>4527230000000</v>
      </c>
      <c r="D994" t="s">
        <v>3655</v>
      </c>
      <c r="E994" s="140">
        <v>0</v>
      </c>
      <c r="F994" s="140">
        <v>0</v>
      </c>
      <c r="G994" s="140">
        <v>0</v>
      </c>
      <c r="H994" s="140">
        <v>0</v>
      </c>
      <c r="I994" s="140">
        <v>0</v>
      </c>
    </row>
    <row r="995" spans="2:9" x14ac:dyDescent="0.3">
      <c r="B995" t="s">
        <v>3656</v>
      </c>
      <c r="C995" s="261">
        <v>46359900000000</v>
      </c>
      <c r="D995" t="s">
        <v>3657</v>
      </c>
      <c r="E995" s="140">
        <v>0</v>
      </c>
      <c r="F995" s="140">
        <v>0</v>
      </c>
      <c r="G995" s="140">
        <v>0</v>
      </c>
      <c r="H995" s="140">
        <v>0</v>
      </c>
      <c r="I995" s="140">
        <v>0</v>
      </c>
    </row>
    <row r="996" spans="2:9" x14ac:dyDescent="0.3">
      <c r="B996" t="s">
        <v>3658</v>
      </c>
      <c r="C996" s="261">
        <v>30980300000000</v>
      </c>
      <c r="D996" t="s">
        <v>3659</v>
      </c>
      <c r="E996" s="140">
        <v>0</v>
      </c>
      <c r="F996" s="140">
        <v>0</v>
      </c>
      <c r="G996" s="140">
        <v>0</v>
      </c>
      <c r="H996" s="140">
        <v>0</v>
      </c>
      <c r="I996" s="140">
        <v>0</v>
      </c>
    </row>
    <row r="997" spans="2:9" x14ac:dyDescent="0.3">
      <c r="B997" t="s">
        <v>3660</v>
      </c>
      <c r="C997" s="261">
        <v>13992600000000</v>
      </c>
      <c r="D997" t="s">
        <v>3661</v>
      </c>
      <c r="E997" s="140">
        <v>0</v>
      </c>
      <c r="F997" s="140">
        <v>0</v>
      </c>
      <c r="G997" s="140">
        <v>0</v>
      </c>
      <c r="H997" s="140">
        <v>0</v>
      </c>
      <c r="I997" s="140">
        <v>0</v>
      </c>
    </row>
    <row r="998" spans="2:9" x14ac:dyDescent="0.3">
      <c r="B998" t="s">
        <v>3662</v>
      </c>
      <c r="C998" s="261">
        <v>10499000000000</v>
      </c>
      <c r="D998" t="s">
        <v>3663</v>
      </c>
      <c r="E998" s="140">
        <v>0</v>
      </c>
      <c r="F998" s="140">
        <v>0</v>
      </c>
      <c r="G998" s="140">
        <v>0</v>
      </c>
      <c r="H998" s="140">
        <v>0</v>
      </c>
      <c r="I998" s="140">
        <v>0</v>
      </c>
    </row>
    <row r="999" spans="2:9" x14ac:dyDescent="0.3">
      <c r="B999" t="s">
        <v>3664</v>
      </c>
      <c r="C999" s="261">
        <v>8257350000000</v>
      </c>
      <c r="D999" t="s">
        <v>3665</v>
      </c>
      <c r="E999" s="140">
        <v>0</v>
      </c>
      <c r="F999" s="140">
        <v>0</v>
      </c>
      <c r="G999" s="140">
        <v>0</v>
      </c>
      <c r="H999" s="140">
        <v>0</v>
      </c>
      <c r="I999" s="140">
        <v>0</v>
      </c>
    </row>
    <row r="1000" spans="2:9" x14ac:dyDescent="0.3">
      <c r="B1000" t="s">
        <v>797</v>
      </c>
      <c r="C1000" s="261">
        <v>29508700000000</v>
      </c>
      <c r="D1000" t="s">
        <v>798</v>
      </c>
      <c r="E1000" s="140">
        <v>0</v>
      </c>
      <c r="F1000" s="140">
        <v>0</v>
      </c>
      <c r="G1000" s="140">
        <v>0</v>
      </c>
      <c r="H1000" s="140">
        <v>0</v>
      </c>
      <c r="I1000" s="140">
        <v>0</v>
      </c>
    </row>
    <row r="1001" spans="2:9" x14ac:dyDescent="0.3">
      <c r="B1001" t="s">
        <v>3666</v>
      </c>
      <c r="C1001" s="261">
        <v>29576800000000</v>
      </c>
      <c r="D1001" t="s">
        <v>3667</v>
      </c>
      <c r="E1001" s="140">
        <v>0</v>
      </c>
      <c r="F1001" s="140">
        <v>0</v>
      </c>
      <c r="G1001" s="140">
        <v>0</v>
      </c>
      <c r="H1001" s="140">
        <v>0</v>
      </c>
      <c r="I1001" s="140">
        <v>0</v>
      </c>
    </row>
    <row r="1002" spans="2:9" x14ac:dyDescent="0.3">
      <c r="B1002" t="s">
        <v>3668</v>
      </c>
      <c r="C1002" s="261">
        <v>8703040000000</v>
      </c>
      <c r="D1002" t="s">
        <v>3669</v>
      </c>
      <c r="E1002" s="140">
        <v>0</v>
      </c>
      <c r="F1002" s="140">
        <v>0</v>
      </c>
      <c r="G1002" s="140">
        <v>0</v>
      </c>
      <c r="H1002" s="140">
        <v>0</v>
      </c>
      <c r="I1002" s="140">
        <v>0</v>
      </c>
    </row>
    <row r="1003" spans="2:9" x14ac:dyDescent="0.3">
      <c r="B1003" t="s">
        <v>3670</v>
      </c>
      <c r="C1003">
        <v>56958000102</v>
      </c>
      <c r="D1003" t="s">
        <v>3671</v>
      </c>
      <c r="E1003" s="140">
        <v>0</v>
      </c>
      <c r="F1003" s="140">
        <v>0</v>
      </c>
      <c r="G1003" s="140">
        <v>0</v>
      </c>
      <c r="H1003" s="140">
        <v>0</v>
      </c>
      <c r="I1003" s="140">
        <v>0</v>
      </c>
    </row>
    <row r="1004" spans="2:9" x14ac:dyDescent="0.3">
      <c r="B1004" t="s">
        <v>1022</v>
      </c>
      <c r="C1004" s="261">
        <v>2676310000000</v>
      </c>
      <c r="D1004" t="s">
        <v>149</v>
      </c>
      <c r="E1004" s="140">
        <v>-15</v>
      </c>
      <c r="F1004" s="140">
        <v>154</v>
      </c>
      <c r="G1004" s="140">
        <v>-138</v>
      </c>
      <c r="H1004" s="140">
        <v>15</v>
      </c>
      <c r="I1004" s="140">
        <v>0</v>
      </c>
    </row>
    <row r="1005" spans="2:9" x14ac:dyDescent="0.3">
      <c r="B1005" t="s">
        <v>3672</v>
      </c>
      <c r="C1005" s="261">
        <v>40181300000000</v>
      </c>
      <c r="D1005" t="s">
        <v>3673</v>
      </c>
      <c r="E1005" s="140">
        <v>0</v>
      </c>
      <c r="F1005" s="140">
        <v>0</v>
      </c>
      <c r="G1005" s="140">
        <v>0</v>
      </c>
      <c r="H1005" s="140">
        <v>0</v>
      </c>
      <c r="I1005" s="140">
        <v>0</v>
      </c>
    </row>
    <row r="1006" spans="2:9" x14ac:dyDescent="0.3">
      <c r="B1006" t="s">
        <v>3674</v>
      </c>
      <c r="C1006" s="261">
        <v>1959080000000</v>
      </c>
      <c r="D1006" t="s">
        <v>3675</v>
      </c>
      <c r="E1006" s="140">
        <v>0</v>
      </c>
      <c r="F1006" s="140">
        <v>0</v>
      </c>
      <c r="G1006" s="140">
        <v>0</v>
      </c>
      <c r="H1006" s="140">
        <v>0</v>
      </c>
      <c r="I1006" s="140">
        <v>0</v>
      </c>
    </row>
    <row r="1007" spans="2:9" x14ac:dyDescent="0.3">
      <c r="B1007" t="s">
        <v>3676</v>
      </c>
      <c r="C1007" s="261">
        <v>14291000000000</v>
      </c>
      <c r="D1007" t="s">
        <v>3677</v>
      </c>
      <c r="E1007" s="140">
        <v>0</v>
      </c>
      <c r="F1007" s="140">
        <v>0</v>
      </c>
      <c r="G1007" s="140">
        <v>0</v>
      </c>
      <c r="H1007" s="140">
        <v>0</v>
      </c>
      <c r="I1007" s="140">
        <v>0</v>
      </c>
    </row>
    <row r="1008" spans="2:9" x14ac:dyDescent="0.3">
      <c r="B1008" t="s">
        <v>3678</v>
      </c>
      <c r="C1008" s="261">
        <v>10320400000000</v>
      </c>
      <c r="D1008" t="s">
        <v>3679</v>
      </c>
      <c r="E1008" s="140">
        <v>0</v>
      </c>
      <c r="F1008" s="140">
        <v>0</v>
      </c>
      <c r="G1008" s="140">
        <v>0</v>
      </c>
      <c r="H1008" s="140">
        <v>0</v>
      </c>
      <c r="I1008" s="140">
        <v>0</v>
      </c>
    </row>
    <row r="1009" spans="2:9" x14ac:dyDescent="0.3">
      <c r="B1009" t="s">
        <v>3680</v>
      </c>
      <c r="C1009" s="261">
        <v>24725000000000</v>
      </c>
      <c r="D1009" t="s">
        <v>3681</v>
      </c>
      <c r="E1009" s="140">
        <v>0</v>
      </c>
      <c r="F1009" s="140">
        <v>0</v>
      </c>
      <c r="G1009" s="140">
        <v>0</v>
      </c>
      <c r="H1009" s="140">
        <v>0</v>
      </c>
      <c r="I1009" s="140">
        <v>0</v>
      </c>
    </row>
    <row r="1010" spans="2:9" x14ac:dyDescent="0.3">
      <c r="B1010" t="s">
        <v>3682</v>
      </c>
      <c r="C1010" s="261">
        <v>21348200000000</v>
      </c>
      <c r="D1010" t="s">
        <v>3683</v>
      </c>
      <c r="E1010" s="140">
        <v>0</v>
      </c>
      <c r="F1010" s="140">
        <v>0</v>
      </c>
      <c r="G1010" s="140">
        <v>0</v>
      </c>
      <c r="H1010" s="140">
        <v>0</v>
      </c>
      <c r="I1010" s="140">
        <v>0</v>
      </c>
    </row>
    <row r="1011" spans="2:9" x14ac:dyDescent="0.3">
      <c r="B1011" t="s">
        <v>3684</v>
      </c>
      <c r="C1011" s="261">
        <v>5025590000000</v>
      </c>
      <c r="D1011" t="s">
        <v>3685</v>
      </c>
      <c r="E1011" s="140">
        <v>0</v>
      </c>
      <c r="F1011" s="140">
        <v>0</v>
      </c>
      <c r="G1011" s="140">
        <v>0</v>
      </c>
      <c r="H1011" s="140">
        <v>0</v>
      </c>
      <c r="I1011" s="140">
        <v>0</v>
      </c>
    </row>
    <row r="1012" spans="2:9" x14ac:dyDescent="0.3">
      <c r="B1012" t="s">
        <v>3686</v>
      </c>
      <c r="C1012" s="261">
        <v>29969200000000</v>
      </c>
      <c r="D1012" t="s">
        <v>3687</v>
      </c>
      <c r="E1012" s="140">
        <v>0</v>
      </c>
      <c r="F1012" s="140">
        <v>0</v>
      </c>
      <c r="G1012" s="140">
        <v>0</v>
      </c>
      <c r="H1012" s="140">
        <v>0</v>
      </c>
      <c r="I1012" s="140">
        <v>0</v>
      </c>
    </row>
    <row r="1013" spans="2:9" x14ac:dyDescent="0.3">
      <c r="B1013" t="s">
        <v>3688</v>
      </c>
      <c r="C1013" s="261">
        <v>32452600000000</v>
      </c>
      <c r="D1013" t="s">
        <v>3689</v>
      </c>
      <c r="E1013" s="140">
        <v>0</v>
      </c>
      <c r="F1013" s="140">
        <v>0</v>
      </c>
      <c r="G1013" s="140">
        <v>0</v>
      </c>
      <c r="H1013" s="140">
        <v>0</v>
      </c>
      <c r="I1013" s="140">
        <v>0</v>
      </c>
    </row>
    <row r="1014" spans="2:9" x14ac:dyDescent="0.3">
      <c r="B1014" t="s">
        <v>3690</v>
      </c>
      <c r="C1014" s="261">
        <v>7808210000000</v>
      </c>
      <c r="D1014" t="s">
        <v>3691</v>
      </c>
      <c r="E1014" s="140">
        <v>0</v>
      </c>
      <c r="F1014" s="140">
        <v>0</v>
      </c>
      <c r="G1014" s="140">
        <v>0</v>
      </c>
      <c r="H1014" s="140">
        <v>0</v>
      </c>
      <c r="I1014" s="140">
        <v>0</v>
      </c>
    </row>
    <row r="1015" spans="2:9" x14ac:dyDescent="0.3">
      <c r="B1015" t="s">
        <v>3692</v>
      </c>
      <c r="C1015" s="261">
        <v>26644400000000</v>
      </c>
      <c r="D1015" t="s">
        <v>3693</v>
      </c>
      <c r="E1015" s="140">
        <v>0</v>
      </c>
      <c r="F1015" s="140">
        <v>0</v>
      </c>
      <c r="G1015" s="140">
        <v>0</v>
      </c>
      <c r="H1015" s="140">
        <v>0</v>
      </c>
      <c r="I1015" s="140">
        <v>0</v>
      </c>
    </row>
    <row r="1016" spans="2:9" x14ac:dyDescent="0.3">
      <c r="B1016" t="s">
        <v>3694</v>
      </c>
      <c r="C1016" s="261">
        <v>14016900000000</v>
      </c>
      <c r="D1016" t="s">
        <v>3695</v>
      </c>
      <c r="E1016" s="140">
        <v>0</v>
      </c>
      <c r="F1016" s="140">
        <v>0</v>
      </c>
      <c r="G1016" s="140">
        <v>0</v>
      </c>
      <c r="H1016" s="140">
        <v>0</v>
      </c>
      <c r="I1016" s="140">
        <v>0</v>
      </c>
    </row>
    <row r="1017" spans="2:9" x14ac:dyDescent="0.3">
      <c r="B1017" t="s">
        <v>3696</v>
      </c>
      <c r="C1017" s="261">
        <v>27039900000000</v>
      </c>
      <c r="D1017" t="s">
        <v>3697</v>
      </c>
      <c r="E1017" s="140">
        <v>0</v>
      </c>
      <c r="F1017" s="140">
        <v>0</v>
      </c>
      <c r="G1017" s="140">
        <v>0</v>
      </c>
      <c r="H1017" s="140">
        <v>0</v>
      </c>
      <c r="I1017" s="140">
        <v>0</v>
      </c>
    </row>
    <row r="1018" spans="2:9" x14ac:dyDescent="0.3">
      <c r="B1018" t="s">
        <v>3698</v>
      </c>
      <c r="C1018" s="261">
        <v>8706550000000</v>
      </c>
      <c r="D1018" t="s">
        <v>3699</v>
      </c>
      <c r="E1018" s="140">
        <v>0</v>
      </c>
      <c r="F1018" s="140">
        <v>0</v>
      </c>
      <c r="G1018" s="140">
        <v>0</v>
      </c>
      <c r="H1018" s="140">
        <v>0</v>
      </c>
      <c r="I1018" s="140">
        <v>0</v>
      </c>
    </row>
    <row r="1019" spans="2:9" x14ac:dyDescent="0.3">
      <c r="B1019" t="s">
        <v>3700</v>
      </c>
      <c r="C1019" s="261">
        <v>30040600000000</v>
      </c>
      <c r="D1019" t="s">
        <v>3701</v>
      </c>
      <c r="E1019" s="140">
        <v>0</v>
      </c>
      <c r="F1019" s="140">
        <v>0</v>
      </c>
      <c r="G1019" s="140">
        <v>0</v>
      </c>
      <c r="H1019" s="140">
        <v>0</v>
      </c>
      <c r="I1019" s="140">
        <v>0</v>
      </c>
    </row>
    <row r="1020" spans="2:9" x14ac:dyDescent="0.3">
      <c r="B1020" t="s">
        <v>3702</v>
      </c>
      <c r="C1020" s="261">
        <v>30780700000000</v>
      </c>
      <c r="D1020" t="s">
        <v>3703</v>
      </c>
      <c r="E1020" s="140">
        <v>0</v>
      </c>
      <c r="F1020" s="140">
        <v>0</v>
      </c>
      <c r="G1020" s="140">
        <v>0</v>
      </c>
      <c r="H1020" s="140">
        <v>0</v>
      </c>
      <c r="I1020" s="140">
        <v>0</v>
      </c>
    </row>
    <row r="1021" spans="2:9" x14ac:dyDescent="0.3">
      <c r="B1021" t="s">
        <v>3704</v>
      </c>
      <c r="C1021" s="261">
        <v>15267100000000</v>
      </c>
      <c r="D1021" t="s">
        <v>3705</v>
      </c>
      <c r="E1021" s="140">
        <v>0</v>
      </c>
      <c r="F1021" s="140">
        <v>0</v>
      </c>
      <c r="G1021" s="140">
        <v>0</v>
      </c>
      <c r="H1021" s="140">
        <v>0</v>
      </c>
      <c r="I1021" s="140">
        <v>0</v>
      </c>
    </row>
    <row r="1022" spans="2:9" x14ac:dyDescent="0.3">
      <c r="B1022" t="s">
        <v>3706</v>
      </c>
      <c r="C1022" s="261">
        <v>8747230000000</v>
      </c>
      <c r="D1022" t="s">
        <v>3707</v>
      </c>
      <c r="E1022" s="140">
        <v>0</v>
      </c>
      <c r="F1022" s="140">
        <v>0</v>
      </c>
      <c r="G1022" s="140">
        <v>0</v>
      </c>
      <c r="H1022" s="140">
        <v>0</v>
      </c>
      <c r="I1022" s="140">
        <v>0</v>
      </c>
    </row>
    <row r="1023" spans="2:9" x14ac:dyDescent="0.3">
      <c r="B1023" t="s">
        <v>799</v>
      </c>
      <c r="C1023" s="261">
        <v>2939150000000</v>
      </c>
      <c r="D1023" t="s">
        <v>800</v>
      </c>
      <c r="E1023" s="140">
        <v>0</v>
      </c>
      <c r="F1023" s="140">
        <v>0</v>
      </c>
      <c r="G1023" s="140">
        <v>0</v>
      </c>
      <c r="H1023" s="140">
        <v>0</v>
      </c>
      <c r="I1023" s="140">
        <v>0</v>
      </c>
    </row>
    <row r="1024" spans="2:9" x14ac:dyDescent="0.3">
      <c r="B1024" t="s">
        <v>3708</v>
      </c>
      <c r="C1024" s="261">
        <v>9274820000000</v>
      </c>
      <c r="D1024" t="s">
        <v>3709</v>
      </c>
      <c r="E1024" s="140">
        <v>0</v>
      </c>
      <c r="F1024" s="140">
        <v>0</v>
      </c>
      <c r="G1024" s="140">
        <v>0</v>
      </c>
      <c r="H1024" s="140">
        <v>0</v>
      </c>
      <c r="I1024" s="140">
        <v>0</v>
      </c>
    </row>
    <row r="1025" spans="2:9" x14ac:dyDescent="0.3">
      <c r="B1025" t="s">
        <v>3710</v>
      </c>
      <c r="C1025" s="261">
        <v>20306500000000</v>
      </c>
      <c r="D1025" t="s">
        <v>3711</v>
      </c>
      <c r="E1025" s="140">
        <v>0</v>
      </c>
      <c r="F1025" s="140">
        <v>0</v>
      </c>
      <c r="G1025" s="140">
        <v>0</v>
      </c>
      <c r="H1025" s="140">
        <v>0</v>
      </c>
      <c r="I1025" s="140">
        <v>0</v>
      </c>
    </row>
    <row r="1026" spans="2:9" x14ac:dyDescent="0.3">
      <c r="B1026" t="s">
        <v>1653</v>
      </c>
      <c r="C1026" s="261">
        <v>7341420000000</v>
      </c>
      <c r="D1026" t="s">
        <v>150</v>
      </c>
      <c r="E1026" s="140">
        <v>0</v>
      </c>
      <c r="F1026" s="140">
        <v>0</v>
      </c>
      <c r="G1026" s="140">
        <v>0</v>
      </c>
      <c r="H1026" s="140">
        <v>0</v>
      </c>
      <c r="I1026" s="140">
        <v>0</v>
      </c>
    </row>
    <row r="1027" spans="2:9" x14ac:dyDescent="0.3">
      <c r="B1027" t="s">
        <v>801</v>
      </c>
      <c r="C1027" s="261">
        <v>14031100000000</v>
      </c>
      <c r="D1027" t="s">
        <v>151</v>
      </c>
      <c r="E1027" s="140">
        <v>0</v>
      </c>
      <c r="F1027" s="140">
        <v>416</v>
      </c>
      <c r="G1027" s="140">
        <v>-416</v>
      </c>
      <c r="H1027" s="140">
        <v>0</v>
      </c>
      <c r="I1027" s="140">
        <v>0</v>
      </c>
    </row>
    <row r="1028" spans="2:9" x14ac:dyDescent="0.3">
      <c r="B1028" t="s">
        <v>3712</v>
      </c>
      <c r="C1028" s="261">
        <v>20129600000000</v>
      </c>
      <c r="D1028" t="s">
        <v>3713</v>
      </c>
      <c r="E1028" s="140">
        <v>0</v>
      </c>
      <c r="F1028" s="140">
        <v>0</v>
      </c>
      <c r="G1028" s="140">
        <v>0</v>
      </c>
      <c r="H1028" s="140">
        <v>0</v>
      </c>
      <c r="I1028" s="140">
        <v>0</v>
      </c>
    </row>
    <row r="1029" spans="2:9" x14ac:dyDescent="0.3">
      <c r="B1029" t="s">
        <v>3714</v>
      </c>
      <c r="C1029" s="261">
        <v>58932600000000</v>
      </c>
      <c r="D1029" t="s">
        <v>3715</v>
      </c>
      <c r="E1029" s="140">
        <v>0</v>
      </c>
      <c r="F1029" s="140">
        <v>0</v>
      </c>
      <c r="G1029" s="140">
        <v>0</v>
      </c>
      <c r="H1029" s="140">
        <v>0</v>
      </c>
      <c r="I1029" s="140">
        <v>0</v>
      </c>
    </row>
    <row r="1030" spans="2:9" x14ac:dyDescent="0.3">
      <c r="B1030" t="s">
        <v>3716</v>
      </c>
      <c r="C1030" s="261">
        <v>35816200000000</v>
      </c>
      <c r="D1030" t="s">
        <v>3717</v>
      </c>
      <c r="E1030" s="140">
        <v>0</v>
      </c>
      <c r="F1030" s="140">
        <v>0</v>
      </c>
      <c r="G1030" s="140">
        <v>0</v>
      </c>
      <c r="H1030" s="140">
        <v>0</v>
      </c>
      <c r="I1030" s="140">
        <v>0</v>
      </c>
    </row>
    <row r="1031" spans="2:9" x14ac:dyDescent="0.3">
      <c r="B1031" t="s">
        <v>3718</v>
      </c>
      <c r="C1031" s="261">
        <v>62070100000000</v>
      </c>
      <c r="D1031" t="s">
        <v>3719</v>
      </c>
      <c r="E1031" s="140">
        <v>0</v>
      </c>
      <c r="F1031" s="140">
        <v>0</v>
      </c>
      <c r="G1031" s="140">
        <v>0</v>
      </c>
      <c r="H1031" s="140">
        <v>0</v>
      </c>
      <c r="I1031" s="140">
        <v>0</v>
      </c>
    </row>
    <row r="1032" spans="2:9" x14ac:dyDescent="0.3">
      <c r="B1032" t="s">
        <v>3720</v>
      </c>
      <c r="C1032" s="261">
        <v>5486290000000</v>
      </c>
      <c r="D1032" t="s">
        <v>3721</v>
      </c>
      <c r="E1032" s="140">
        <v>0</v>
      </c>
      <c r="F1032" s="140">
        <v>0</v>
      </c>
      <c r="G1032" s="140">
        <v>0</v>
      </c>
      <c r="H1032" s="140">
        <v>0</v>
      </c>
      <c r="I1032" s="140">
        <v>0</v>
      </c>
    </row>
    <row r="1033" spans="2:9" x14ac:dyDescent="0.3">
      <c r="B1033" t="s">
        <v>802</v>
      </c>
      <c r="C1033" s="261">
        <v>1082330000000</v>
      </c>
      <c r="D1033" t="s">
        <v>803</v>
      </c>
      <c r="E1033" s="140">
        <v>0</v>
      </c>
      <c r="F1033" s="140">
        <v>5</v>
      </c>
      <c r="G1033" s="140">
        <v>-5</v>
      </c>
      <c r="H1033" s="140">
        <v>0</v>
      </c>
      <c r="I1033" s="140">
        <v>0</v>
      </c>
    </row>
    <row r="1034" spans="2:9" x14ac:dyDescent="0.3">
      <c r="B1034" t="s">
        <v>3722</v>
      </c>
      <c r="C1034" s="261">
        <v>4236620000000</v>
      </c>
      <c r="D1034" t="s">
        <v>3723</v>
      </c>
      <c r="E1034" s="140">
        <v>0</v>
      </c>
      <c r="F1034" s="140">
        <v>0</v>
      </c>
      <c r="G1034" s="140">
        <v>0</v>
      </c>
      <c r="H1034" s="140">
        <v>0</v>
      </c>
      <c r="I1034" s="140">
        <v>0</v>
      </c>
    </row>
    <row r="1035" spans="2:9" x14ac:dyDescent="0.3">
      <c r="B1035" t="s">
        <v>804</v>
      </c>
      <c r="C1035" s="261">
        <v>21449300000000</v>
      </c>
      <c r="D1035" t="s">
        <v>805</v>
      </c>
      <c r="E1035" s="140">
        <v>0</v>
      </c>
      <c r="F1035" s="140">
        <v>10</v>
      </c>
      <c r="G1035" s="140">
        <v>-10</v>
      </c>
      <c r="H1035" s="140">
        <v>0</v>
      </c>
      <c r="I1035" s="140">
        <v>0</v>
      </c>
    </row>
    <row r="1036" spans="2:9" x14ac:dyDescent="0.3">
      <c r="B1036" t="s">
        <v>1654</v>
      </c>
      <c r="C1036" s="261">
        <v>11825800000000</v>
      </c>
      <c r="D1036" t="s">
        <v>152</v>
      </c>
      <c r="E1036" s="140">
        <v>0</v>
      </c>
      <c r="F1036" s="140">
        <v>0</v>
      </c>
      <c r="G1036" s="140">
        <v>0</v>
      </c>
      <c r="H1036" s="140">
        <v>0</v>
      </c>
      <c r="I1036" s="140">
        <v>0</v>
      </c>
    </row>
    <row r="1037" spans="2:9" x14ac:dyDescent="0.3">
      <c r="B1037" t="s">
        <v>806</v>
      </c>
      <c r="C1037" s="261">
        <v>14087600000000</v>
      </c>
      <c r="D1037" t="s">
        <v>807</v>
      </c>
      <c r="E1037" s="140">
        <v>0</v>
      </c>
      <c r="F1037" s="140">
        <v>0</v>
      </c>
      <c r="G1037" s="140">
        <v>0</v>
      </c>
      <c r="H1037" s="140">
        <v>0</v>
      </c>
      <c r="I1037" s="140">
        <v>0</v>
      </c>
    </row>
    <row r="1038" spans="2:9" x14ac:dyDescent="0.3">
      <c r="B1038" t="s">
        <v>3724</v>
      </c>
      <c r="C1038" s="261">
        <v>23316000000000</v>
      </c>
      <c r="D1038" t="s">
        <v>3725</v>
      </c>
      <c r="E1038" s="140">
        <v>0</v>
      </c>
      <c r="F1038" s="140">
        <v>0</v>
      </c>
      <c r="G1038" s="140">
        <v>0</v>
      </c>
      <c r="H1038" s="140">
        <v>0</v>
      </c>
      <c r="I1038" s="140">
        <v>0</v>
      </c>
    </row>
    <row r="1039" spans="2:9" x14ac:dyDescent="0.3">
      <c r="B1039" t="s">
        <v>808</v>
      </c>
      <c r="C1039" s="261">
        <v>74336600000000</v>
      </c>
      <c r="D1039" t="s">
        <v>809</v>
      </c>
      <c r="E1039" s="140">
        <v>0</v>
      </c>
      <c r="F1039" s="140">
        <v>0</v>
      </c>
      <c r="G1039" s="140">
        <v>0</v>
      </c>
      <c r="H1039" s="140">
        <v>0</v>
      </c>
      <c r="I1039" s="140">
        <v>0</v>
      </c>
    </row>
    <row r="1040" spans="2:9" x14ac:dyDescent="0.3">
      <c r="B1040" t="s">
        <v>3726</v>
      </c>
      <c r="C1040" s="261">
        <v>67634000000000</v>
      </c>
      <c r="D1040" t="s">
        <v>3727</v>
      </c>
      <c r="E1040" s="140">
        <v>0</v>
      </c>
      <c r="F1040" s="140">
        <v>0</v>
      </c>
      <c r="G1040" s="140">
        <v>0</v>
      </c>
      <c r="H1040" s="140">
        <v>0</v>
      </c>
      <c r="I1040" s="140">
        <v>0</v>
      </c>
    </row>
    <row r="1041" spans="2:9" x14ac:dyDescent="0.3">
      <c r="B1041" t="s">
        <v>3728</v>
      </c>
      <c r="C1041" s="261">
        <v>26410300000000</v>
      </c>
      <c r="D1041" t="s">
        <v>3729</v>
      </c>
      <c r="E1041" s="140">
        <v>0</v>
      </c>
      <c r="F1041" s="140">
        <v>0</v>
      </c>
      <c r="G1041" s="140">
        <v>0</v>
      </c>
      <c r="H1041" s="140">
        <v>0</v>
      </c>
      <c r="I1041" s="140">
        <v>0</v>
      </c>
    </row>
    <row r="1042" spans="2:9" x14ac:dyDescent="0.3">
      <c r="B1042" t="s">
        <v>3730</v>
      </c>
      <c r="C1042" s="261">
        <v>10618200000000</v>
      </c>
      <c r="D1042" t="s">
        <v>3731</v>
      </c>
      <c r="E1042" s="140">
        <v>0</v>
      </c>
      <c r="F1042" s="140">
        <v>0</v>
      </c>
      <c r="G1042" s="140">
        <v>0</v>
      </c>
      <c r="H1042" s="140">
        <v>0</v>
      </c>
      <c r="I1042" s="140">
        <v>0</v>
      </c>
    </row>
    <row r="1043" spans="2:9" x14ac:dyDescent="0.3">
      <c r="B1043" t="s">
        <v>3732</v>
      </c>
      <c r="C1043" s="261">
        <v>3784680000000</v>
      </c>
      <c r="D1043" t="s">
        <v>3733</v>
      </c>
      <c r="E1043" s="140">
        <v>0</v>
      </c>
      <c r="F1043" s="140">
        <v>0</v>
      </c>
      <c r="G1043" s="140">
        <v>0</v>
      </c>
      <c r="H1043" s="140">
        <v>0</v>
      </c>
      <c r="I1043" s="140">
        <v>0</v>
      </c>
    </row>
    <row r="1044" spans="2:9" x14ac:dyDescent="0.3">
      <c r="B1044" t="s">
        <v>1655</v>
      </c>
      <c r="C1044" s="261">
        <v>29493500000000</v>
      </c>
      <c r="D1044" t="s">
        <v>1656</v>
      </c>
      <c r="E1044" s="140">
        <v>0</v>
      </c>
      <c r="F1044" s="140">
        <v>0</v>
      </c>
      <c r="G1044" s="140">
        <v>0</v>
      </c>
      <c r="H1044" s="140">
        <v>0</v>
      </c>
      <c r="I1044" s="140">
        <v>0</v>
      </c>
    </row>
    <row r="1045" spans="2:9" x14ac:dyDescent="0.3">
      <c r="B1045" t="s">
        <v>3734</v>
      </c>
      <c r="C1045" s="261">
        <v>35851500000000</v>
      </c>
      <c r="D1045" t="s">
        <v>3735</v>
      </c>
      <c r="E1045" s="140">
        <v>0</v>
      </c>
      <c r="F1045" s="140">
        <v>0</v>
      </c>
      <c r="G1045" s="140">
        <v>0</v>
      </c>
      <c r="H1045" s="140">
        <v>0</v>
      </c>
      <c r="I1045" s="140">
        <v>0</v>
      </c>
    </row>
    <row r="1046" spans="2:9" x14ac:dyDescent="0.3">
      <c r="B1046" t="s">
        <v>1657</v>
      </c>
      <c r="C1046" s="261">
        <v>8817860000000</v>
      </c>
      <c r="D1046" t="s">
        <v>1658</v>
      </c>
      <c r="E1046" s="140">
        <v>0</v>
      </c>
      <c r="F1046" s="140">
        <v>0</v>
      </c>
      <c r="G1046" s="140">
        <v>0</v>
      </c>
      <c r="H1046" s="140">
        <v>0</v>
      </c>
      <c r="I1046" s="140">
        <v>0</v>
      </c>
    </row>
    <row r="1047" spans="2:9" x14ac:dyDescent="0.3">
      <c r="B1047" t="s">
        <v>3736</v>
      </c>
      <c r="C1047" s="261">
        <v>37748800000000</v>
      </c>
      <c r="D1047" t="s">
        <v>3737</v>
      </c>
      <c r="E1047" s="140">
        <v>0</v>
      </c>
      <c r="F1047" s="140">
        <v>0</v>
      </c>
      <c r="G1047" s="140">
        <v>0</v>
      </c>
      <c r="H1047" s="140">
        <v>0</v>
      </c>
      <c r="I1047" s="140">
        <v>0</v>
      </c>
    </row>
    <row r="1048" spans="2:9" x14ac:dyDescent="0.3">
      <c r="B1048" t="s">
        <v>3738</v>
      </c>
      <c r="C1048" s="261">
        <v>5569970000000</v>
      </c>
      <c r="D1048" t="s">
        <v>3739</v>
      </c>
      <c r="E1048" s="140">
        <v>0</v>
      </c>
      <c r="F1048" s="140">
        <v>0</v>
      </c>
      <c r="G1048" s="140">
        <v>0</v>
      </c>
      <c r="H1048" s="140">
        <v>0</v>
      </c>
      <c r="I1048" s="140">
        <v>0</v>
      </c>
    </row>
    <row r="1049" spans="2:9" x14ac:dyDescent="0.3">
      <c r="B1049" t="s">
        <v>3740</v>
      </c>
      <c r="C1049" s="261">
        <v>8865620000000</v>
      </c>
      <c r="D1049" t="s">
        <v>3741</v>
      </c>
      <c r="E1049" s="140">
        <v>0</v>
      </c>
      <c r="F1049" s="140">
        <v>0</v>
      </c>
      <c r="G1049" s="140">
        <v>0</v>
      </c>
      <c r="H1049" s="140">
        <v>0</v>
      </c>
      <c r="I1049" s="140">
        <v>0</v>
      </c>
    </row>
    <row r="1050" spans="2:9" x14ac:dyDescent="0.3">
      <c r="B1050" t="s">
        <v>810</v>
      </c>
      <c r="C1050" s="261">
        <v>7192480000000</v>
      </c>
      <c r="D1050" t="s">
        <v>153</v>
      </c>
      <c r="E1050" s="140">
        <v>-36</v>
      </c>
      <c r="F1050" s="140">
        <v>36</v>
      </c>
      <c r="G1050" s="140">
        <v>0</v>
      </c>
      <c r="H1050" s="140">
        <v>36</v>
      </c>
      <c r="I1050" s="140">
        <v>0</v>
      </c>
    </row>
    <row r="1051" spans="2:9" x14ac:dyDescent="0.3">
      <c r="B1051" t="s">
        <v>3742</v>
      </c>
      <c r="C1051" s="261">
        <v>49607300000000</v>
      </c>
      <c r="D1051" t="s">
        <v>3743</v>
      </c>
      <c r="E1051" s="140">
        <v>0</v>
      </c>
      <c r="F1051" s="140">
        <v>0</v>
      </c>
      <c r="G1051" s="140">
        <v>0</v>
      </c>
      <c r="H1051" s="140">
        <v>0</v>
      </c>
      <c r="I1051" s="140">
        <v>0</v>
      </c>
    </row>
    <row r="1052" spans="2:9" x14ac:dyDescent="0.3">
      <c r="B1052" t="s">
        <v>3744</v>
      </c>
      <c r="C1052" s="261">
        <v>13529500000000</v>
      </c>
      <c r="D1052" t="s">
        <v>3745</v>
      </c>
      <c r="E1052" s="140">
        <v>0</v>
      </c>
      <c r="F1052" s="140">
        <v>0</v>
      </c>
      <c r="G1052" s="140">
        <v>0</v>
      </c>
      <c r="H1052" s="140">
        <v>0</v>
      </c>
      <c r="I1052" s="140">
        <v>0</v>
      </c>
    </row>
    <row r="1053" spans="2:9" x14ac:dyDescent="0.3">
      <c r="B1053" t="s">
        <v>3746</v>
      </c>
      <c r="C1053" s="261">
        <v>10237100000000</v>
      </c>
      <c r="D1053" t="s">
        <v>3747</v>
      </c>
      <c r="E1053" s="140">
        <v>0</v>
      </c>
      <c r="F1053" s="140">
        <v>0</v>
      </c>
      <c r="G1053" s="140">
        <v>0</v>
      </c>
      <c r="H1053" s="140">
        <v>0</v>
      </c>
      <c r="I1053" s="140">
        <v>0</v>
      </c>
    </row>
    <row r="1054" spans="2:9" x14ac:dyDescent="0.3">
      <c r="B1054" t="s">
        <v>3748</v>
      </c>
      <c r="C1054" s="261">
        <v>13517600000000</v>
      </c>
      <c r="D1054" t="s">
        <v>3749</v>
      </c>
      <c r="E1054" s="140">
        <v>0</v>
      </c>
      <c r="F1054" s="140">
        <v>0</v>
      </c>
      <c r="G1054" s="140">
        <v>0</v>
      </c>
      <c r="H1054" s="140">
        <v>0</v>
      </c>
      <c r="I1054" s="140">
        <v>0</v>
      </c>
    </row>
    <row r="1055" spans="2:9" x14ac:dyDescent="0.3">
      <c r="B1055" t="s">
        <v>3750</v>
      </c>
      <c r="C1055" s="261">
        <v>33175200000000</v>
      </c>
      <c r="D1055" t="s">
        <v>3751</v>
      </c>
      <c r="E1055" s="140">
        <v>0</v>
      </c>
      <c r="F1055" s="140">
        <v>0</v>
      </c>
      <c r="G1055" s="140">
        <v>0</v>
      </c>
      <c r="H1055" s="140">
        <v>0</v>
      </c>
      <c r="I1055" s="140">
        <v>0</v>
      </c>
    </row>
    <row r="1056" spans="2:9" x14ac:dyDescent="0.3">
      <c r="B1056" t="s">
        <v>3752</v>
      </c>
      <c r="C1056" s="261">
        <v>24736100000000</v>
      </c>
      <c r="D1056" t="s">
        <v>3753</v>
      </c>
      <c r="E1056" s="140">
        <v>0</v>
      </c>
      <c r="F1056" s="140">
        <v>0</v>
      </c>
      <c r="G1056" s="140">
        <v>0</v>
      </c>
      <c r="H1056" s="140">
        <v>0</v>
      </c>
      <c r="I1056" s="140">
        <v>0</v>
      </c>
    </row>
    <row r="1057" spans="2:9" x14ac:dyDescent="0.3">
      <c r="B1057" t="s">
        <v>811</v>
      </c>
      <c r="C1057" s="261">
        <v>28066300000000</v>
      </c>
      <c r="D1057" t="s">
        <v>154</v>
      </c>
      <c r="E1057" s="140">
        <v>0</v>
      </c>
      <c r="F1057" s="140">
        <v>0</v>
      </c>
      <c r="G1057" s="140">
        <v>0</v>
      </c>
      <c r="H1057" s="140">
        <v>0</v>
      </c>
      <c r="I1057" s="140">
        <v>0</v>
      </c>
    </row>
    <row r="1058" spans="2:9" x14ac:dyDescent="0.3">
      <c r="B1058" t="s">
        <v>3754</v>
      </c>
      <c r="C1058" s="261">
        <v>7929380000000</v>
      </c>
      <c r="D1058" t="s">
        <v>3755</v>
      </c>
      <c r="E1058" s="140">
        <v>0</v>
      </c>
      <c r="F1058" s="140">
        <v>0</v>
      </c>
      <c r="G1058" s="140">
        <v>0</v>
      </c>
      <c r="H1058" s="140">
        <v>0</v>
      </c>
      <c r="I1058" s="140">
        <v>0</v>
      </c>
    </row>
    <row r="1059" spans="2:9" x14ac:dyDescent="0.3">
      <c r="B1059" t="s">
        <v>3756</v>
      </c>
      <c r="C1059" s="261">
        <v>36984100000000</v>
      </c>
      <c r="D1059" t="s">
        <v>3757</v>
      </c>
      <c r="E1059" s="140">
        <v>0</v>
      </c>
      <c r="F1059" s="140">
        <v>0</v>
      </c>
      <c r="G1059" s="140">
        <v>0</v>
      </c>
      <c r="H1059" s="140">
        <v>0</v>
      </c>
      <c r="I1059" s="140">
        <v>0</v>
      </c>
    </row>
    <row r="1060" spans="2:9" x14ac:dyDescent="0.3">
      <c r="B1060" t="s">
        <v>3758</v>
      </c>
      <c r="C1060" s="261">
        <v>32319700000000</v>
      </c>
      <c r="D1060" t="s">
        <v>3759</v>
      </c>
      <c r="E1060" s="140">
        <v>0</v>
      </c>
      <c r="F1060" s="140">
        <v>0</v>
      </c>
      <c r="G1060" s="140">
        <v>0</v>
      </c>
      <c r="H1060" s="140">
        <v>0</v>
      </c>
      <c r="I1060" s="140">
        <v>0</v>
      </c>
    </row>
    <row r="1061" spans="2:9" x14ac:dyDescent="0.3">
      <c r="B1061" t="s">
        <v>3760</v>
      </c>
      <c r="C1061" s="261">
        <v>38010500000000</v>
      </c>
      <c r="D1061" t="s">
        <v>3761</v>
      </c>
      <c r="E1061" s="140">
        <v>0</v>
      </c>
      <c r="F1061" s="140">
        <v>0</v>
      </c>
      <c r="G1061" s="140">
        <v>0</v>
      </c>
      <c r="H1061" s="140">
        <v>0</v>
      </c>
      <c r="I1061" s="140">
        <v>0</v>
      </c>
    </row>
    <row r="1062" spans="2:9" x14ac:dyDescent="0.3">
      <c r="B1062" t="s">
        <v>812</v>
      </c>
      <c r="C1062" s="261">
        <v>11522000000000</v>
      </c>
      <c r="D1062" t="s">
        <v>813</v>
      </c>
      <c r="E1062" s="140">
        <v>0</v>
      </c>
      <c r="F1062" s="140">
        <v>0</v>
      </c>
      <c r="G1062" s="140">
        <v>0</v>
      </c>
      <c r="H1062" s="140">
        <v>0</v>
      </c>
      <c r="I1062" s="140">
        <v>0</v>
      </c>
    </row>
    <row r="1063" spans="2:9" x14ac:dyDescent="0.3">
      <c r="B1063" t="s">
        <v>1659</v>
      </c>
      <c r="C1063" s="261">
        <v>64909700000000</v>
      </c>
      <c r="D1063" t="s">
        <v>1660</v>
      </c>
      <c r="E1063" s="140">
        <v>0</v>
      </c>
      <c r="F1063" s="140">
        <v>0</v>
      </c>
      <c r="G1063" s="140">
        <v>0</v>
      </c>
      <c r="H1063" s="140">
        <v>0</v>
      </c>
      <c r="I1063" s="140">
        <v>0</v>
      </c>
    </row>
    <row r="1064" spans="2:9" x14ac:dyDescent="0.3">
      <c r="B1064" t="s">
        <v>3762</v>
      </c>
      <c r="C1064" s="261">
        <v>35791400000000</v>
      </c>
      <c r="D1064" t="s">
        <v>3763</v>
      </c>
      <c r="E1064" s="140">
        <v>0</v>
      </c>
      <c r="F1064" s="140">
        <v>0</v>
      </c>
      <c r="G1064" s="140">
        <v>0</v>
      </c>
      <c r="H1064" s="140">
        <v>0</v>
      </c>
      <c r="I1064" s="140">
        <v>0</v>
      </c>
    </row>
    <row r="1065" spans="2:9" x14ac:dyDescent="0.3">
      <c r="B1065" t="s">
        <v>3764</v>
      </c>
      <c r="C1065" s="261">
        <v>15610500000000</v>
      </c>
      <c r="D1065" t="s">
        <v>3765</v>
      </c>
      <c r="E1065" s="140">
        <v>0</v>
      </c>
      <c r="F1065" s="140">
        <v>0</v>
      </c>
      <c r="G1065" s="140">
        <v>0</v>
      </c>
      <c r="H1065" s="140">
        <v>0</v>
      </c>
      <c r="I1065" s="140">
        <v>0</v>
      </c>
    </row>
    <row r="1066" spans="2:9" x14ac:dyDescent="0.3">
      <c r="B1066" t="s">
        <v>3766</v>
      </c>
      <c r="C1066" s="261">
        <v>11204400000000</v>
      </c>
      <c r="D1066" t="s">
        <v>3767</v>
      </c>
      <c r="E1066" s="140">
        <v>0</v>
      </c>
      <c r="F1066" s="140">
        <v>0</v>
      </c>
      <c r="G1066" s="140">
        <v>0</v>
      </c>
      <c r="H1066" s="140">
        <v>0</v>
      </c>
      <c r="I1066" s="140">
        <v>0</v>
      </c>
    </row>
    <row r="1067" spans="2:9" x14ac:dyDescent="0.3">
      <c r="B1067" t="s">
        <v>3768</v>
      </c>
      <c r="C1067" s="261">
        <v>29775800000000</v>
      </c>
      <c r="D1067" t="s">
        <v>3769</v>
      </c>
      <c r="E1067" s="140">
        <v>0</v>
      </c>
      <c r="F1067" s="140">
        <v>0</v>
      </c>
      <c r="G1067" s="140">
        <v>0</v>
      </c>
      <c r="H1067" s="140">
        <v>0</v>
      </c>
      <c r="I1067" s="140">
        <v>0</v>
      </c>
    </row>
    <row r="1068" spans="2:9" x14ac:dyDescent="0.3">
      <c r="B1068" t="s">
        <v>814</v>
      </c>
      <c r="C1068" s="261">
        <v>15011200000000</v>
      </c>
      <c r="D1068" t="s">
        <v>815</v>
      </c>
      <c r="E1068" s="140">
        <v>0</v>
      </c>
      <c r="F1068" s="140">
        <v>2</v>
      </c>
      <c r="G1068" s="140">
        <v>-2</v>
      </c>
      <c r="H1068" s="140">
        <v>0</v>
      </c>
      <c r="I1068" s="140">
        <v>0</v>
      </c>
    </row>
    <row r="1069" spans="2:9" x14ac:dyDescent="0.3">
      <c r="B1069" t="s">
        <v>3770</v>
      </c>
      <c r="C1069" s="261">
        <v>13157600000000</v>
      </c>
      <c r="D1069" t="s">
        <v>3771</v>
      </c>
      <c r="E1069" s="140">
        <v>0</v>
      </c>
      <c r="F1069" s="140">
        <v>0</v>
      </c>
      <c r="G1069" s="140">
        <v>0</v>
      </c>
      <c r="H1069" s="140">
        <v>0</v>
      </c>
      <c r="I1069" s="140">
        <v>0</v>
      </c>
    </row>
    <row r="1070" spans="2:9" x14ac:dyDescent="0.3">
      <c r="B1070" t="s">
        <v>3772</v>
      </c>
      <c r="C1070" s="261">
        <v>2081860000000</v>
      </c>
      <c r="D1070" t="s">
        <v>3773</v>
      </c>
      <c r="E1070" s="140">
        <v>0</v>
      </c>
      <c r="F1070" s="140">
        <v>0</v>
      </c>
      <c r="G1070" s="140">
        <v>0</v>
      </c>
      <c r="H1070" s="140">
        <v>0</v>
      </c>
      <c r="I1070" s="140">
        <v>0</v>
      </c>
    </row>
    <row r="1071" spans="2:9" x14ac:dyDescent="0.3">
      <c r="B1071" t="s">
        <v>3774</v>
      </c>
      <c r="C1071" s="261">
        <v>36826500000000</v>
      </c>
      <c r="D1071" t="s">
        <v>3775</v>
      </c>
      <c r="E1071" s="140">
        <v>0</v>
      </c>
      <c r="F1071" s="140">
        <v>0</v>
      </c>
      <c r="G1071" s="140">
        <v>0</v>
      </c>
      <c r="H1071" s="140">
        <v>0</v>
      </c>
      <c r="I1071" s="140">
        <v>0</v>
      </c>
    </row>
    <row r="1072" spans="2:9" x14ac:dyDescent="0.3">
      <c r="B1072" t="s">
        <v>3776</v>
      </c>
      <c r="C1072" s="261">
        <v>5246000000000</v>
      </c>
      <c r="D1072" t="s">
        <v>3777</v>
      </c>
      <c r="E1072" s="140">
        <v>0</v>
      </c>
      <c r="F1072" s="140">
        <v>0</v>
      </c>
      <c r="G1072" s="140">
        <v>0</v>
      </c>
      <c r="H1072" s="140">
        <v>0</v>
      </c>
      <c r="I1072" s="140">
        <v>0</v>
      </c>
    </row>
    <row r="1073" spans="2:9" x14ac:dyDescent="0.3">
      <c r="B1073" t="s">
        <v>1023</v>
      </c>
      <c r="C1073" s="261">
        <v>3364280000000</v>
      </c>
      <c r="D1073" t="s">
        <v>816</v>
      </c>
      <c r="E1073" s="140">
        <v>0</v>
      </c>
      <c r="F1073" s="140">
        <v>0</v>
      </c>
      <c r="G1073" s="140">
        <v>-1</v>
      </c>
      <c r="H1073" s="140">
        <v>-1</v>
      </c>
      <c r="I1073" s="140">
        <v>-1</v>
      </c>
    </row>
    <row r="1074" spans="2:9" x14ac:dyDescent="0.3">
      <c r="B1074" t="s">
        <v>3778</v>
      </c>
      <c r="C1074" s="261">
        <v>188111000000</v>
      </c>
      <c r="D1074" t="s">
        <v>3779</v>
      </c>
      <c r="E1074" s="140">
        <v>0</v>
      </c>
      <c r="F1074" s="140">
        <v>0</v>
      </c>
      <c r="G1074" s="140">
        <v>0</v>
      </c>
      <c r="H1074" s="140">
        <v>0</v>
      </c>
      <c r="I1074" s="140">
        <v>0</v>
      </c>
    </row>
    <row r="1075" spans="2:9" x14ac:dyDescent="0.3">
      <c r="B1075" t="s">
        <v>3780</v>
      </c>
      <c r="C1075" s="261">
        <v>21728300000000</v>
      </c>
      <c r="D1075" t="s">
        <v>3781</v>
      </c>
      <c r="E1075" s="140">
        <v>0</v>
      </c>
      <c r="F1075" s="140">
        <v>0</v>
      </c>
      <c r="G1075" s="140">
        <v>0</v>
      </c>
      <c r="H1075" s="140">
        <v>0</v>
      </c>
      <c r="I1075" s="140">
        <v>0</v>
      </c>
    </row>
    <row r="1076" spans="2:9" x14ac:dyDescent="0.3">
      <c r="B1076" t="s">
        <v>3782</v>
      </c>
      <c r="C1076" s="261">
        <v>82429600000000</v>
      </c>
      <c r="D1076" t="s">
        <v>3783</v>
      </c>
      <c r="E1076" s="140">
        <v>0</v>
      </c>
      <c r="F1076" s="140">
        <v>0</v>
      </c>
      <c r="G1076" s="140">
        <v>0</v>
      </c>
      <c r="H1076" s="140">
        <v>0</v>
      </c>
      <c r="I1076" s="140">
        <v>0</v>
      </c>
    </row>
    <row r="1077" spans="2:9" x14ac:dyDescent="0.3">
      <c r="B1077" t="s">
        <v>3784</v>
      </c>
      <c r="C1077" s="261">
        <v>3861430000000</v>
      </c>
      <c r="D1077" t="s">
        <v>3785</v>
      </c>
      <c r="E1077" s="140">
        <v>0</v>
      </c>
      <c r="F1077" s="140">
        <v>0</v>
      </c>
      <c r="G1077" s="140">
        <v>0</v>
      </c>
      <c r="H1077" s="140">
        <v>0</v>
      </c>
      <c r="I1077" s="140">
        <v>0</v>
      </c>
    </row>
    <row r="1078" spans="2:9" x14ac:dyDescent="0.3">
      <c r="B1078" t="s">
        <v>817</v>
      </c>
      <c r="C1078" s="261">
        <v>7718940000000</v>
      </c>
      <c r="D1078" t="s">
        <v>155</v>
      </c>
      <c r="E1078" s="140">
        <v>0</v>
      </c>
      <c r="F1078" s="140">
        <v>0</v>
      </c>
      <c r="G1078" s="140">
        <v>0</v>
      </c>
      <c r="H1078" s="140">
        <v>0</v>
      </c>
      <c r="I1078" s="140">
        <v>0</v>
      </c>
    </row>
    <row r="1079" spans="2:9" x14ac:dyDescent="0.3">
      <c r="B1079" t="s">
        <v>3786</v>
      </c>
      <c r="C1079" s="261">
        <v>9474730000000</v>
      </c>
      <c r="D1079" t="s">
        <v>3787</v>
      </c>
      <c r="E1079" s="140">
        <v>0</v>
      </c>
      <c r="F1079" s="140">
        <v>0</v>
      </c>
      <c r="G1079" s="140">
        <v>0</v>
      </c>
      <c r="H1079" s="140">
        <v>0</v>
      </c>
      <c r="I1079" s="140">
        <v>0</v>
      </c>
    </row>
    <row r="1080" spans="2:9" x14ac:dyDescent="0.3">
      <c r="B1080" t="s">
        <v>3788</v>
      </c>
      <c r="C1080" s="261">
        <v>6923780000000</v>
      </c>
      <c r="D1080" t="s">
        <v>3789</v>
      </c>
      <c r="E1080" s="140">
        <v>0</v>
      </c>
      <c r="F1080" s="140">
        <v>0</v>
      </c>
      <c r="G1080" s="140">
        <v>0</v>
      </c>
      <c r="H1080" s="140">
        <v>0</v>
      </c>
      <c r="I1080" s="140">
        <v>0</v>
      </c>
    </row>
    <row r="1081" spans="2:9" x14ac:dyDescent="0.3">
      <c r="B1081" t="s">
        <v>3790</v>
      </c>
      <c r="C1081" s="261">
        <v>20666900000000</v>
      </c>
      <c r="D1081" t="s">
        <v>3791</v>
      </c>
      <c r="E1081" s="140">
        <v>0</v>
      </c>
      <c r="F1081" s="140">
        <v>0</v>
      </c>
      <c r="G1081" s="140">
        <v>0</v>
      </c>
      <c r="H1081" s="140">
        <v>0</v>
      </c>
      <c r="I1081" s="140">
        <v>0</v>
      </c>
    </row>
    <row r="1082" spans="2:9" x14ac:dyDescent="0.3">
      <c r="B1082" t="s">
        <v>3792</v>
      </c>
      <c r="C1082" s="261">
        <v>42521100000000</v>
      </c>
      <c r="D1082" t="s">
        <v>3793</v>
      </c>
      <c r="E1082" s="140">
        <v>0</v>
      </c>
      <c r="F1082" s="140">
        <v>0</v>
      </c>
      <c r="G1082" s="140">
        <v>0</v>
      </c>
      <c r="H1082" s="140">
        <v>0</v>
      </c>
      <c r="I1082" s="140">
        <v>0</v>
      </c>
    </row>
    <row r="1083" spans="2:9" x14ac:dyDescent="0.3">
      <c r="B1083" t="s">
        <v>1661</v>
      </c>
      <c r="C1083" s="261">
        <v>18133000000000</v>
      </c>
      <c r="D1083" t="s">
        <v>1662</v>
      </c>
      <c r="E1083" s="140">
        <v>0</v>
      </c>
      <c r="F1083" s="140">
        <v>0</v>
      </c>
      <c r="G1083" s="140">
        <v>0</v>
      </c>
      <c r="H1083" s="140">
        <v>0</v>
      </c>
      <c r="I1083" s="140">
        <v>0</v>
      </c>
    </row>
    <row r="1084" spans="2:9" x14ac:dyDescent="0.3">
      <c r="B1084" t="s">
        <v>1024</v>
      </c>
      <c r="C1084" s="261">
        <v>9079570000000</v>
      </c>
      <c r="D1084" t="s">
        <v>818</v>
      </c>
      <c r="E1084" s="140">
        <v>-6</v>
      </c>
      <c r="F1084" s="140">
        <v>12</v>
      </c>
      <c r="G1084" s="140">
        <v>-7</v>
      </c>
      <c r="H1084" s="140">
        <v>6</v>
      </c>
      <c r="I1084" s="140">
        <v>0</v>
      </c>
    </row>
    <row r="1085" spans="2:9" x14ac:dyDescent="0.3">
      <c r="B1085" t="s">
        <v>3794</v>
      </c>
      <c r="C1085" s="261">
        <v>23880600000000</v>
      </c>
      <c r="D1085" t="s">
        <v>3795</v>
      </c>
      <c r="E1085" s="140">
        <v>0</v>
      </c>
      <c r="F1085" s="140">
        <v>0</v>
      </c>
      <c r="G1085" s="140">
        <v>0</v>
      </c>
      <c r="H1085" s="140">
        <v>0</v>
      </c>
      <c r="I1085" s="140">
        <v>0</v>
      </c>
    </row>
    <row r="1086" spans="2:9" x14ac:dyDescent="0.3">
      <c r="B1086" t="s">
        <v>3796</v>
      </c>
      <c r="C1086" s="261">
        <v>15394700000000</v>
      </c>
      <c r="D1086" t="s">
        <v>3797</v>
      </c>
      <c r="E1086" s="140">
        <v>0</v>
      </c>
      <c r="F1086" s="140">
        <v>0</v>
      </c>
      <c r="G1086" s="140">
        <v>0</v>
      </c>
      <c r="H1086" s="140">
        <v>0</v>
      </c>
      <c r="I1086" s="140">
        <v>0</v>
      </c>
    </row>
    <row r="1087" spans="2:9" x14ac:dyDescent="0.3">
      <c r="B1087" t="s">
        <v>819</v>
      </c>
      <c r="C1087" s="261">
        <v>6070150000000</v>
      </c>
      <c r="D1087" t="s">
        <v>820</v>
      </c>
      <c r="E1087" s="140">
        <v>0</v>
      </c>
      <c r="F1087" s="140">
        <v>0</v>
      </c>
      <c r="G1087" s="140">
        <v>0</v>
      </c>
      <c r="H1087" s="140">
        <v>0</v>
      </c>
      <c r="I1087" s="140">
        <v>0</v>
      </c>
    </row>
    <row r="1088" spans="2:9" x14ac:dyDescent="0.3">
      <c r="B1088" t="s">
        <v>3798</v>
      </c>
      <c r="C1088" s="261">
        <v>6097870000000</v>
      </c>
      <c r="D1088" t="s">
        <v>3799</v>
      </c>
      <c r="E1088" s="140">
        <v>0</v>
      </c>
      <c r="F1088" s="140">
        <v>0</v>
      </c>
      <c r="G1088" s="140">
        <v>0</v>
      </c>
      <c r="H1088" s="140">
        <v>0</v>
      </c>
      <c r="I1088" s="140">
        <v>0</v>
      </c>
    </row>
    <row r="1089" spans="2:9" x14ac:dyDescent="0.3">
      <c r="B1089" t="s">
        <v>3800</v>
      </c>
      <c r="C1089" s="261">
        <v>54207700000000</v>
      </c>
      <c r="D1089" t="s">
        <v>3801</v>
      </c>
      <c r="E1089" s="140">
        <v>0</v>
      </c>
      <c r="F1089" s="140">
        <v>0</v>
      </c>
      <c r="G1089" s="140">
        <v>0</v>
      </c>
      <c r="H1089" s="140">
        <v>0</v>
      </c>
      <c r="I1089" s="140">
        <v>0</v>
      </c>
    </row>
    <row r="1090" spans="2:9" x14ac:dyDescent="0.3">
      <c r="B1090" t="s">
        <v>3802</v>
      </c>
      <c r="C1090" s="261">
        <v>8537930000000</v>
      </c>
      <c r="D1090" t="s">
        <v>3803</v>
      </c>
      <c r="E1090" s="140">
        <v>0</v>
      </c>
      <c r="F1090" s="140">
        <v>0</v>
      </c>
      <c r="G1090" s="140">
        <v>0</v>
      </c>
      <c r="H1090" s="140">
        <v>0</v>
      </c>
      <c r="I1090" s="140">
        <v>0</v>
      </c>
    </row>
    <row r="1091" spans="2:9" x14ac:dyDescent="0.3">
      <c r="B1091" t="s">
        <v>3804</v>
      </c>
      <c r="C1091" s="261">
        <v>38405100000000</v>
      </c>
      <c r="D1091" t="s">
        <v>3805</v>
      </c>
      <c r="E1091" s="140">
        <v>0</v>
      </c>
      <c r="F1091" s="140">
        <v>0</v>
      </c>
      <c r="G1091" s="140">
        <v>0</v>
      </c>
      <c r="H1091" s="140">
        <v>0</v>
      </c>
      <c r="I1091" s="140">
        <v>0</v>
      </c>
    </row>
    <row r="1092" spans="2:9" x14ac:dyDescent="0.3">
      <c r="B1092" t="s">
        <v>821</v>
      </c>
      <c r="C1092" s="261">
        <v>39545600000000</v>
      </c>
      <c r="D1092" t="s">
        <v>822</v>
      </c>
      <c r="E1092" s="140">
        <v>0</v>
      </c>
      <c r="F1092" s="140">
        <v>0</v>
      </c>
      <c r="G1092" s="140">
        <v>0</v>
      </c>
      <c r="H1092" s="140">
        <v>0</v>
      </c>
      <c r="I1092" s="140">
        <v>0</v>
      </c>
    </row>
    <row r="1093" spans="2:9" x14ac:dyDescent="0.3">
      <c r="B1093" t="s">
        <v>1025</v>
      </c>
      <c r="C1093" s="261">
        <v>19088600000000</v>
      </c>
      <c r="D1093" t="s">
        <v>156</v>
      </c>
      <c r="E1093" s="140">
        <v>-10</v>
      </c>
      <c r="F1093" s="140">
        <v>115</v>
      </c>
      <c r="G1093" s="140">
        <v>-256</v>
      </c>
      <c r="H1093" s="140">
        <v>-141</v>
      </c>
      <c r="I1093" s="140">
        <v>-151</v>
      </c>
    </row>
    <row r="1094" spans="2:9" x14ac:dyDescent="0.3">
      <c r="B1094" t="s">
        <v>3806</v>
      </c>
      <c r="C1094" s="261">
        <v>23392000000000</v>
      </c>
      <c r="D1094" t="s">
        <v>3807</v>
      </c>
      <c r="E1094" s="140">
        <v>0</v>
      </c>
      <c r="F1094" s="140">
        <v>0</v>
      </c>
      <c r="G1094" s="140">
        <v>0</v>
      </c>
      <c r="H1094" s="140">
        <v>0</v>
      </c>
      <c r="I1094" s="140">
        <v>0</v>
      </c>
    </row>
    <row r="1095" spans="2:9" x14ac:dyDescent="0.3">
      <c r="B1095" t="s">
        <v>3808</v>
      </c>
      <c r="C1095" s="261">
        <v>31455700000000</v>
      </c>
      <c r="D1095" t="s">
        <v>3809</v>
      </c>
      <c r="E1095" s="140">
        <v>0</v>
      </c>
      <c r="F1095" s="140">
        <v>0</v>
      </c>
      <c r="G1095" s="140">
        <v>0</v>
      </c>
      <c r="H1095" s="140">
        <v>0</v>
      </c>
      <c r="I1095" s="140">
        <v>0</v>
      </c>
    </row>
    <row r="1096" spans="2:9" x14ac:dyDescent="0.3">
      <c r="B1096" t="s">
        <v>823</v>
      </c>
      <c r="C1096" s="261">
        <v>398099000000</v>
      </c>
      <c r="D1096" t="s">
        <v>824</v>
      </c>
      <c r="E1096" s="140">
        <v>0</v>
      </c>
      <c r="F1096" s="140">
        <v>0</v>
      </c>
      <c r="G1096" s="140">
        <v>0</v>
      </c>
      <c r="H1096" s="140">
        <v>0</v>
      </c>
      <c r="I1096" s="140">
        <v>0</v>
      </c>
    </row>
    <row r="1097" spans="2:9" x14ac:dyDescent="0.3">
      <c r="B1097" t="s">
        <v>825</v>
      </c>
      <c r="C1097" s="261">
        <v>10242700000000</v>
      </c>
      <c r="D1097" t="s">
        <v>157</v>
      </c>
      <c r="E1097" s="140">
        <v>0</v>
      </c>
      <c r="F1097" s="140">
        <v>0</v>
      </c>
      <c r="G1097" s="140">
        <v>0</v>
      </c>
      <c r="H1097" s="140">
        <v>0</v>
      </c>
      <c r="I1097" s="140">
        <v>0</v>
      </c>
    </row>
    <row r="1098" spans="2:9" x14ac:dyDescent="0.3">
      <c r="B1098" t="s">
        <v>1026</v>
      </c>
      <c r="C1098" s="261">
        <v>34036200000000</v>
      </c>
      <c r="D1098" t="s">
        <v>158</v>
      </c>
      <c r="E1098" s="140">
        <v>-14</v>
      </c>
      <c r="F1098" s="140">
        <v>277</v>
      </c>
      <c r="G1098" s="140">
        <v>-323</v>
      </c>
      <c r="H1098" s="140">
        <v>-46</v>
      </c>
      <c r="I1098" s="140">
        <v>-60</v>
      </c>
    </row>
    <row r="1099" spans="2:9" x14ac:dyDescent="0.3">
      <c r="B1099" t="s">
        <v>1027</v>
      </c>
      <c r="C1099" s="261">
        <v>36813600000000</v>
      </c>
      <c r="D1099" t="s">
        <v>1285</v>
      </c>
      <c r="E1099" s="140">
        <v>0</v>
      </c>
      <c r="F1099" s="140">
        <v>29</v>
      </c>
      <c r="G1099" s="140">
        <v>-43</v>
      </c>
      <c r="H1099" s="140">
        <v>-14</v>
      </c>
      <c r="I1099" s="140">
        <v>-14</v>
      </c>
    </row>
    <row r="1100" spans="2:9" x14ac:dyDescent="0.3">
      <c r="B1100" t="s">
        <v>3810</v>
      </c>
      <c r="C1100" s="261">
        <v>29500300000000</v>
      </c>
      <c r="D1100" t="s">
        <v>3811</v>
      </c>
      <c r="E1100" s="140">
        <v>0</v>
      </c>
      <c r="F1100" s="140">
        <v>0</v>
      </c>
      <c r="G1100" s="140">
        <v>0</v>
      </c>
      <c r="H1100" s="140">
        <v>0</v>
      </c>
      <c r="I1100" s="140">
        <v>0</v>
      </c>
    </row>
    <row r="1101" spans="2:9" x14ac:dyDescent="0.3">
      <c r="B1101" t="s">
        <v>3812</v>
      </c>
      <c r="C1101" s="261">
        <v>8984710000000</v>
      </c>
      <c r="D1101" t="s">
        <v>3813</v>
      </c>
      <c r="E1101" s="140">
        <v>0</v>
      </c>
      <c r="F1101" s="140">
        <v>0</v>
      </c>
      <c r="G1101" s="140">
        <v>0</v>
      </c>
      <c r="H1101" s="140">
        <v>0</v>
      </c>
      <c r="I1101" s="140">
        <v>0</v>
      </c>
    </row>
    <row r="1102" spans="2:9" x14ac:dyDescent="0.3">
      <c r="B1102" t="s">
        <v>3814</v>
      </c>
      <c r="C1102" s="261">
        <v>34746200000000</v>
      </c>
      <c r="D1102" t="s">
        <v>3815</v>
      </c>
      <c r="E1102" s="140">
        <v>0</v>
      </c>
      <c r="F1102" s="140">
        <v>0</v>
      </c>
      <c r="G1102" s="140">
        <v>0</v>
      </c>
      <c r="H1102" s="140">
        <v>0</v>
      </c>
      <c r="I1102" s="140">
        <v>0</v>
      </c>
    </row>
    <row r="1103" spans="2:9" x14ac:dyDescent="0.3">
      <c r="B1103" t="s">
        <v>1663</v>
      </c>
      <c r="C1103" s="261">
        <v>191477000000</v>
      </c>
      <c r="D1103" t="s">
        <v>159</v>
      </c>
      <c r="E1103" s="140">
        <v>0</v>
      </c>
      <c r="F1103" s="140">
        <v>0</v>
      </c>
      <c r="G1103" s="140">
        <v>0</v>
      </c>
      <c r="H1103" s="140">
        <v>0</v>
      </c>
      <c r="I1103" s="140">
        <v>0</v>
      </c>
    </row>
    <row r="1104" spans="2:9" x14ac:dyDescent="0.3">
      <c r="B1104" t="s">
        <v>1664</v>
      </c>
      <c r="C1104" s="261">
        <v>127155000000</v>
      </c>
      <c r="D1104" t="s">
        <v>1665</v>
      </c>
      <c r="E1104" s="140">
        <v>0</v>
      </c>
      <c r="F1104" s="140">
        <v>0</v>
      </c>
      <c r="G1104" s="140">
        <v>0</v>
      </c>
      <c r="H1104" s="140">
        <v>0</v>
      </c>
      <c r="I1104" s="140">
        <v>0</v>
      </c>
    </row>
    <row r="1105" spans="2:9" x14ac:dyDescent="0.3">
      <c r="B1105" t="s">
        <v>826</v>
      </c>
      <c r="C1105" s="261">
        <v>8294690000000</v>
      </c>
      <c r="D1105" t="s">
        <v>827</v>
      </c>
      <c r="E1105" s="140">
        <v>0</v>
      </c>
      <c r="F1105" s="140">
        <v>0</v>
      </c>
      <c r="G1105" s="140">
        <v>0</v>
      </c>
      <c r="H1105" s="140">
        <v>0</v>
      </c>
      <c r="I1105" s="140">
        <v>0</v>
      </c>
    </row>
    <row r="1106" spans="2:9" x14ac:dyDescent="0.3">
      <c r="B1106" t="s">
        <v>3816</v>
      </c>
      <c r="C1106" s="261">
        <v>2971570000000</v>
      </c>
      <c r="D1106" t="s">
        <v>3817</v>
      </c>
      <c r="E1106" s="140">
        <v>0</v>
      </c>
      <c r="F1106" s="140">
        <v>0</v>
      </c>
      <c r="G1106" s="140">
        <v>0</v>
      </c>
      <c r="H1106" s="140">
        <v>0</v>
      </c>
      <c r="I1106" s="140">
        <v>0</v>
      </c>
    </row>
    <row r="1107" spans="2:9" x14ac:dyDescent="0.3">
      <c r="B1107" t="s">
        <v>3818</v>
      </c>
      <c r="C1107" s="261">
        <v>5045200000000</v>
      </c>
      <c r="D1107" t="s">
        <v>3819</v>
      </c>
      <c r="E1107" s="140">
        <v>0</v>
      </c>
      <c r="F1107" s="140">
        <v>0</v>
      </c>
      <c r="G1107" s="140">
        <v>0</v>
      </c>
      <c r="H1107" s="140">
        <v>0</v>
      </c>
      <c r="I1107" s="140">
        <v>0</v>
      </c>
    </row>
    <row r="1108" spans="2:9" x14ac:dyDescent="0.3">
      <c r="B1108" t="s">
        <v>3820</v>
      </c>
      <c r="C1108">
        <v>9187216795</v>
      </c>
      <c r="D1108" t="s">
        <v>3821</v>
      </c>
      <c r="E1108" s="140">
        <v>0</v>
      </c>
      <c r="F1108" s="140">
        <v>0</v>
      </c>
      <c r="G1108" s="140">
        <v>0</v>
      </c>
      <c r="H1108" s="140">
        <v>0</v>
      </c>
      <c r="I1108" s="140">
        <v>0</v>
      </c>
    </row>
    <row r="1109" spans="2:9" x14ac:dyDescent="0.3">
      <c r="B1109" t="s">
        <v>3822</v>
      </c>
      <c r="C1109" s="261">
        <v>16586600000000</v>
      </c>
      <c r="D1109" t="s">
        <v>3823</v>
      </c>
      <c r="E1109" s="140">
        <v>0</v>
      </c>
      <c r="F1109" s="140">
        <v>0</v>
      </c>
      <c r="G1109" s="140">
        <v>0</v>
      </c>
      <c r="H1109" s="140">
        <v>0</v>
      </c>
      <c r="I1109" s="140">
        <v>0</v>
      </c>
    </row>
    <row r="1110" spans="2:9" x14ac:dyDescent="0.3">
      <c r="B1110" t="s">
        <v>3824</v>
      </c>
      <c r="C1110" s="261">
        <v>5506560000000</v>
      </c>
      <c r="D1110" t="s">
        <v>3825</v>
      </c>
      <c r="E1110" s="140">
        <v>0</v>
      </c>
      <c r="F1110" s="140">
        <v>0</v>
      </c>
      <c r="G1110" s="140">
        <v>0</v>
      </c>
      <c r="H1110" s="140">
        <v>0</v>
      </c>
      <c r="I1110" s="140">
        <v>0</v>
      </c>
    </row>
    <row r="1111" spans="2:9" x14ac:dyDescent="0.3">
      <c r="B1111" t="s">
        <v>3826</v>
      </c>
      <c r="C1111" s="261">
        <v>11772400000000</v>
      </c>
      <c r="D1111" t="s">
        <v>3827</v>
      </c>
      <c r="E1111" s="140">
        <v>0</v>
      </c>
      <c r="F1111" s="140">
        <v>0</v>
      </c>
      <c r="G1111" s="140">
        <v>0</v>
      </c>
      <c r="H1111" s="140">
        <v>0</v>
      </c>
      <c r="I1111" s="140">
        <v>0</v>
      </c>
    </row>
    <row r="1112" spans="2:9" x14ac:dyDescent="0.3">
      <c r="B1112" t="s">
        <v>828</v>
      </c>
      <c r="C1112" s="261">
        <v>3657350000000</v>
      </c>
      <c r="D1112" t="s">
        <v>829</v>
      </c>
      <c r="E1112" s="140">
        <v>0</v>
      </c>
      <c r="F1112" s="140">
        <v>0</v>
      </c>
      <c r="G1112" s="140">
        <v>0</v>
      </c>
      <c r="H1112" s="140">
        <v>0</v>
      </c>
      <c r="I1112" s="140">
        <v>0</v>
      </c>
    </row>
    <row r="1113" spans="2:9" x14ac:dyDescent="0.3">
      <c r="B1113" t="s">
        <v>3828</v>
      </c>
      <c r="C1113" t="s">
        <v>3829</v>
      </c>
      <c r="D1113" t="s">
        <v>3830</v>
      </c>
      <c r="E1113" s="140">
        <v>0</v>
      </c>
      <c r="F1113" s="140">
        <v>0</v>
      </c>
      <c r="G1113" s="140">
        <v>0</v>
      </c>
      <c r="H1113" s="140">
        <v>0</v>
      </c>
      <c r="I1113" s="140">
        <v>0</v>
      </c>
    </row>
    <row r="1114" spans="2:9" x14ac:dyDescent="0.3">
      <c r="B1114" t="s">
        <v>3831</v>
      </c>
      <c r="C1114" s="261">
        <v>39271400000000</v>
      </c>
      <c r="D1114" t="s">
        <v>3832</v>
      </c>
      <c r="E1114" s="140">
        <v>0</v>
      </c>
      <c r="F1114" s="140">
        <v>0</v>
      </c>
      <c r="G1114" s="140">
        <v>0</v>
      </c>
      <c r="H1114" s="140">
        <v>0</v>
      </c>
      <c r="I1114" s="140">
        <v>0</v>
      </c>
    </row>
    <row r="1115" spans="2:9" x14ac:dyDescent="0.3">
      <c r="B1115" t="s">
        <v>3833</v>
      </c>
      <c r="C1115" s="261">
        <v>36692300000000</v>
      </c>
      <c r="D1115" t="s">
        <v>3834</v>
      </c>
      <c r="E1115" s="140">
        <v>0</v>
      </c>
      <c r="F1115" s="140">
        <v>0</v>
      </c>
      <c r="G1115" s="140">
        <v>0</v>
      </c>
      <c r="H1115" s="140">
        <v>0</v>
      </c>
      <c r="I1115" s="140">
        <v>0</v>
      </c>
    </row>
    <row r="1116" spans="2:9" x14ac:dyDescent="0.3">
      <c r="B1116" t="s">
        <v>3835</v>
      </c>
      <c r="C1116" s="261">
        <v>33736300000000</v>
      </c>
      <c r="D1116" t="s">
        <v>3836</v>
      </c>
      <c r="E1116" s="140">
        <v>0</v>
      </c>
      <c r="F1116" s="140">
        <v>0</v>
      </c>
      <c r="G1116" s="140">
        <v>0</v>
      </c>
      <c r="H1116" s="140">
        <v>0</v>
      </c>
      <c r="I1116" s="140">
        <v>0</v>
      </c>
    </row>
    <row r="1117" spans="2:9" x14ac:dyDescent="0.3">
      <c r="B1117" t="s">
        <v>1028</v>
      </c>
      <c r="C1117" s="261">
        <v>34977900000000</v>
      </c>
      <c r="D1117" t="s">
        <v>160</v>
      </c>
      <c r="E1117" s="140">
        <v>0</v>
      </c>
      <c r="F1117" s="140">
        <v>3</v>
      </c>
      <c r="G1117" s="140">
        <v>-4</v>
      </c>
      <c r="H1117" s="140">
        <v>-1</v>
      </c>
      <c r="I1117" s="140">
        <v>-1</v>
      </c>
    </row>
    <row r="1118" spans="2:9" x14ac:dyDescent="0.3">
      <c r="B1118" t="s">
        <v>830</v>
      </c>
      <c r="C1118" s="261">
        <v>40949200000000</v>
      </c>
      <c r="D1118" t="s">
        <v>831</v>
      </c>
      <c r="E1118" s="140">
        <v>0</v>
      </c>
      <c r="F1118" s="140">
        <v>0</v>
      </c>
      <c r="G1118" s="140">
        <v>0</v>
      </c>
      <c r="H1118" s="140">
        <v>0</v>
      </c>
      <c r="I1118" s="140">
        <v>0</v>
      </c>
    </row>
    <row r="1119" spans="2:9" x14ac:dyDescent="0.3">
      <c r="B1119" t="s">
        <v>3837</v>
      </c>
      <c r="C1119" s="261">
        <v>2279910000000</v>
      </c>
      <c r="D1119" t="s">
        <v>3838</v>
      </c>
      <c r="E1119" s="140">
        <v>0</v>
      </c>
      <c r="F1119" s="140">
        <v>0</v>
      </c>
      <c r="G1119" s="140">
        <v>0</v>
      </c>
      <c r="H1119" s="140">
        <v>0</v>
      </c>
      <c r="I1119" s="140">
        <v>0</v>
      </c>
    </row>
    <row r="1120" spans="2:9" x14ac:dyDescent="0.3">
      <c r="B1120" t="s">
        <v>3839</v>
      </c>
      <c r="C1120" s="261">
        <v>8789660000000</v>
      </c>
      <c r="D1120" t="s">
        <v>3840</v>
      </c>
      <c r="E1120" s="140">
        <v>0</v>
      </c>
      <c r="F1120" s="140">
        <v>0</v>
      </c>
      <c r="G1120" s="140">
        <v>0</v>
      </c>
      <c r="H1120" s="140">
        <v>0</v>
      </c>
      <c r="I1120" s="140">
        <v>0</v>
      </c>
    </row>
    <row r="1121" spans="2:9" x14ac:dyDescent="0.3">
      <c r="B1121" t="s">
        <v>832</v>
      </c>
      <c r="C1121" s="261">
        <v>25131900000000</v>
      </c>
      <c r="D1121" t="s">
        <v>833</v>
      </c>
      <c r="E1121" s="140">
        <v>0</v>
      </c>
      <c r="F1121" s="140">
        <v>0</v>
      </c>
      <c r="G1121" s="140">
        <v>-2</v>
      </c>
      <c r="H1121" s="140">
        <v>-2</v>
      </c>
      <c r="I1121" s="140">
        <v>-2</v>
      </c>
    </row>
    <row r="1122" spans="2:9" x14ac:dyDescent="0.3">
      <c r="B1122" t="s">
        <v>834</v>
      </c>
      <c r="C1122" s="261">
        <v>33267100000000</v>
      </c>
      <c r="D1122" t="s">
        <v>835</v>
      </c>
      <c r="E1122" s="140">
        <v>0</v>
      </c>
      <c r="F1122" s="140">
        <v>0</v>
      </c>
      <c r="G1122" s="140">
        <v>0</v>
      </c>
      <c r="H1122" s="140">
        <v>0</v>
      </c>
      <c r="I1122" s="140">
        <v>0</v>
      </c>
    </row>
    <row r="1123" spans="2:9" x14ac:dyDescent="0.3">
      <c r="B1123" t="s">
        <v>836</v>
      </c>
      <c r="C1123" s="261">
        <v>33198300000000</v>
      </c>
      <c r="D1123" t="s">
        <v>837</v>
      </c>
      <c r="E1123" s="140">
        <v>0</v>
      </c>
      <c r="F1123" s="140">
        <v>1</v>
      </c>
      <c r="G1123" s="140">
        <v>-1</v>
      </c>
      <c r="H1123" s="140">
        <v>0</v>
      </c>
      <c r="I1123" s="140">
        <v>0</v>
      </c>
    </row>
    <row r="1124" spans="2:9" x14ac:dyDescent="0.3">
      <c r="B1124" t="s">
        <v>838</v>
      </c>
      <c r="C1124" s="261">
        <v>26543900000000</v>
      </c>
      <c r="D1124" t="s">
        <v>839</v>
      </c>
      <c r="E1124" s="140">
        <v>0</v>
      </c>
      <c r="F1124" s="140">
        <v>0</v>
      </c>
      <c r="G1124" s="140">
        <v>0</v>
      </c>
      <c r="H1124" s="140">
        <v>0</v>
      </c>
      <c r="I1124" s="140">
        <v>0</v>
      </c>
    </row>
    <row r="1125" spans="2:9" x14ac:dyDescent="0.3">
      <c r="B1125" t="s">
        <v>3841</v>
      </c>
      <c r="C1125" s="261">
        <v>41986100000000</v>
      </c>
      <c r="D1125" t="s">
        <v>3842</v>
      </c>
      <c r="E1125" s="140">
        <v>0</v>
      </c>
      <c r="F1125" s="140">
        <v>0</v>
      </c>
      <c r="G1125" s="140">
        <v>0</v>
      </c>
      <c r="H1125" s="140">
        <v>0</v>
      </c>
      <c r="I1125" s="140">
        <v>0</v>
      </c>
    </row>
    <row r="1126" spans="2:9" x14ac:dyDescent="0.3">
      <c r="B1126" t="s">
        <v>840</v>
      </c>
      <c r="C1126" s="261">
        <v>10740900000000</v>
      </c>
      <c r="D1126" t="s">
        <v>841</v>
      </c>
      <c r="E1126" s="140">
        <v>0</v>
      </c>
      <c r="F1126" s="140">
        <v>0</v>
      </c>
      <c r="G1126" s="140">
        <v>0</v>
      </c>
      <c r="H1126" s="140">
        <v>0</v>
      </c>
      <c r="I1126" s="140">
        <v>0</v>
      </c>
    </row>
    <row r="1127" spans="2:9" x14ac:dyDescent="0.3">
      <c r="B1127" t="s">
        <v>3843</v>
      </c>
      <c r="C1127" s="261">
        <v>26058300000000</v>
      </c>
      <c r="D1127" t="s">
        <v>3844</v>
      </c>
      <c r="E1127" s="140">
        <v>0</v>
      </c>
      <c r="F1127" s="140">
        <v>0</v>
      </c>
      <c r="G1127" s="140">
        <v>0</v>
      </c>
      <c r="H1127" s="140">
        <v>0</v>
      </c>
      <c r="I1127" s="140">
        <v>0</v>
      </c>
    </row>
    <row r="1128" spans="2:9" x14ac:dyDescent="0.3">
      <c r="B1128" t="s">
        <v>842</v>
      </c>
      <c r="C1128" s="261">
        <v>28712100000000</v>
      </c>
      <c r="D1128" t="s">
        <v>843</v>
      </c>
      <c r="E1128" s="140">
        <v>0</v>
      </c>
      <c r="F1128" s="140">
        <v>27</v>
      </c>
      <c r="G1128" s="140">
        <v>-31</v>
      </c>
      <c r="H1128" s="140">
        <v>-5</v>
      </c>
      <c r="I1128" s="140">
        <v>-5</v>
      </c>
    </row>
    <row r="1129" spans="2:9" x14ac:dyDescent="0.3">
      <c r="B1129" t="s">
        <v>3845</v>
      </c>
      <c r="C1129" s="261">
        <v>30363400000000</v>
      </c>
      <c r="D1129" t="s">
        <v>3846</v>
      </c>
      <c r="E1129" s="140">
        <v>0</v>
      </c>
      <c r="F1129" s="140">
        <v>0</v>
      </c>
      <c r="G1129" s="140">
        <v>0</v>
      </c>
      <c r="H1129" s="140">
        <v>0</v>
      </c>
      <c r="I1129" s="140">
        <v>0</v>
      </c>
    </row>
    <row r="1130" spans="2:9" x14ac:dyDescent="0.3">
      <c r="B1130" t="s">
        <v>3847</v>
      </c>
      <c r="C1130" s="261">
        <v>2189920000000</v>
      </c>
      <c r="D1130" t="s">
        <v>3848</v>
      </c>
      <c r="E1130" s="140">
        <v>0</v>
      </c>
      <c r="F1130" s="140">
        <v>0</v>
      </c>
      <c r="G1130" s="140">
        <v>0</v>
      </c>
      <c r="H1130" s="140">
        <v>0</v>
      </c>
      <c r="I1130" s="140">
        <v>0</v>
      </c>
    </row>
    <row r="1131" spans="2:9" x14ac:dyDescent="0.3">
      <c r="B1131" t="s">
        <v>1666</v>
      </c>
      <c r="C1131" s="261">
        <v>10907000000000</v>
      </c>
      <c r="D1131" t="s">
        <v>1667</v>
      </c>
      <c r="E1131" s="140">
        <v>0</v>
      </c>
      <c r="F1131" s="140">
        <v>0</v>
      </c>
      <c r="G1131" s="140">
        <v>0</v>
      </c>
      <c r="H1131" s="140">
        <v>0</v>
      </c>
      <c r="I1131" s="140">
        <v>0</v>
      </c>
    </row>
    <row r="1132" spans="2:9" x14ac:dyDescent="0.3">
      <c r="B1132" t="s">
        <v>3849</v>
      </c>
      <c r="C1132" s="261">
        <v>37165100000000</v>
      </c>
      <c r="D1132" t="s">
        <v>3850</v>
      </c>
      <c r="E1132" s="140">
        <v>0</v>
      </c>
      <c r="F1132" s="140">
        <v>0</v>
      </c>
      <c r="G1132" s="140">
        <v>0</v>
      </c>
      <c r="H1132" s="140">
        <v>0</v>
      </c>
      <c r="I1132" s="140">
        <v>0</v>
      </c>
    </row>
    <row r="1133" spans="2:9" x14ac:dyDescent="0.3">
      <c r="B1133" t="s">
        <v>1029</v>
      </c>
      <c r="C1133" s="261">
        <v>1406620000000</v>
      </c>
      <c r="D1133" t="s">
        <v>844</v>
      </c>
      <c r="E1133" s="140">
        <v>0</v>
      </c>
      <c r="F1133" s="140">
        <v>110</v>
      </c>
      <c r="G1133" s="140">
        <v>-167</v>
      </c>
      <c r="H1133" s="140">
        <v>-57</v>
      </c>
      <c r="I1133" s="140">
        <v>-57</v>
      </c>
    </row>
    <row r="1134" spans="2:9" x14ac:dyDescent="0.3">
      <c r="B1134" t="s">
        <v>845</v>
      </c>
      <c r="C1134" s="261">
        <v>12499500000000</v>
      </c>
      <c r="D1134" t="s">
        <v>846</v>
      </c>
      <c r="E1134" s="140">
        <v>0</v>
      </c>
      <c r="F1134" s="140">
        <v>1</v>
      </c>
      <c r="G1134" s="140">
        <v>-1</v>
      </c>
      <c r="H1134" s="140">
        <v>0</v>
      </c>
      <c r="I1134" s="140">
        <v>0</v>
      </c>
    </row>
    <row r="1135" spans="2:9" x14ac:dyDescent="0.3">
      <c r="B1135" t="s">
        <v>1668</v>
      </c>
      <c r="C1135" s="261">
        <v>38538400000000</v>
      </c>
      <c r="D1135" t="s">
        <v>1669</v>
      </c>
      <c r="E1135" s="140">
        <v>0</v>
      </c>
      <c r="F1135" s="140">
        <v>0</v>
      </c>
      <c r="G1135" s="140">
        <v>0</v>
      </c>
      <c r="H1135" s="140">
        <v>0</v>
      </c>
      <c r="I1135" s="140">
        <v>0</v>
      </c>
    </row>
    <row r="1136" spans="2:9" x14ac:dyDescent="0.3">
      <c r="B1136" t="s">
        <v>1670</v>
      </c>
      <c r="C1136" s="261">
        <v>29973800000000</v>
      </c>
      <c r="D1136" t="s">
        <v>1671</v>
      </c>
      <c r="E1136" s="140">
        <v>0</v>
      </c>
      <c r="F1136" s="140">
        <v>0</v>
      </c>
      <c r="G1136" s="140">
        <v>0</v>
      </c>
      <c r="H1136" s="140">
        <v>0</v>
      </c>
      <c r="I1136" s="140">
        <v>0</v>
      </c>
    </row>
    <row r="1137" spans="2:9" x14ac:dyDescent="0.3">
      <c r="B1137" t="s">
        <v>1672</v>
      </c>
      <c r="C1137" s="261">
        <v>17079200000000</v>
      </c>
      <c r="D1137" t="s">
        <v>1673</v>
      </c>
      <c r="E1137" s="140">
        <v>0</v>
      </c>
      <c r="F1137" s="140">
        <v>0</v>
      </c>
      <c r="G1137" s="140">
        <v>0</v>
      </c>
      <c r="H1137" s="140">
        <v>0</v>
      </c>
      <c r="I1137" s="140">
        <v>0</v>
      </c>
    </row>
    <row r="1138" spans="2:9" x14ac:dyDescent="0.3">
      <c r="B1138" t="s">
        <v>1674</v>
      </c>
      <c r="C1138" s="261">
        <v>789920000000</v>
      </c>
      <c r="D1138" t="s">
        <v>1675</v>
      </c>
      <c r="E1138" s="140">
        <v>0</v>
      </c>
      <c r="F1138" s="140">
        <v>0</v>
      </c>
      <c r="G1138" s="140">
        <v>0</v>
      </c>
      <c r="H1138" s="140">
        <v>0</v>
      </c>
      <c r="I1138" s="140">
        <v>0</v>
      </c>
    </row>
    <row r="1139" spans="2:9" x14ac:dyDescent="0.3">
      <c r="B1139" t="s">
        <v>847</v>
      </c>
      <c r="C1139" s="261">
        <v>7843950000000</v>
      </c>
      <c r="D1139" t="s">
        <v>848</v>
      </c>
      <c r="E1139" s="140">
        <v>0</v>
      </c>
      <c r="F1139" s="140">
        <v>8</v>
      </c>
      <c r="G1139" s="140">
        <v>-8</v>
      </c>
      <c r="H1139" s="140">
        <v>0</v>
      </c>
      <c r="I1139" s="140">
        <v>0</v>
      </c>
    </row>
    <row r="1140" spans="2:9" x14ac:dyDescent="0.3">
      <c r="B1140" t="s">
        <v>1676</v>
      </c>
      <c r="C1140" s="261">
        <v>6977750000000</v>
      </c>
      <c r="D1140" t="s">
        <v>1677</v>
      </c>
      <c r="E1140" s="140">
        <v>0</v>
      </c>
      <c r="F1140" s="140">
        <v>0</v>
      </c>
      <c r="G1140" s="140">
        <v>0</v>
      </c>
      <c r="H1140" s="140">
        <v>0</v>
      </c>
      <c r="I1140" s="140">
        <v>0</v>
      </c>
    </row>
    <row r="1141" spans="2:9" x14ac:dyDescent="0.3">
      <c r="B1141" t="s">
        <v>1030</v>
      </c>
      <c r="C1141" s="261">
        <v>72061000000000</v>
      </c>
      <c r="D1141" t="s">
        <v>849</v>
      </c>
      <c r="E1141" s="140">
        <v>0</v>
      </c>
      <c r="F1141" s="140">
        <v>0</v>
      </c>
      <c r="G1141" s="140">
        <v>0</v>
      </c>
      <c r="H1141" s="140">
        <v>0</v>
      </c>
      <c r="I1141" s="140">
        <v>0</v>
      </c>
    </row>
    <row r="1142" spans="2:9" x14ac:dyDescent="0.3">
      <c r="B1142" t="s">
        <v>850</v>
      </c>
      <c r="C1142" s="261">
        <v>24091600000000</v>
      </c>
      <c r="D1142" t="s">
        <v>851</v>
      </c>
      <c r="E1142" s="140">
        <v>0</v>
      </c>
      <c r="F1142" s="140">
        <v>0</v>
      </c>
      <c r="G1142" s="140">
        <v>0</v>
      </c>
      <c r="H1142" s="140">
        <v>0</v>
      </c>
      <c r="I1142" s="140">
        <v>0</v>
      </c>
    </row>
    <row r="1143" spans="2:9" x14ac:dyDescent="0.3">
      <c r="B1143" t="s">
        <v>1031</v>
      </c>
      <c r="C1143" s="261">
        <v>35419400000000</v>
      </c>
      <c r="D1143" t="s">
        <v>852</v>
      </c>
      <c r="E1143" s="140">
        <v>-7</v>
      </c>
      <c r="F1143" s="140">
        <v>7</v>
      </c>
      <c r="G1143" s="140">
        <v>0</v>
      </c>
      <c r="H1143" s="140">
        <v>7</v>
      </c>
      <c r="I1143" s="140">
        <v>0</v>
      </c>
    </row>
    <row r="1144" spans="2:9" x14ac:dyDescent="0.3">
      <c r="B1144" t="s">
        <v>1678</v>
      </c>
      <c r="C1144" s="261">
        <v>81188500000000</v>
      </c>
      <c r="D1144" t="s">
        <v>1679</v>
      </c>
      <c r="E1144" s="140">
        <v>0</v>
      </c>
      <c r="F1144" s="140">
        <v>0</v>
      </c>
      <c r="G1144" s="140">
        <v>0</v>
      </c>
      <c r="H1144" s="140">
        <v>0</v>
      </c>
      <c r="I1144" s="140">
        <v>0</v>
      </c>
    </row>
    <row r="1145" spans="2:9" x14ac:dyDescent="0.3">
      <c r="B1145" t="s">
        <v>853</v>
      </c>
      <c r="C1145" s="261">
        <v>12979000000000</v>
      </c>
      <c r="D1145" t="s">
        <v>854</v>
      </c>
      <c r="E1145" s="140">
        <v>0</v>
      </c>
      <c r="F1145" s="140">
        <v>37</v>
      </c>
      <c r="G1145" s="140">
        <v>-66</v>
      </c>
      <c r="H1145" s="140">
        <v>-29</v>
      </c>
      <c r="I1145" s="140">
        <v>-29</v>
      </c>
    </row>
    <row r="1146" spans="2:9" x14ac:dyDescent="0.3">
      <c r="B1146" t="s">
        <v>855</v>
      </c>
      <c r="C1146" s="261">
        <v>23689400000000</v>
      </c>
      <c r="D1146" t="s">
        <v>856</v>
      </c>
      <c r="E1146" s="140">
        <v>0</v>
      </c>
      <c r="F1146" s="140">
        <v>0</v>
      </c>
      <c r="G1146" s="140">
        <v>0</v>
      </c>
      <c r="H1146" s="140">
        <v>0</v>
      </c>
      <c r="I1146" s="140">
        <v>0</v>
      </c>
    </row>
    <row r="1147" spans="2:9" x14ac:dyDescent="0.3">
      <c r="B1147" t="s">
        <v>1032</v>
      </c>
      <c r="C1147" s="261">
        <v>38056400000000</v>
      </c>
      <c r="D1147" t="s">
        <v>857</v>
      </c>
      <c r="E1147" s="140">
        <v>0</v>
      </c>
      <c r="F1147" s="140">
        <v>34</v>
      </c>
      <c r="G1147" s="140">
        <v>-65</v>
      </c>
      <c r="H1147" s="140">
        <v>-32</v>
      </c>
      <c r="I1147" s="140">
        <v>-32</v>
      </c>
    </row>
    <row r="1148" spans="2:9" x14ac:dyDescent="0.3">
      <c r="B1148" t="s">
        <v>1680</v>
      </c>
      <c r="C1148" s="261">
        <v>15809100000000</v>
      </c>
      <c r="D1148" t="s">
        <v>1681</v>
      </c>
      <c r="E1148" s="140">
        <v>0</v>
      </c>
      <c r="F1148" s="140">
        <v>0</v>
      </c>
      <c r="G1148" s="140">
        <v>0</v>
      </c>
      <c r="H1148" s="140">
        <v>0</v>
      </c>
      <c r="I1148" s="140">
        <v>0</v>
      </c>
    </row>
    <row r="1149" spans="2:9" x14ac:dyDescent="0.3">
      <c r="B1149" t="s">
        <v>1682</v>
      </c>
      <c r="C1149" s="261">
        <v>30135800000000</v>
      </c>
      <c r="D1149" t="s">
        <v>1683</v>
      </c>
      <c r="E1149" s="140">
        <v>0</v>
      </c>
      <c r="F1149" s="140">
        <v>0</v>
      </c>
      <c r="G1149" s="140">
        <v>0</v>
      </c>
      <c r="H1149" s="140">
        <v>0</v>
      </c>
      <c r="I1149" s="140">
        <v>0</v>
      </c>
    </row>
    <row r="1150" spans="2:9" x14ac:dyDescent="0.3">
      <c r="B1150" t="s">
        <v>1291</v>
      </c>
      <c r="C1150" s="261">
        <v>14113000000000</v>
      </c>
      <c r="D1150" t="s">
        <v>1292</v>
      </c>
      <c r="E1150" s="140">
        <v>0</v>
      </c>
      <c r="F1150" s="140">
        <v>0</v>
      </c>
      <c r="G1150" s="140">
        <v>0</v>
      </c>
      <c r="H1150" s="140">
        <v>0</v>
      </c>
      <c r="I1150" s="140">
        <v>0</v>
      </c>
    </row>
    <row r="1151" spans="2:9" x14ac:dyDescent="0.3">
      <c r="B1151" t="s">
        <v>1293</v>
      </c>
      <c r="C1151" s="261">
        <v>43213800000000</v>
      </c>
      <c r="D1151" t="s">
        <v>1294</v>
      </c>
      <c r="E1151" s="140">
        <v>0</v>
      </c>
      <c r="F1151" s="140">
        <v>0</v>
      </c>
      <c r="G1151" s="140">
        <v>0</v>
      </c>
      <c r="H1151" s="140">
        <v>0</v>
      </c>
      <c r="I1151" s="140">
        <v>0</v>
      </c>
    </row>
    <row r="1152" spans="2:9" x14ac:dyDescent="0.3">
      <c r="B1152" t="s">
        <v>1684</v>
      </c>
      <c r="C1152" s="261">
        <v>45078200000000</v>
      </c>
      <c r="D1152" t="s">
        <v>1685</v>
      </c>
      <c r="E1152" s="140">
        <v>0</v>
      </c>
      <c r="F1152" s="140">
        <v>0</v>
      </c>
      <c r="G1152" s="140">
        <v>0</v>
      </c>
      <c r="H1152" s="140">
        <v>0</v>
      </c>
      <c r="I1152" s="140">
        <v>0</v>
      </c>
    </row>
    <row r="1153" spans="2:9" x14ac:dyDescent="0.3">
      <c r="B1153" t="s">
        <v>1295</v>
      </c>
      <c r="C1153" s="261">
        <v>7857620000000</v>
      </c>
      <c r="D1153" t="s">
        <v>1296</v>
      </c>
      <c r="E1153" s="140">
        <v>0</v>
      </c>
      <c r="F1153" s="140">
        <v>0</v>
      </c>
      <c r="G1153" s="140">
        <v>0</v>
      </c>
      <c r="H1153" s="140">
        <v>0</v>
      </c>
      <c r="I1153" s="140">
        <v>0</v>
      </c>
    </row>
    <row r="1154" spans="2:9" x14ac:dyDescent="0.3">
      <c r="B1154" t="s">
        <v>1686</v>
      </c>
      <c r="C1154" s="261">
        <v>1708170000000</v>
      </c>
      <c r="D1154" t="s">
        <v>1687</v>
      </c>
      <c r="E1154" s="140">
        <v>0</v>
      </c>
      <c r="F1154" s="140">
        <v>0</v>
      </c>
      <c r="G1154" s="140">
        <v>0</v>
      </c>
      <c r="H1154" s="140">
        <v>0</v>
      </c>
      <c r="I1154" s="140">
        <v>0</v>
      </c>
    </row>
    <row r="1155" spans="2:9" x14ac:dyDescent="0.3">
      <c r="B1155" t="s">
        <v>1688</v>
      </c>
      <c r="C1155" s="261">
        <v>6220430000000</v>
      </c>
      <c r="D1155" t="s">
        <v>1689</v>
      </c>
      <c r="E1155" s="140">
        <v>0</v>
      </c>
      <c r="F1155" s="140">
        <v>0</v>
      </c>
      <c r="G1155" s="140">
        <v>0</v>
      </c>
      <c r="H1155" s="140">
        <v>0</v>
      </c>
      <c r="I1155" s="140">
        <v>0</v>
      </c>
    </row>
    <row r="1156" spans="2:9" x14ac:dyDescent="0.3">
      <c r="B1156" t="s">
        <v>1690</v>
      </c>
      <c r="C1156" s="261">
        <v>18310800000000</v>
      </c>
      <c r="D1156" t="s">
        <v>1691</v>
      </c>
      <c r="E1156" s="140">
        <v>0</v>
      </c>
      <c r="F1156" s="140">
        <v>0</v>
      </c>
      <c r="G1156" s="140">
        <v>0</v>
      </c>
      <c r="H1156" s="140">
        <v>0</v>
      </c>
      <c r="I1156" s="140">
        <v>0</v>
      </c>
    </row>
    <row r="1157" spans="2:9" x14ac:dyDescent="0.3">
      <c r="B1157" t="s">
        <v>1297</v>
      </c>
      <c r="C1157" t="s">
        <v>1298</v>
      </c>
      <c r="D1157" t="s">
        <v>1299</v>
      </c>
      <c r="E1157" s="140">
        <v>0</v>
      </c>
      <c r="F1157" s="140">
        <v>73</v>
      </c>
      <c r="G1157" s="140">
        <v>-73</v>
      </c>
      <c r="H1157" s="140">
        <v>0</v>
      </c>
      <c r="I1157" s="140">
        <v>0</v>
      </c>
    </row>
    <row r="1158" spans="2:9" x14ac:dyDescent="0.3">
      <c r="B1158" t="s">
        <v>1692</v>
      </c>
      <c r="C1158" t="s">
        <v>1693</v>
      </c>
      <c r="D1158" t="s">
        <v>1694</v>
      </c>
      <c r="E1158" s="140">
        <v>0</v>
      </c>
      <c r="F1158" s="140">
        <v>0</v>
      </c>
      <c r="G1158" s="140">
        <v>0</v>
      </c>
      <c r="H1158" s="140">
        <v>0</v>
      </c>
      <c r="I1158" s="140">
        <v>0</v>
      </c>
    </row>
    <row r="1159" spans="2:9" x14ac:dyDescent="0.3">
      <c r="B1159" t="s">
        <v>1695</v>
      </c>
      <c r="C1159">
        <v>9090867708</v>
      </c>
      <c r="D1159" t="s">
        <v>1696</v>
      </c>
      <c r="E1159" s="140">
        <v>0</v>
      </c>
      <c r="F1159" s="140">
        <v>0</v>
      </c>
      <c r="G1159" s="140">
        <v>0</v>
      </c>
      <c r="H1159" s="140">
        <v>0</v>
      </c>
      <c r="I1159" s="140">
        <v>0</v>
      </c>
    </row>
    <row r="1160" spans="2:9" x14ac:dyDescent="0.3">
      <c r="B1160" t="s">
        <v>1697</v>
      </c>
      <c r="C1160" s="261">
        <v>26915400000000</v>
      </c>
      <c r="D1160" t="s">
        <v>1698</v>
      </c>
      <c r="E1160" s="140">
        <v>0</v>
      </c>
      <c r="F1160" s="140">
        <v>0</v>
      </c>
      <c r="G1160" s="140">
        <v>0</v>
      </c>
      <c r="H1160" s="140">
        <v>0</v>
      </c>
      <c r="I1160" s="140">
        <v>0</v>
      </c>
    </row>
    <row r="1161" spans="2:9" x14ac:dyDescent="0.3">
      <c r="B1161" t="s">
        <v>1300</v>
      </c>
      <c r="C1161" s="261">
        <v>12942200000000</v>
      </c>
      <c r="D1161" t="s">
        <v>1301</v>
      </c>
      <c r="E1161" s="140">
        <v>0</v>
      </c>
      <c r="F1161" s="140">
        <v>0</v>
      </c>
      <c r="G1161" s="140">
        <v>0</v>
      </c>
      <c r="H1161" s="140">
        <v>0</v>
      </c>
      <c r="I1161" s="140">
        <v>0</v>
      </c>
    </row>
    <row r="1162" spans="2:9" x14ac:dyDescent="0.3">
      <c r="B1162" t="s">
        <v>1275</v>
      </c>
      <c r="C1162" s="261">
        <v>34260600000000</v>
      </c>
      <c r="D1162" t="s">
        <v>1276</v>
      </c>
      <c r="E1162" s="140">
        <v>-2</v>
      </c>
      <c r="F1162" s="140">
        <v>2</v>
      </c>
      <c r="G1162" s="140">
        <v>0</v>
      </c>
      <c r="H1162" s="140">
        <v>2</v>
      </c>
      <c r="I1162" s="140">
        <v>0</v>
      </c>
    </row>
    <row r="1163" spans="2:9" x14ac:dyDescent="0.3">
      <c r="B1163" t="s">
        <v>1302</v>
      </c>
      <c r="C1163" s="261">
        <v>29483800000000</v>
      </c>
      <c r="D1163" t="s">
        <v>1303</v>
      </c>
      <c r="E1163" s="140">
        <v>0</v>
      </c>
      <c r="F1163" s="140">
        <v>12</v>
      </c>
      <c r="G1163" s="140">
        <v>-12</v>
      </c>
      <c r="H1163" s="140">
        <v>0</v>
      </c>
      <c r="I1163" s="140">
        <v>0</v>
      </c>
    </row>
    <row r="1164" spans="2:9" x14ac:dyDescent="0.3">
      <c r="B1164" t="s">
        <v>1699</v>
      </c>
      <c r="C1164" s="261">
        <v>32969400000000</v>
      </c>
      <c r="D1164" t="s">
        <v>1700</v>
      </c>
      <c r="E1164" s="140">
        <v>0</v>
      </c>
      <c r="F1164" s="140">
        <v>6</v>
      </c>
      <c r="G1164" s="140">
        <v>-6</v>
      </c>
      <c r="H1164" s="140">
        <v>0</v>
      </c>
      <c r="I1164" s="140">
        <v>0</v>
      </c>
    </row>
    <row r="1165" spans="2:9" x14ac:dyDescent="0.3">
      <c r="B1165" t="s">
        <v>1701</v>
      </c>
      <c r="C1165" s="261">
        <v>25532700000000</v>
      </c>
      <c r="D1165" t="s">
        <v>1702</v>
      </c>
      <c r="E1165" s="140">
        <v>0</v>
      </c>
      <c r="F1165" s="140">
        <v>0</v>
      </c>
      <c r="G1165" s="140">
        <v>0</v>
      </c>
      <c r="H1165" s="140">
        <v>0</v>
      </c>
      <c r="I1165" s="140">
        <v>0</v>
      </c>
    </row>
    <row r="1166" spans="2:9" x14ac:dyDescent="0.3">
      <c r="B1166" t="s">
        <v>1703</v>
      </c>
      <c r="C1166" s="261">
        <v>27045900000000</v>
      </c>
      <c r="D1166" t="s">
        <v>1704</v>
      </c>
      <c r="E1166" s="140">
        <v>0</v>
      </c>
      <c r="F1166" s="140">
        <v>0</v>
      </c>
      <c r="G1166" s="140">
        <v>0</v>
      </c>
      <c r="H1166" s="140">
        <v>0</v>
      </c>
      <c r="I1166" s="140">
        <v>0</v>
      </c>
    </row>
    <row r="1167" spans="2:9" x14ac:dyDescent="0.3">
      <c r="B1167" t="s">
        <v>1705</v>
      </c>
      <c r="C1167" s="261">
        <v>36440100000000</v>
      </c>
      <c r="D1167" t="s">
        <v>1706</v>
      </c>
      <c r="E1167" s="140">
        <v>0</v>
      </c>
      <c r="F1167" s="140">
        <v>0</v>
      </c>
      <c r="G1167" s="140">
        <v>0</v>
      </c>
      <c r="H1167" s="140">
        <v>0</v>
      </c>
      <c r="I1167" s="140">
        <v>0</v>
      </c>
    </row>
    <row r="1168" spans="2:9" x14ac:dyDescent="0.3">
      <c r="B1168" t="s">
        <v>1707</v>
      </c>
      <c r="C1168" s="261">
        <v>61616000000000</v>
      </c>
      <c r="D1168" t="s">
        <v>1708</v>
      </c>
      <c r="E1168" s="140">
        <v>0</v>
      </c>
      <c r="F1168" s="140">
        <v>0</v>
      </c>
      <c r="G1168" s="140">
        <v>0</v>
      </c>
      <c r="H1168" s="140">
        <v>0</v>
      </c>
      <c r="I1168" s="140">
        <v>0</v>
      </c>
    </row>
    <row r="1169" spans="2:9" x14ac:dyDescent="0.3">
      <c r="B1169" t="s">
        <v>1709</v>
      </c>
      <c r="C1169" s="261">
        <v>37563500000000</v>
      </c>
      <c r="D1169" t="s">
        <v>1710</v>
      </c>
      <c r="E1169" s="140">
        <v>0</v>
      </c>
      <c r="F1169" s="140">
        <v>0</v>
      </c>
      <c r="G1169" s="140">
        <v>0</v>
      </c>
      <c r="H1169" s="140">
        <v>0</v>
      </c>
      <c r="I1169" s="140">
        <v>0</v>
      </c>
    </row>
    <row r="1170" spans="2:9" x14ac:dyDescent="0.3">
      <c r="B1170" t="s">
        <v>1711</v>
      </c>
      <c r="C1170" s="261">
        <v>336184000000000</v>
      </c>
      <c r="D1170" t="s">
        <v>1712</v>
      </c>
      <c r="E1170" s="140">
        <v>0</v>
      </c>
      <c r="F1170" s="140">
        <v>0</v>
      </c>
      <c r="G1170" s="140">
        <v>0</v>
      </c>
      <c r="H1170" s="140">
        <v>0</v>
      </c>
      <c r="I1170" s="140">
        <v>0</v>
      </c>
    </row>
    <row r="1171" spans="2:9" x14ac:dyDescent="0.3">
      <c r="B1171" t="s">
        <v>1304</v>
      </c>
      <c r="C1171" s="261">
        <v>30920300000000</v>
      </c>
      <c r="D1171" t="s">
        <v>1305</v>
      </c>
      <c r="E1171" s="140">
        <v>0</v>
      </c>
      <c r="F1171" s="140">
        <v>0</v>
      </c>
      <c r="G1171" s="140">
        <v>0</v>
      </c>
      <c r="H1171" s="140">
        <v>0</v>
      </c>
      <c r="I1171" s="140">
        <v>0</v>
      </c>
    </row>
    <row r="1172" spans="2:9" x14ac:dyDescent="0.3">
      <c r="B1172" t="s">
        <v>3851</v>
      </c>
      <c r="C1172" s="261">
        <v>33618400000000</v>
      </c>
      <c r="D1172" t="s">
        <v>1712</v>
      </c>
      <c r="E1172" s="140">
        <v>0</v>
      </c>
      <c r="F1172" s="140">
        <v>0</v>
      </c>
      <c r="G1172" s="140">
        <v>0</v>
      </c>
      <c r="H1172" s="140">
        <v>0</v>
      </c>
      <c r="I1172" s="140">
        <v>0</v>
      </c>
    </row>
    <row r="1173" spans="2:9" x14ac:dyDescent="0.3">
      <c r="B1173" t="s">
        <v>1277</v>
      </c>
      <c r="C1173" s="261">
        <v>32681700000000</v>
      </c>
      <c r="D1173" t="s">
        <v>1278</v>
      </c>
      <c r="E1173" s="140">
        <v>0</v>
      </c>
      <c r="F1173" s="140">
        <v>1</v>
      </c>
      <c r="G1173" s="140">
        <v>-1</v>
      </c>
      <c r="H1173" s="140">
        <v>0</v>
      </c>
      <c r="I1173" s="140">
        <v>0</v>
      </c>
    </row>
    <row r="1174" spans="2:9" x14ac:dyDescent="0.3">
      <c r="B1174" t="s">
        <v>1279</v>
      </c>
      <c r="C1174" s="261">
        <v>33582100000000</v>
      </c>
      <c r="D1174" t="s">
        <v>1280</v>
      </c>
      <c r="E1174" s="140">
        <v>0</v>
      </c>
      <c r="F1174" s="140">
        <v>0</v>
      </c>
      <c r="G1174" s="140">
        <v>0</v>
      </c>
      <c r="H1174" s="140">
        <v>0</v>
      </c>
      <c r="I1174" s="140">
        <v>0</v>
      </c>
    </row>
    <row r="1175" spans="2:9" x14ac:dyDescent="0.3">
      <c r="B1175" t="s">
        <v>1306</v>
      </c>
      <c r="C1175" s="261">
        <v>22396000000000</v>
      </c>
      <c r="D1175" t="s">
        <v>1307</v>
      </c>
      <c r="E1175" s="140">
        <v>0</v>
      </c>
      <c r="F1175" s="140">
        <v>0</v>
      </c>
      <c r="G1175" s="140">
        <v>0</v>
      </c>
      <c r="H1175" s="140">
        <v>0</v>
      </c>
      <c r="I1175" s="140">
        <v>0</v>
      </c>
    </row>
    <row r="1176" spans="2:9" x14ac:dyDescent="0.3">
      <c r="B1176" t="s">
        <v>1308</v>
      </c>
      <c r="C1176" s="261">
        <v>8401150000000</v>
      </c>
      <c r="D1176" t="s">
        <v>1309</v>
      </c>
      <c r="E1176" s="140">
        <v>0</v>
      </c>
      <c r="F1176" s="140">
        <v>0</v>
      </c>
      <c r="G1176" s="140">
        <v>0</v>
      </c>
      <c r="H1176" s="140">
        <v>0</v>
      </c>
      <c r="I1176" s="140">
        <v>0</v>
      </c>
    </row>
    <row r="1177" spans="2:9" x14ac:dyDescent="0.3">
      <c r="B1177" t="s">
        <v>1310</v>
      </c>
      <c r="C1177" s="261">
        <v>27553300000000</v>
      </c>
      <c r="D1177" t="s">
        <v>1311</v>
      </c>
      <c r="E1177" s="140">
        <v>0</v>
      </c>
      <c r="F1177" s="140">
        <v>5</v>
      </c>
      <c r="G1177" s="140">
        <v>-5</v>
      </c>
      <c r="H1177" s="140">
        <v>0</v>
      </c>
      <c r="I1177" s="140">
        <v>0</v>
      </c>
    </row>
    <row r="1178" spans="2:9" x14ac:dyDescent="0.3">
      <c r="B1178" t="s">
        <v>1312</v>
      </c>
      <c r="C1178" s="261">
        <v>45871500000000</v>
      </c>
      <c r="D1178" t="s">
        <v>1313</v>
      </c>
      <c r="E1178" s="140">
        <v>0</v>
      </c>
      <c r="F1178" s="140">
        <v>0</v>
      </c>
      <c r="G1178" s="140">
        <v>0</v>
      </c>
      <c r="H1178" s="140">
        <v>0</v>
      </c>
      <c r="I1178" s="140">
        <v>0</v>
      </c>
    </row>
    <row r="1179" spans="2:9" x14ac:dyDescent="0.3">
      <c r="B1179" t="s">
        <v>1314</v>
      </c>
      <c r="C1179" s="261">
        <v>5933910000000</v>
      </c>
      <c r="D1179" t="s">
        <v>1315</v>
      </c>
      <c r="E1179" s="140">
        <v>0</v>
      </c>
      <c r="F1179" s="140">
        <v>0</v>
      </c>
      <c r="G1179" s="140">
        <v>0</v>
      </c>
      <c r="H1179" s="140">
        <v>0</v>
      </c>
      <c r="I1179" s="140">
        <v>0</v>
      </c>
    </row>
    <row r="1180" spans="2:9" x14ac:dyDescent="0.3">
      <c r="B1180" t="s">
        <v>1316</v>
      </c>
      <c r="C1180" s="261">
        <v>27589700000000</v>
      </c>
      <c r="D1180" t="s">
        <v>1317</v>
      </c>
      <c r="E1180" s="140">
        <v>0</v>
      </c>
      <c r="F1180" s="140">
        <v>0</v>
      </c>
      <c r="G1180" s="140">
        <v>0</v>
      </c>
      <c r="H1180" s="140">
        <v>0</v>
      </c>
      <c r="I1180" s="140">
        <v>0</v>
      </c>
    </row>
    <row r="1181" spans="2:9" x14ac:dyDescent="0.3">
      <c r="B1181" t="s">
        <v>1318</v>
      </c>
      <c r="C1181" s="261">
        <v>16724700000000</v>
      </c>
      <c r="D1181" t="s">
        <v>1319</v>
      </c>
      <c r="E1181" s="140">
        <v>0</v>
      </c>
      <c r="F1181" s="140">
        <v>0</v>
      </c>
      <c r="G1181" s="140">
        <v>0</v>
      </c>
      <c r="H1181" s="140">
        <v>0</v>
      </c>
      <c r="I1181" s="140">
        <v>0</v>
      </c>
    </row>
    <row r="1182" spans="2:9" x14ac:dyDescent="0.3">
      <c r="B1182" t="s">
        <v>1320</v>
      </c>
      <c r="C1182" s="261">
        <v>45660300000000</v>
      </c>
      <c r="D1182" t="s">
        <v>1321</v>
      </c>
      <c r="E1182" s="140">
        <v>0</v>
      </c>
      <c r="F1182" s="140">
        <v>0</v>
      </c>
      <c r="G1182" s="140">
        <v>0</v>
      </c>
      <c r="H1182" s="140">
        <v>0</v>
      </c>
      <c r="I1182" s="140">
        <v>0</v>
      </c>
    </row>
    <row r="1183" spans="2:9" x14ac:dyDescent="0.3">
      <c r="B1183" t="s">
        <v>1322</v>
      </c>
      <c r="C1183" s="261">
        <v>1337720000000</v>
      </c>
      <c r="D1183" t="s">
        <v>1323</v>
      </c>
      <c r="E1183" s="140">
        <v>0</v>
      </c>
      <c r="F1183" s="140">
        <v>0</v>
      </c>
      <c r="G1183" s="140">
        <v>0</v>
      </c>
      <c r="H1183" s="140">
        <v>0</v>
      </c>
      <c r="I1183" s="140">
        <v>0</v>
      </c>
    </row>
    <row r="1184" spans="2:9" x14ac:dyDescent="0.3">
      <c r="B1184" t="s">
        <v>1324</v>
      </c>
      <c r="C1184" s="261">
        <v>13016900000000</v>
      </c>
      <c r="D1184" t="s">
        <v>1325</v>
      </c>
      <c r="E1184" s="140">
        <v>0</v>
      </c>
      <c r="F1184" s="140">
        <v>0</v>
      </c>
      <c r="G1184" s="140">
        <v>0</v>
      </c>
      <c r="H1184" s="140">
        <v>0</v>
      </c>
      <c r="I1184" s="140">
        <v>0</v>
      </c>
    </row>
    <row r="1185" spans="2:9" x14ac:dyDescent="0.3">
      <c r="B1185" t="s">
        <v>1326</v>
      </c>
      <c r="C1185" s="261">
        <v>23312600000000</v>
      </c>
      <c r="D1185" t="s">
        <v>1327</v>
      </c>
      <c r="E1185" s="140">
        <v>0</v>
      </c>
      <c r="F1185" s="140">
        <v>0</v>
      </c>
      <c r="G1185" s="140">
        <v>0</v>
      </c>
      <c r="H1185" s="140">
        <v>0</v>
      </c>
      <c r="I1185" s="140">
        <v>0</v>
      </c>
    </row>
    <row r="1186" spans="2:9" x14ac:dyDescent="0.3">
      <c r="B1186" t="s">
        <v>1328</v>
      </c>
      <c r="C1186" s="261">
        <v>5630090000000</v>
      </c>
      <c r="D1186" t="s">
        <v>1329</v>
      </c>
      <c r="E1186" s="140">
        <v>0</v>
      </c>
      <c r="F1186" s="140">
        <v>8</v>
      </c>
      <c r="G1186" s="140">
        <v>-8</v>
      </c>
      <c r="H1186" s="140">
        <v>0</v>
      </c>
      <c r="I1186" s="140">
        <v>0</v>
      </c>
    </row>
    <row r="1187" spans="2:9" x14ac:dyDescent="0.3">
      <c r="B1187" t="s">
        <v>1330</v>
      </c>
      <c r="C1187" s="261">
        <v>12654500000000</v>
      </c>
      <c r="D1187" t="s">
        <v>1331</v>
      </c>
      <c r="E1187" s="140">
        <v>0</v>
      </c>
      <c r="F1187" s="140">
        <v>0</v>
      </c>
      <c r="G1187" s="140">
        <v>0</v>
      </c>
      <c r="H1187" s="140">
        <v>0</v>
      </c>
      <c r="I1187" s="140">
        <v>0</v>
      </c>
    </row>
    <row r="1188" spans="2:9" x14ac:dyDescent="0.3">
      <c r="B1188" t="s">
        <v>858</v>
      </c>
      <c r="C1188">
        <v>2114998</v>
      </c>
      <c r="D1188" t="s">
        <v>161</v>
      </c>
      <c r="E1188" s="140">
        <v>0</v>
      </c>
      <c r="F1188" s="140">
        <v>30</v>
      </c>
      <c r="G1188" s="140">
        <v>-30</v>
      </c>
      <c r="H1188" s="140">
        <v>0</v>
      </c>
      <c r="I1188" s="140">
        <v>0</v>
      </c>
    </row>
    <row r="1189" spans="2:9" x14ac:dyDescent="0.3">
      <c r="B1189" t="s">
        <v>3852</v>
      </c>
      <c r="C1189">
        <v>2114999</v>
      </c>
      <c r="D1189" t="s">
        <v>3853</v>
      </c>
      <c r="E1189" s="140">
        <v>0</v>
      </c>
      <c r="F1189" s="140">
        <v>0</v>
      </c>
      <c r="G1189" s="140">
        <v>0</v>
      </c>
      <c r="H1189" s="140">
        <v>0</v>
      </c>
      <c r="I1189" s="140">
        <v>0</v>
      </c>
    </row>
    <row r="1190" spans="2:9" x14ac:dyDescent="0.3">
      <c r="B1190" t="s">
        <v>1332</v>
      </c>
      <c r="C1190" s="261">
        <v>9199790000000</v>
      </c>
      <c r="D1190" t="s">
        <v>1333</v>
      </c>
      <c r="E1190" s="140">
        <v>0</v>
      </c>
      <c r="F1190" s="140">
        <v>0</v>
      </c>
      <c r="G1190" s="140">
        <v>0</v>
      </c>
      <c r="H1190" s="140">
        <v>0</v>
      </c>
      <c r="I1190" s="140">
        <v>0</v>
      </c>
    </row>
    <row r="1191" spans="2:9" x14ac:dyDescent="0.3">
      <c r="B1191" t="s">
        <v>1334</v>
      </c>
      <c r="C1191" s="261">
        <v>38458400000000</v>
      </c>
      <c r="D1191" t="s">
        <v>1335</v>
      </c>
      <c r="E1191" s="140">
        <v>0</v>
      </c>
      <c r="F1191" s="140">
        <v>0</v>
      </c>
      <c r="G1191" s="140">
        <v>-2</v>
      </c>
      <c r="H1191" s="140">
        <v>-2</v>
      </c>
      <c r="I1191" s="140">
        <v>-2</v>
      </c>
    </row>
    <row r="1192" spans="2:9" x14ac:dyDescent="0.3">
      <c r="B1192" t="s">
        <v>1336</v>
      </c>
      <c r="C1192" s="261">
        <v>8210270000000</v>
      </c>
      <c r="D1192" t="s">
        <v>1337</v>
      </c>
      <c r="E1192" s="140">
        <v>0</v>
      </c>
      <c r="F1192" s="140">
        <v>4</v>
      </c>
      <c r="G1192" s="140">
        <v>-4</v>
      </c>
      <c r="H1192" s="140">
        <v>0</v>
      </c>
      <c r="I1192" s="140">
        <v>0</v>
      </c>
    </row>
    <row r="1193" spans="2:9" x14ac:dyDescent="0.3">
      <c r="B1193" t="s">
        <v>1338</v>
      </c>
      <c r="C1193" s="261">
        <v>26145000000000</v>
      </c>
      <c r="D1193" t="s">
        <v>1339</v>
      </c>
      <c r="E1193" s="140">
        <v>0</v>
      </c>
      <c r="F1193" s="140">
        <v>0</v>
      </c>
      <c r="G1193" s="140">
        <v>0</v>
      </c>
      <c r="H1193" s="140">
        <v>0</v>
      </c>
      <c r="I1193" s="140">
        <v>0</v>
      </c>
    </row>
    <row r="1194" spans="2:9" x14ac:dyDescent="0.3">
      <c r="B1194" t="s">
        <v>1340</v>
      </c>
      <c r="C1194" s="261">
        <v>2445480000000</v>
      </c>
      <c r="D1194" t="s">
        <v>1341</v>
      </c>
      <c r="E1194" s="140">
        <v>0</v>
      </c>
      <c r="F1194" s="140">
        <v>0</v>
      </c>
      <c r="G1194" s="140">
        <v>0</v>
      </c>
      <c r="H1194" s="140">
        <v>0</v>
      </c>
      <c r="I1194" s="140">
        <v>0</v>
      </c>
    </row>
    <row r="1195" spans="2:9" x14ac:dyDescent="0.3">
      <c r="B1195" t="s">
        <v>1342</v>
      </c>
      <c r="C1195" s="261">
        <v>14208400000000</v>
      </c>
      <c r="D1195" t="s">
        <v>1343</v>
      </c>
      <c r="E1195" s="140">
        <v>0</v>
      </c>
      <c r="F1195" s="140">
        <v>0</v>
      </c>
      <c r="G1195" s="140">
        <v>0</v>
      </c>
      <c r="H1195" s="140">
        <v>0</v>
      </c>
      <c r="I1195" s="140">
        <v>0</v>
      </c>
    </row>
    <row r="1196" spans="2:9" x14ac:dyDescent="0.3">
      <c r="B1196" t="s">
        <v>1344</v>
      </c>
      <c r="C1196" s="261">
        <v>19720200000000</v>
      </c>
      <c r="D1196" t="s">
        <v>1345</v>
      </c>
      <c r="E1196" s="140">
        <v>0</v>
      </c>
      <c r="F1196" s="140">
        <v>0</v>
      </c>
      <c r="G1196" s="140">
        <v>0</v>
      </c>
      <c r="H1196" s="140">
        <v>0</v>
      </c>
      <c r="I1196" s="140">
        <v>0</v>
      </c>
    </row>
    <row r="1197" spans="2:9" x14ac:dyDescent="0.3">
      <c r="B1197" t="s">
        <v>1346</v>
      </c>
      <c r="C1197" s="261">
        <v>20813500000000</v>
      </c>
      <c r="D1197" t="s">
        <v>1347</v>
      </c>
      <c r="E1197" s="140">
        <v>0</v>
      </c>
      <c r="F1197" s="140">
        <v>0</v>
      </c>
      <c r="G1197" s="140">
        <v>0</v>
      </c>
      <c r="H1197" s="140">
        <v>0</v>
      </c>
      <c r="I1197" s="140">
        <v>0</v>
      </c>
    </row>
    <row r="1198" spans="2:9" x14ac:dyDescent="0.3">
      <c r="B1198" t="s">
        <v>1348</v>
      </c>
      <c r="C1198" s="261">
        <v>3263980000000</v>
      </c>
      <c r="D1198" t="s">
        <v>1349</v>
      </c>
      <c r="E1198" s="140">
        <v>0</v>
      </c>
      <c r="F1198" s="140">
        <v>0</v>
      </c>
      <c r="G1198" s="140">
        <v>0</v>
      </c>
      <c r="H1198" s="140">
        <v>0</v>
      </c>
      <c r="I1198" s="140">
        <v>0</v>
      </c>
    </row>
    <row r="1199" spans="2:9" x14ac:dyDescent="0.3">
      <c r="B1199" t="s">
        <v>1350</v>
      </c>
      <c r="C1199" s="261">
        <v>33746500000000</v>
      </c>
      <c r="D1199" t="s">
        <v>1351</v>
      </c>
      <c r="E1199" s="140">
        <v>0</v>
      </c>
      <c r="F1199" s="140">
        <v>0</v>
      </c>
      <c r="G1199" s="140">
        <v>0</v>
      </c>
      <c r="H1199" s="140">
        <v>0</v>
      </c>
      <c r="I1199" s="140">
        <v>0</v>
      </c>
    </row>
    <row r="1200" spans="2:9" x14ac:dyDescent="0.3">
      <c r="B1200" t="s">
        <v>1352</v>
      </c>
      <c r="C1200" s="261">
        <v>19485900000000</v>
      </c>
      <c r="D1200" t="s">
        <v>1353</v>
      </c>
      <c r="E1200" s="140">
        <v>-25</v>
      </c>
      <c r="F1200" s="140">
        <v>25</v>
      </c>
      <c r="G1200" s="140">
        <v>0</v>
      </c>
      <c r="H1200" s="140">
        <v>25</v>
      </c>
      <c r="I1200" s="140">
        <v>0</v>
      </c>
    </row>
    <row r="1201" spans="2:9" x14ac:dyDescent="0.3">
      <c r="B1201" t="s">
        <v>1354</v>
      </c>
      <c r="C1201" s="261">
        <v>3812750000000</v>
      </c>
      <c r="D1201" t="s">
        <v>1355</v>
      </c>
      <c r="E1201" s="140">
        <v>-65</v>
      </c>
      <c r="F1201" s="140">
        <v>65</v>
      </c>
      <c r="G1201" s="140">
        <v>0</v>
      </c>
      <c r="H1201" s="140">
        <v>65</v>
      </c>
      <c r="I1201" s="140">
        <v>0</v>
      </c>
    </row>
    <row r="1202" spans="2:9" x14ac:dyDescent="0.3">
      <c r="B1202" t="s">
        <v>3854</v>
      </c>
      <c r="C1202" s="261">
        <v>1976530000000</v>
      </c>
      <c r="D1202" t="s">
        <v>3855</v>
      </c>
      <c r="E1202" s="140">
        <v>0</v>
      </c>
      <c r="F1202" s="140">
        <v>2</v>
      </c>
      <c r="G1202" s="140">
        <v>-2</v>
      </c>
      <c r="H1202" s="140">
        <v>0</v>
      </c>
      <c r="I1202" s="140">
        <v>0</v>
      </c>
    </row>
    <row r="1203" spans="2:9" x14ac:dyDescent="0.3">
      <c r="B1203" t="s">
        <v>3856</v>
      </c>
      <c r="C1203" s="261">
        <v>44459900000000</v>
      </c>
      <c r="D1203" t="s">
        <v>3857</v>
      </c>
      <c r="E1203" s="140">
        <v>0</v>
      </c>
      <c r="F1203" s="140">
        <v>8</v>
      </c>
      <c r="G1203" s="140">
        <v>-8</v>
      </c>
      <c r="H1203" s="140">
        <v>0</v>
      </c>
      <c r="I1203" s="140">
        <v>0</v>
      </c>
    </row>
    <row r="1204" spans="2:9" x14ac:dyDescent="0.3">
      <c r="B1204" t="s">
        <v>3858</v>
      </c>
      <c r="C1204" s="261">
        <v>13369400000000</v>
      </c>
      <c r="D1204" t="s">
        <v>3859</v>
      </c>
      <c r="E1204" s="140">
        <v>0</v>
      </c>
      <c r="F1204" s="140">
        <v>5</v>
      </c>
      <c r="G1204" s="140">
        <v>-5</v>
      </c>
      <c r="H1204" s="140">
        <v>0</v>
      </c>
      <c r="I1204" s="140">
        <v>0</v>
      </c>
    </row>
    <row r="1205" spans="2:9" x14ac:dyDescent="0.3">
      <c r="B1205" t="s">
        <v>3860</v>
      </c>
      <c r="C1205" s="261">
        <v>37381900000000</v>
      </c>
      <c r="D1205" t="s">
        <v>3861</v>
      </c>
      <c r="E1205" s="140">
        <v>0</v>
      </c>
      <c r="F1205" s="140">
        <v>6</v>
      </c>
      <c r="G1205" s="140">
        <v>-10</v>
      </c>
      <c r="H1205" s="140">
        <v>-4</v>
      </c>
      <c r="I1205" s="140">
        <v>-4</v>
      </c>
    </row>
    <row r="1206" spans="2:9" x14ac:dyDescent="0.3">
      <c r="B1206" t="s">
        <v>3862</v>
      </c>
      <c r="C1206" s="261">
        <v>7273920000000</v>
      </c>
      <c r="D1206" t="s">
        <v>3863</v>
      </c>
      <c r="E1206" s="140">
        <v>0</v>
      </c>
      <c r="F1206" s="140">
        <v>45</v>
      </c>
      <c r="G1206" s="140">
        <v>-45</v>
      </c>
      <c r="H1206" s="140">
        <v>0</v>
      </c>
      <c r="I1206" s="140">
        <v>0</v>
      </c>
    </row>
    <row r="1207" spans="2:9" x14ac:dyDescent="0.3">
      <c r="B1207" t="s">
        <v>3864</v>
      </c>
      <c r="C1207" s="261">
        <v>42429500000000</v>
      </c>
      <c r="D1207" t="s">
        <v>3865</v>
      </c>
      <c r="E1207" s="140">
        <v>0</v>
      </c>
      <c r="F1207" s="140">
        <v>0</v>
      </c>
      <c r="G1207" s="140">
        <v>0</v>
      </c>
      <c r="H1207" s="140">
        <v>0</v>
      </c>
      <c r="I1207" s="140">
        <v>0</v>
      </c>
    </row>
    <row r="1208" spans="2:9" x14ac:dyDescent="0.3">
      <c r="B1208" t="s">
        <v>3866</v>
      </c>
      <c r="C1208" s="261">
        <v>33683100000000</v>
      </c>
      <c r="D1208" t="s">
        <v>3867</v>
      </c>
      <c r="E1208" s="140">
        <v>0</v>
      </c>
      <c r="F1208" s="140">
        <v>0</v>
      </c>
      <c r="G1208" s="140">
        <v>0</v>
      </c>
      <c r="H1208" s="140">
        <v>0</v>
      </c>
      <c r="I1208" s="140">
        <v>0</v>
      </c>
    </row>
    <row r="1209" spans="2:9" x14ac:dyDescent="0.3">
      <c r="B1209" t="s">
        <v>3868</v>
      </c>
      <c r="C1209" s="261">
        <v>45499300000000</v>
      </c>
      <c r="D1209" t="s">
        <v>3869</v>
      </c>
      <c r="E1209" s="140">
        <v>0</v>
      </c>
      <c r="F1209" s="140">
        <v>136</v>
      </c>
      <c r="G1209" s="140">
        <v>-136</v>
      </c>
      <c r="H1209" s="140">
        <v>0</v>
      </c>
      <c r="I1209" s="140">
        <v>0</v>
      </c>
    </row>
    <row r="1210" spans="2:9" x14ac:dyDescent="0.3">
      <c r="B1210" t="s">
        <v>3870</v>
      </c>
      <c r="C1210" s="261">
        <v>28913000000000</v>
      </c>
      <c r="D1210" t="s">
        <v>2319</v>
      </c>
      <c r="E1210" s="140">
        <v>0</v>
      </c>
      <c r="F1210" s="140">
        <v>0</v>
      </c>
      <c r="G1210" s="140">
        <v>0</v>
      </c>
      <c r="H1210" s="140">
        <v>0</v>
      </c>
      <c r="I1210" s="140">
        <v>0</v>
      </c>
    </row>
    <row r="1211" spans="2:9" x14ac:dyDescent="0.3">
      <c r="B1211" t="s">
        <v>3871</v>
      </c>
      <c r="C1211" s="261">
        <v>12782100000000</v>
      </c>
      <c r="D1211" t="s">
        <v>3872</v>
      </c>
      <c r="E1211" s="140">
        <v>0</v>
      </c>
      <c r="F1211" s="140">
        <v>7</v>
      </c>
      <c r="G1211" s="140">
        <v>-7</v>
      </c>
      <c r="H1211" s="140">
        <v>0</v>
      </c>
      <c r="I1211" s="140">
        <v>0</v>
      </c>
    </row>
    <row r="1212" spans="2:9" x14ac:dyDescent="0.3">
      <c r="B1212" t="s">
        <v>3873</v>
      </c>
      <c r="C1212" s="261">
        <v>7658540000000</v>
      </c>
      <c r="D1212" t="s">
        <v>3874</v>
      </c>
      <c r="E1212" s="140">
        <v>0</v>
      </c>
      <c r="F1212" s="140">
        <v>34</v>
      </c>
      <c r="G1212" s="140">
        <v>-34</v>
      </c>
      <c r="H1212" s="140">
        <v>0</v>
      </c>
      <c r="I1212" s="140">
        <v>0</v>
      </c>
    </row>
    <row r="1213" spans="2:9" x14ac:dyDescent="0.3">
      <c r="B1213" t="s">
        <v>3875</v>
      </c>
      <c r="C1213" s="261">
        <v>46792800000000</v>
      </c>
      <c r="D1213" t="s">
        <v>3876</v>
      </c>
      <c r="E1213" s="140">
        <v>0</v>
      </c>
      <c r="F1213" s="140">
        <v>16</v>
      </c>
      <c r="G1213" s="140">
        <v>-16</v>
      </c>
      <c r="H1213" s="140">
        <v>0</v>
      </c>
      <c r="I1213" s="140">
        <v>0</v>
      </c>
    </row>
    <row r="1214" spans="2:9" x14ac:dyDescent="0.3">
      <c r="B1214" t="s">
        <v>3877</v>
      </c>
      <c r="C1214" s="261">
        <v>31030100000000</v>
      </c>
      <c r="D1214" t="s">
        <v>3878</v>
      </c>
      <c r="E1214" s="140">
        <v>0</v>
      </c>
      <c r="F1214" s="140">
        <v>1</v>
      </c>
      <c r="G1214" s="140">
        <v>-1</v>
      </c>
      <c r="H1214" s="140">
        <v>0</v>
      </c>
      <c r="I1214" s="140">
        <v>0</v>
      </c>
    </row>
    <row r="1215" spans="2:9" x14ac:dyDescent="0.3">
      <c r="B1215" t="s">
        <v>3879</v>
      </c>
      <c r="C1215" s="261">
        <v>22243800000000</v>
      </c>
      <c r="D1215" t="s">
        <v>3880</v>
      </c>
      <c r="E1215" s="140">
        <v>0</v>
      </c>
      <c r="F1215" s="140">
        <v>0</v>
      </c>
      <c r="G1215" s="140">
        <v>-2</v>
      </c>
      <c r="H1215" s="140">
        <v>-2</v>
      </c>
      <c r="I1215" s="140">
        <v>-2</v>
      </c>
    </row>
    <row r="1216" spans="2:9" x14ac:dyDescent="0.3">
      <c r="B1216" t="s">
        <v>3881</v>
      </c>
      <c r="C1216" s="261">
        <v>42112700000000</v>
      </c>
      <c r="D1216" t="s">
        <v>3882</v>
      </c>
      <c r="E1216" s="140">
        <v>0</v>
      </c>
      <c r="F1216" s="140">
        <v>0</v>
      </c>
      <c r="G1216" s="140">
        <v>-13</v>
      </c>
      <c r="H1216" s="140">
        <v>-13</v>
      </c>
      <c r="I1216" s="140">
        <v>-13</v>
      </c>
    </row>
    <row r="1217" spans="1:9" x14ac:dyDescent="0.3">
      <c r="B1217" t="s">
        <v>3883</v>
      </c>
      <c r="C1217">
        <v>2115</v>
      </c>
      <c r="D1217" t="s">
        <v>3884</v>
      </c>
      <c r="E1217" s="140">
        <v>0</v>
      </c>
      <c r="F1217" s="140">
        <v>0</v>
      </c>
      <c r="G1217" s="140">
        <v>0</v>
      </c>
      <c r="H1217" s="140">
        <v>0</v>
      </c>
      <c r="I1217" s="140">
        <v>0</v>
      </c>
    </row>
    <row r="1218" spans="1:9" x14ac:dyDescent="0.3">
      <c r="B1218" t="s">
        <v>3885</v>
      </c>
      <c r="C1218">
        <v>2115999</v>
      </c>
      <c r="D1218" t="s">
        <v>3886</v>
      </c>
      <c r="E1218" s="140">
        <v>0</v>
      </c>
      <c r="F1218" s="140">
        <v>0</v>
      </c>
      <c r="G1218" s="140">
        <v>0</v>
      </c>
      <c r="H1218" s="140">
        <v>0</v>
      </c>
      <c r="I1218" s="140">
        <v>0</v>
      </c>
    </row>
    <row r="1219" spans="1:9" s="184" customFormat="1" x14ac:dyDescent="0.3">
      <c r="A1219" s="274"/>
      <c r="B1219" s="228" t="s">
        <v>1033</v>
      </c>
      <c r="C1219" s="228">
        <v>2116</v>
      </c>
      <c r="D1219" s="228" t="s">
        <v>17</v>
      </c>
      <c r="E1219" s="282">
        <v>-98</v>
      </c>
      <c r="F1219" s="282">
        <v>1138</v>
      </c>
      <c r="G1219" s="282">
        <v>-1249</v>
      </c>
      <c r="H1219" s="282">
        <v>-111</v>
      </c>
      <c r="I1219" s="282">
        <v>-209</v>
      </c>
    </row>
    <row r="1220" spans="1:9" x14ac:dyDescent="0.3">
      <c r="B1220" t="s">
        <v>1713</v>
      </c>
      <c r="C1220">
        <v>21161</v>
      </c>
      <c r="D1220" t="s">
        <v>1714</v>
      </c>
      <c r="E1220" s="140">
        <v>0</v>
      </c>
      <c r="F1220" s="140">
        <v>653</v>
      </c>
      <c r="G1220" s="140">
        <v>-765</v>
      </c>
      <c r="H1220" s="140">
        <v>-113</v>
      </c>
      <c r="I1220" s="140">
        <v>-113</v>
      </c>
    </row>
    <row r="1221" spans="1:9" x14ac:dyDescent="0.3">
      <c r="B1221" t="s">
        <v>859</v>
      </c>
      <c r="C1221">
        <v>21162</v>
      </c>
      <c r="D1221" t="s">
        <v>162</v>
      </c>
      <c r="E1221" s="140">
        <v>-17</v>
      </c>
      <c r="F1221" s="140">
        <v>42</v>
      </c>
      <c r="G1221" s="140">
        <v>-33</v>
      </c>
      <c r="H1221" s="140">
        <v>9</v>
      </c>
      <c r="I1221" s="140">
        <v>-9</v>
      </c>
    </row>
    <row r="1222" spans="1:9" x14ac:dyDescent="0.3">
      <c r="B1222" t="s">
        <v>1034</v>
      </c>
      <c r="C1222">
        <v>21163</v>
      </c>
      <c r="D1222" t="s">
        <v>163</v>
      </c>
      <c r="E1222" s="140">
        <v>-81</v>
      </c>
      <c r="F1222" s="140">
        <v>193</v>
      </c>
      <c r="G1222" s="140">
        <v>-153</v>
      </c>
      <c r="H1222" s="140">
        <v>40</v>
      </c>
      <c r="I1222" s="140">
        <v>-41</v>
      </c>
    </row>
    <row r="1223" spans="1:9" x14ac:dyDescent="0.3">
      <c r="B1223" t="s">
        <v>3887</v>
      </c>
      <c r="C1223">
        <v>21164</v>
      </c>
      <c r="D1223" t="s">
        <v>3888</v>
      </c>
      <c r="E1223" s="140">
        <v>0</v>
      </c>
      <c r="F1223" s="140">
        <v>0</v>
      </c>
      <c r="G1223" s="140">
        <v>0</v>
      </c>
      <c r="H1223" s="140">
        <v>0</v>
      </c>
      <c r="I1223" s="140">
        <v>0</v>
      </c>
    </row>
    <row r="1224" spans="1:9" x14ac:dyDescent="0.3">
      <c r="B1224" t="s">
        <v>3889</v>
      </c>
      <c r="C1224">
        <v>21165</v>
      </c>
      <c r="D1224" t="s">
        <v>3890</v>
      </c>
      <c r="E1224" s="140">
        <v>0</v>
      </c>
      <c r="F1224" s="140">
        <v>0</v>
      </c>
      <c r="G1224" s="140">
        <v>0</v>
      </c>
      <c r="H1224" s="140">
        <v>0</v>
      </c>
      <c r="I1224" s="140">
        <v>0</v>
      </c>
    </row>
    <row r="1225" spans="1:9" x14ac:dyDescent="0.3">
      <c r="B1225" t="s">
        <v>3891</v>
      </c>
      <c r="C1225">
        <v>21166</v>
      </c>
      <c r="D1225" t="s">
        <v>3892</v>
      </c>
      <c r="E1225" s="140">
        <v>0</v>
      </c>
      <c r="F1225" s="140">
        <v>0</v>
      </c>
      <c r="G1225" s="140">
        <v>0</v>
      </c>
      <c r="H1225" s="140">
        <v>0</v>
      </c>
      <c r="I1225" s="140">
        <v>0</v>
      </c>
    </row>
    <row r="1226" spans="1:9" x14ac:dyDescent="0.3">
      <c r="B1226" t="s">
        <v>1715</v>
      </c>
      <c r="C1226">
        <v>21167</v>
      </c>
      <c r="D1226" t="s">
        <v>1716</v>
      </c>
      <c r="E1226" s="140">
        <v>0</v>
      </c>
      <c r="F1226" s="140">
        <v>251</v>
      </c>
      <c r="G1226" s="140">
        <v>-298</v>
      </c>
      <c r="H1226" s="140">
        <v>-47</v>
      </c>
      <c r="I1226" s="140">
        <v>-47</v>
      </c>
    </row>
    <row r="1227" spans="1:9" x14ac:dyDescent="0.3">
      <c r="B1227" t="s">
        <v>3893</v>
      </c>
      <c r="C1227">
        <v>21168</v>
      </c>
      <c r="D1227" t="s">
        <v>3894</v>
      </c>
      <c r="E1227" s="140">
        <v>0</v>
      </c>
      <c r="F1227" s="140">
        <v>0</v>
      </c>
      <c r="G1227" s="140">
        <v>0</v>
      </c>
      <c r="H1227" s="140">
        <v>0</v>
      </c>
      <c r="I1227" s="140">
        <v>0</v>
      </c>
    </row>
    <row r="1228" spans="1:9" x14ac:dyDescent="0.3">
      <c r="B1228" t="s">
        <v>3895</v>
      </c>
      <c r="C1228">
        <v>21169</v>
      </c>
      <c r="D1228" t="s">
        <v>3896</v>
      </c>
      <c r="E1228" s="140">
        <v>0</v>
      </c>
      <c r="F1228" s="140">
        <v>0</v>
      </c>
      <c r="G1228" s="140">
        <v>0</v>
      </c>
      <c r="H1228" s="140">
        <v>0</v>
      </c>
      <c r="I1228" s="140">
        <v>0</v>
      </c>
    </row>
    <row r="1229" spans="1:9" s="184" customFormat="1" x14ac:dyDescent="0.3">
      <c r="A1229" s="274"/>
      <c r="B1229" s="228" t="s">
        <v>1035</v>
      </c>
      <c r="C1229" s="228">
        <v>2117</v>
      </c>
      <c r="D1229" s="228" t="s">
        <v>164</v>
      </c>
      <c r="E1229" s="282">
        <v>-888</v>
      </c>
      <c r="F1229" s="282">
        <v>3302</v>
      </c>
      <c r="G1229" s="282">
        <v>-3297</v>
      </c>
      <c r="H1229" s="282">
        <v>6</v>
      </c>
      <c r="I1229" s="282">
        <v>-882</v>
      </c>
    </row>
    <row r="1230" spans="1:9" x14ac:dyDescent="0.3">
      <c r="B1230" t="s">
        <v>1036</v>
      </c>
      <c r="C1230">
        <v>561</v>
      </c>
      <c r="D1230" t="s">
        <v>165</v>
      </c>
      <c r="E1230" s="140">
        <v>-858</v>
      </c>
      <c r="F1230" s="140">
        <v>2756</v>
      </c>
      <c r="G1230" s="140">
        <v>-2765</v>
      </c>
      <c r="H1230" s="140">
        <v>-9</v>
      </c>
      <c r="I1230" s="140">
        <v>-867</v>
      </c>
    </row>
    <row r="1231" spans="1:9" x14ac:dyDescent="0.3">
      <c r="B1231" t="s">
        <v>1717</v>
      </c>
      <c r="C1231">
        <v>21172</v>
      </c>
      <c r="D1231" t="s">
        <v>1718</v>
      </c>
      <c r="E1231" s="140">
        <v>0</v>
      </c>
      <c r="F1231" s="140">
        <v>0</v>
      </c>
      <c r="G1231" s="140">
        <v>0</v>
      </c>
      <c r="H1231" s="140">
        <v>0</v>
      </c>
      <c r="I1231" s="140">
        <v>0</v>
      </c>
    </row>
    <row r="1232" spans="1:9" x14ac:dyDescent="0.3">
      <c r="B1232" t="s">
        <v>1037</v>
      </c>
      <c r="C1232" t="s">
        <v>166</v>
      </c>
      <c r="D1232" t="s">
        <v>167</v>
      </c>
      <c r="E1232" s="140">
        <v>-30</v>
      </c>
      <c r="F1232" s="140">
        <v>47</v>
      </c>
      <c r="G1232" s="140">
        <v>-32</v>
      </c>
      <c r="H1232" s="140">
        <v>15</v>
      </c>
      <c r="I1232" s="140">
        <v>-15</v>
      </c>
    </row>
    <row r="1233" spans="2:9" x14ac:dyDescent="0.3">
      <c r="B1233" t="s">
        <v>3897</v>
      </c>
      <c r="C1233" t="s">
        <v>3898</v>
      </c>
      <c r="D1233" t="s">
        <v>3899</v>
      </c>
      <c r="E1233" s="140">
        <v>0</v>
      </c>
      <c r="F1233" s="140">
        <v>0</v>
      </c>
      <c r="G1233" s="140">
        <v>0</v>
      </c>
      <c r="H1233" s="140">
        <v>0</v>
      </c>
      <c r="I1233" s="140">
        <v>0</v>
      </c>
    </row>
    <row r="1234" spans="2:9" x14ac:dyDescent="0.3">
      <c r="B1234" t="s">
        <v>3900</v>
      </c>
      <c r="C1234" t="s">
        <v>3901</v>
      </c>
      <c r="D1234" t="s">
        <v>3902</v>
      </c>
      <c r="E1234" s="140">
        <v>0</v>
      </c>
      <c r="F1234" s="140">
        <v>0</v>
      </c>
      <c r="G1234" s="140">
        <v>0</v>
      </c>
      <c r="H1234" s="140">
        <v>0</v>
      </c>
      <c r="I1234" s="140">
        <v>0</v>
      </c>
    </row>
    <row r="1235" spans="2:9" x14ac:dyDescent="0.3">
      <c r="B1235" t="s">
        <v>3903</v>
      </c>
      <c r="C1235">
        <v>21176</v>
      </c>
      <c r="D1235" t="s">
        <v>3904</v>
      </c>
      <c r="E1235" s="140">
        <v>0</v>
      </c>
      <c r="F1235" s="140">
        <v>0</v>
      </c>
      <c r="G1235" s="140">
        <v>0</v>
      </c>
      <c r="H1235" s="140">
        <v>0</v>
      </c>
      <c r="I1235" s="140">
        <v>0</v>
      </c>
    </row>
    <row r="1236" spans="2:9" x14ac:dyDescent="0.3">
      <c r="B1236" t="s">
        <v>3905</v>
      </c>
      <c r="C1236">
        <v>21177</v>
      </c>
      <c r="D1236" t="s">
        <v>3906</v>
      </c>
      <c r="E1236" s="140">
        <v>0</v>
      </c>
      <c r="F1236" s="140">
        <v>0</v>
      </c>
      <c r="G1236" s="140">
        <v>0</v>
      </c>
      <c r="H1236" s="140">
        <v>0</v>
      </c>
      <c r="I1236" s="140">
        <v>0</v>
      </c>
    </row>
    <row r="1237" spans="2:9" x14ac:dyDescent="0.3">
      <c r="B1237" t="s">
        <v>860</v>
      </c>
      <c r="C1237">
        <v>6147</v>
      </c>
      <c r="D1237" t="s">
        <v>861</v>
      </c>
      <c r="E1237" s="140">
        <v>0</v>
      </c>
      <c r="F1237" s="140">
        <v>9</v>
      </c>
      <c r="G1237" s="140">
        <v>-9</v>
      </c>
      <c r="H1237" s="140">
        <v>0</v>
      </c>
      <c r="I1237" s="140">
        <v>0</v>
      </c>
    </row>
    <row r="1238" spans="2:9" x14ac:dyDescent="0.3">
      <c r="B1238" t="s">
        <v>862</v>
      </c>
      <c r="C1238">
        <v>6190</v>
      </c>
      <c r="D1238" t="s">
        <v>863</v>
      </c>
      <c r="E1238" s="140">
        <v>0</v>
      </c>
      <c r="F1238" s="140">
        <v>444</v>
      </c>
      <c r="G1238" s="140">
        <v>-444</v>
      </c>
      <c r="H1238" s="140">
        <v>0</v>
      </c>
      <c r="I1238" s="140">
        <v>0</v>
      </c>
    </row>
    <row r="1239" spans="2:9" x14ac:dyDescent="0.3">
      <c r="B1239" t="s">
        <v>864</v>
      </c>
      <c r="C1239">
        <v>6175</v>
      </c>
      <c r="D1239" t="s">
        <v>865</v>
      </c>
      <c r="E1239" s="140">
        <v>0</v>
      </c>
      <c r="F1239" s="140">
        <v>0</v>
      </c>
      <c r="G1239" s="140">
        <v>0</v>
      </c>
      <c r="H1239" s="140">
        <v>0</v>
      </c>
      <c r="I1239" s="140">
        <v>0</v>
      </c>
    </row>
    <row r="1240" spans="2:9" x14ac:dyDescent="0.3">
      <c r="B1240" t="s">
        <v>1719</v>
      </c>
      <c r="C1240">
        <v>211711</v>
      </c>
      <c r="D1240" t="s">
        <v>1720</v>
      </c>
      <c r="E1240" s="140">
        <v>0</v>
      </c>
      <c r="F1240" s="140">
        <v>0</v>
      </c>
      <c r="G1240" s="140">
        <v>0</v>
      </c>
      <c r="H1240" s="140">
        <v>0</v>
      </c>
      <c r="I1240" s="140">
        <v>0</v>
      </c>
    </row>
    <row r="1241" spans="2:9" x14ac:dyDescent="0.3">
      <c r="B1241" t="s">
        <v>3907</v>
      </c>
      <c r="C1241">
        <v>211712</v>
      </c>
      <c r="D1241" t="s">
        <v>3908</v>
      </c>
      <c r="E1241" s="140">
        <v>0</v>
      </c>
      <c r="F1241" s="140">
        <v>0</v>
      </c>
      <c r="G1241" s="140">
        <v>0</v>
      </c>
      <c r="H1241" s="140">
        <v>0</v>
      </c>
      <c r="I1241" s="140">
        <v>0</v>
      </c>
    </row>
    <row r="1242" spans="2:9" x14ac:dyDescent="0.3">
      <c r="B1242" t="s">
        <v>1721</v>
      </c>
      <c r="C1242">
        <v>211713</v>
      </c>
      <c r="D1242" t="s">
        <v>1722</v>
      </c>
      <c r="E1242" s="140">
        <v>0</v>
      </c>
      <c r="F1242" s="140">
        <v>0</v>
      </c>
      <c r="G1242" s="140">
        <v>0</v>
      </c>
      <c r="H1242" s="140">
        <v>0</v>
      </c>
      <c r="I1242" s="140">
        <v>0</v>
      </c>
    </row>
    <row r="1243" spans="2:9" x14ac:dyDescent="0.3">
      <c r="B1243" t="s">
        <v>3909</v>
      </c>
      <c r="C1243">
        <v>211714</v>
      </c>
      <c r="D1243" t="s">
        <v>3910</v>
      </c>
      <c r="E1243" s="140">
        <v>0</v>
      </c>
      <c r="F1243" s="140">
        <v>0</v>
      </c>
      <c r="G1243" s="140">
        <v>0</v>
      </c>
      <c r="H1243" s="140">
        <v>0</v>
      </c>
      <c r="I1243" s="140">
        <v>0</v>
      </c>
    </row>
    <row r="1244" spans="2:9" x14ac:dyDescent="0.3">
      <c r="B1244" t="s">
        <v>866</v>
      </c>
      <c r="C1244" t="s">
        <v>168</v>
      </c>
      <c r="D1244" t="s">
        <v>169</v>
      </c>
      <c r="E1244" s="140">
        <v>0</v>
      </c>
      <c r="F1244" s="140">
        <v>43</v>
      </c>
      <c r="G1244" s="140">
        <v>-43</v>
      </c>
      <c r="H1244" s="140">
        <v>0</v>
      </c>
      <c r="I1244" s="140">
        <v>0</v>
      </c>
    </row>
    <row r="1245" spans="2:9" x14ac:dyDescent="0.3">
      <c r="B1245" t="s">
        <v>3911</v>
      </c>
      <c r="C1245">
        <v>211716</v>
      </c>
      <c r="D1245" t="s">
        <v>3912</v>
      </c>
      <c r="E1245" s="140">
        <v>0</v>
      </c>
      <c r="F1245" s="140">
        <v>0</v>
      </c>
      <c r="G1245" s="140">
        <v>0</v>
      </c>
      <c r="H1245" s="140">
        <v>0</v>
      </c>
      <c r="I1245" s="140">
        <v>0</v>
      </c>
    </row>
    <row r="1246" spans="2:9" x14ac:dyDescent="0.3">
      <c r="B1246" t="s">
        <v>3913</v>
      </c>
      <c r="C1246">
        <v>211717</v>
      </c>
      <c r="D1246" t="s">
        <v>3914</v>
      </c>
      <c r="E1246" s="140">
        <v>0</v>
      </c>
      <c r="F1246" s="140">
        <v>0</v>
      </c>
      <c r="G1246" s="140">
        <v>0</v>
      </c>
      <c r="H1246" s="140">
        <v>0</v>
      </c>
      <c r="I1246" s="140">
        <v>0</v>
      </c>
    </row>
    <row r="1247" spans="2:9" x14ac:dyDescent="0.3">
      <c r="B1247" t="s">
        <v>3915</v>
      </c>
      <c r="C1247">
        <v>211718</v>
      </c>
      <c r="D1247" t="s">
        <v>3916</v>
      </c>
      <c r="E1247" s="140">
        <v>0</v>
      </c>
      <c r="F1247" s="140">
        <v>0</v>
      </c>
      <c r="G1247" s="140">
        <v>0</v>
      </c>
      <c r="H1247" s="140">
        <v>0</v>
      </c>
      <c r="I1247" s="140">
        <v>0</v>
      </c>
    </row>
    <row r="1248" spans="2:9" x14ac:dyDescent="0.3">
      <c r="B1248" t="s">
        <v>3917</v>
      </c>
      <c r="C1248">
        <v>211719</v>
      </c>
      <c r="D1248" t="s">
        <v>3918</v>
      </c>
      <c r="E1248" s="140">
        <v>0</v>
      </c>
      <c r="F1248" s="140">
        <v>0</v>
      </c>
      <c r="G1248" s="140">
        <v>0</v>
      </c>
      <c r="H1248" s="140">
        <v>0</v>
      </c>
      <c r="I1248" s="140">
        <v>0</v>
      </c>
    </row>
    <row r="1249" spans="2:9" x14ac:dyDescent="0.3">
      <c r="B1249" t="s">
        <v>3919</v>
      </c>
      <c r="C1249">
        <v>211720</v>
      </c>
      <c r="D1249" t="s">
        <v>3920</v>
      </c>
      <c r="E1249" s="140">
        <v>0</v>
      </c>
      <c r="F1249" s="140">
        <v>0</v>
      </c>
      <c r="G1249" s="140">
        <v>0</v>
      </c>
      <c r="H1249" s="140">
        <v>0</v>
      </c>
      <c r="I1249" s="140">
        <v>0</v>
      </c>
    </row>
    <row r="1250" spans="2:9" x14ac:dyDescent="0.3">
      <c r="B1250" t="s">
        <v>3921</v>
      </c>
      <c r="C1250">
        <v>211721</v>
      </c>
      <c r="D1250" t="s">
        <v>3922</v>
      </c>
      <c r="E1250" s="140">
        <v>0</v>
      </c>
      <c r="F1250" s="140">
        <v>0</v>
      </c>
      <c r="G1250" s="140">
        <v>0</v>
      </c>
      <c r="H1250" s="140">
        <v>0</v>
      </c>
      <c r="I1250" s="140">
        <v>0</v>
      </c>
    </row>
    <row r="1251" spans="2:9" x14ac:dyDescent="0.3">
      <c r="B1251" t="s">
        <v>3923</v>
      </c>
      <c r="C1251">
        <v>211722</v>
      </c>
      <c r="D1251" t="s">
        <v>3924</v>
      </c>
      <c r="E1251" s="140">
        <v>0</v>
      </c>
      <c r="F1251" s="140">
        <v>0</v>
      </c>
      <c r="G1251" s="140">
        <v>0</v>
      </c>
      <c r="H1251" s="140">
        <v>0</v>
      </c>
      <c r="I1251" s="140">
        <v>0</v>
      </c>
    </row>
    <row r="1252" spans="2:9" x14ac:dyDescent="0.3">
      <c r="B1252" t="s">
        <v>3925</v>
      </c>
      <c r="C1252">
        <v>211723</v>
      </c>
      <c r="D1252" t="s">
        <v>3926</v>
      </c>
      <c r="E1252" s="140">
        <v>0</v>
      </c>
      <c r="F1252" s="140">
        <v>0</v>
      </c>
      <c r="G1252" s="140">
        <v>0</v>
      </c>
      <c r="H1252" s="140">
        <v>0</v>
      </c>
      <c r="I1252" s="140">
        <v>0</v>
      </c>
    </row>
    <row r="1253" spans="2:9" x14ac:dyDescent="0.3">
      <c r="B1253" t="s">
        <v>3927</v>
      </c>
      <c r="C1253">
        <v>211724</v>
      </c>
      <c r="D1253" t="s">
        <v>3928</v>
      </c>
      <c r="E1253" s="140">
        <v>0</v>
      </c>
      <c r="F1253" s="140">
        <v>0</v>
      </c>
      <c r="G1253" s="140">
        <v>0</v>
      </c>
      <c r="H1253" s="140">
        <v>0</v>
      </c>
      <c r="I1253" s="140">
        <v>0</v>
      </c>
    </row>
    <row r="1254" spans="2:9" x14ac:dyDescent="0.3">
      <c r="B1254" t="s">
        <v>3929</v>
      </c>
      <c r="C1254">
        <v>211725</v>
      </c>
      <c r="D1254" t="s">
        <v>3930</v>
      </c>
      <c r="E1254" s="140">
        <v>0</v>
      </c>
      <c r="F1254" s="140">
        <v>0</v>
      </c>
      <c r="G1254" s="140">
        <v>0</v>
      </c>
      <c r="H1254" s="140">
        <v>0</v>
      </c>
      <c r="I1254" s="140">
        <v>0</v>
      </c>
    </row>
    <row r="1255" spans="2:9" x14ac:dyDescent="0.3">
      <c r="B1255" t="s">
        <v>3931</v>
      </c>
      <c r="C1255">
        <v>211726</v>
      </c>
      <c r="D1255" t="s">
        <v>3932</v>
      </c>
      <c r="E1255" s="140">
        <v>0</v>
      </c>
      <c r="F1255" s="140">
        <v>0</v>
      </c>
      <c r="G1255" s="140">
        <v>0</v>
      </c>
      <c r="H1255" s="140">
        <v>0</v>
      </c>
      <c r="I1255" s="140">
        <v>0</v>
      </c>
    </row>
    <row r="1256" spans="2:9" x14ac:dyDescent="0.3">
      <c r="B1256" t="s">
        <v>3933</v>
      </c>
      <c r="C1256">
        <v>211727</v>
      </c>
      <c r="D1256" t="s">
        <v>3934</v>
      </c>
      <c r="E1256" s="140">
        <v>0</v>
      </c>
      <c r="F1256" s="140">
        <v>0</v>
      </c>
      <c r="G1256" s="140">
        <v>0</v>
      </c>
      <c r="H1256" s="140">
        <v>0</v>
      </c>
      <c r="I1256" s="140">
        <v>0</v>
      </c>
    </row>
    <row r="1257" spans="2:9" x14ac:dyDescent="0.3">
      <c r="B1257" t="s">
        <v>3935</v>
      </c>
      <c r="C1257">
        <v>211728</v>
      </c>
      <c r="D1257" t="s">
        <v>3936</v>
      </c>
      <c r="E1257" s="140">
        <v>0</v>
      </c>
      <c r="F1257" s="140">
        <v>0</v>
      </c>
      <c r="G1257" s="140">
        <v>0</v>
      </c>
      <c r="H1257" s="140">
        <v>0</v>
      </c>
      <c r="I1257" s="140">
        <v>0</v>
      </c>
    </row>
    <row r="1258" spans="2:9" x14ac:dyDescent="0.3">
      <c r="B1258" t="s">
        <v>3937</v>
      </c>
      <c r="C1258">
        <v>211729</v>
      </c>
      <c r="D1258" t="s">
        <v>3938</v>
      </c>
      <c r="E1258" s="140">
        <v>0</v>
      </c>
      <c r="F1258" s="140">
        <v>0</v>
      </c>
      <c r="G1258" s="140">
        <v>0</v>
      </c>
      <c r="H1258" s="140">
        <v>0</v>
      </c>
      <c r="I1258" s="140">
        <v>0</v>
      </c>
    </row>
    <row r="1259" spans="2:9" x14ac:dyDescent="0.3">
      <c r="B1259" t="s">
        <v>3939</v>
      </c>
      <c r="C1259">
        <v>211730</v>
      </c>
      <c r="D1259" t="s">
        <v>3940</v>
      </c>
      <c r="E1259" s="140">
        <v>0</v>
      </c>
      <c r="F1259" s="140">
        <v>0</v>
      </c>
      <c r="G1259" s="140">
        <v>0</v>
      </c>
      <c r="H1259" s="140">
        <v>0</v>
      </c>
      <c r="I1259" s="140">
        <v>0</v>
      </c>
    </row>
    <row r="1260" spans="2:9" x14ac:dyDescent="0.3">
      <c r="B1260" t="s">
        <v>3941</v>
      </c>
      <c r="C1260">
        <v>211731</v>
      </c>
      <c r="D1260" t="s">
        <v>3942</v>
      </c>
      <c r="E1260" s="140">
        <v>0</v>
      </c>
      <c r="F1260" s="140">
        <v>0</v>
      </c>
      <c r="G1260" s="140">
        <v>0</v>
      </c>
      <c r="H1260" s="140">
        <v>0</v>
      </c>
      <c r="I1260" s="140">
        <v>0</v>
      </c>
    </row>
    <row r="1261" spans="2:9" x14ac:dyDescent="0.3">
      <c r="B1261" t="s">
        <v>3943</v>
      </c>
      <c r="C1261">
        <v>211732</v>
      </c>
      <c r="D1261" t="s">
        <v>3944</v>
      </c>
      <c r="E1261" s="140">
        <v>0</v>
      </c>
      <c r="F1261" s="140">
        <v>0</v>
      </c>
      <c r="G1261" s="140">
        <v>0</v>
      </c>
      <c r="H1261" s="140">
        <v>0</v>
      </c>
      <c r="I1261" s="140">
        <v>0</v>
      </c>
    </row>
    <row r="1262" spans="2:9" x14ac:dyDescent="0.3">
      <c r="B1262" t="s">
        <v>3945</v>
      </c>
      <c r="C1262">
        <v>211733</v>
      </c>
      <c r="D1262" t="s">
        <v>3946</v>
      </c>
      <c r="E1262" s="140">
        <v>0</v>
      </c>
      <c r="F1262" s="140">
        <v>0</v>
      </c>
      <c r="G1262" s="140">
        <v>0</v>
      </c>
      <c r="H1262" s="140">
        <v>0</v>
      </c>
      <c r="I1262" s="140">
        <v>0</v>
      </c>
    </row>
    <row r="1263" spans="2:9" x14ac:dyDescent="0.3">
      <c r="B1263" t="s">
        <v>3947</v>
      </c>
      <c r="C1263">
        <v>211734</v>
      </c>
      <c r="D1263" t="s">
        <v>3948</v>
      </c>
      <c r="E1263" s="140">
        <v>0</v>
      </c>
      <c r="F1263" s="140">
        <v>0</v>
      </c>
      <c r="G1263" s="140">
        <v>0</v>
      </c>
      <c r="H1263" s="140">
        <v>0</v>
      </c>
      <c r="I1263" s="140">
        <v>0</v>
      </c>
    </row>
    <row r="1264" spans="2:9" x14ac:dyDescent="0.3">
      <c r="B1264" t="s">
        <v>3949</v>
      </c>
      <c r="C1264">
        <v>211735</v>
      </c>
      <c r="D1264" t="s">
        <v>3950</v>
      </c>
      <c r="E1264" s="140">
        <v>0</v>
      </c>
      <c r="F1264" s="140">
        <v>0</v>
      </c>
      <c r="G1264" s="140">
        <v>0</v>
      </c>
      <c r="H1264" s="140">
        <v>0</v>
      </c>
      <c r="I1264" s="140">
        <v>0</v>
      </c>
    </row>
    <row r="1265" spans="2:9" x14ac:dyDescent="0.3">
      <c r="B1265" t="s">
        <v>3951</v>
      </c>
      <c r="C1265">
        <v>211736</v>
      </c>
      <c r="D1265" t="s">
        <v>3952</v>
      </c>
      <c r="E1265" s="140">
        <v>0</v>
      </c>
      <c r="F1265" s="140">
        <v>0</v>
      </c>
      <c r="G1265" s="140">
        <v>0</v>
      </c>
      <c r="H1265" s="140">
        <v>0</v>
      </c>
      <c r="I1265" s="140">
        <v>0</v>
      </c>
    </row>
    <row r="1266" spans="2:9" x14ac:dyDescent="0.3">
      <c r="B1266" t="s">
        <v>3953</v>
      </c>
      <c r="C1266">
        <v>211737</v>
      </c>
      <c r="D1266" t="s">
        <v>3954</v>
      </c>
      <c r="E1266" s="140">
        <v>0</v>
      </c>
      <c r="F1266" s="140">
        <v>0</v>
      </c>
      <c r="G1266" s="140">
        <v>0</v>
      </c>
      <c r="H1266" s="140">
        <v>0</v>
      </c>
      <c r="I1266" s="140">
        <v>0</v>
      </c>
    </row>
    <row r="1267" spans="2:9" x14ac:dyDescent="0.3">
      <c r="B1267" t="s">
        <v>3955</v>
      </c>
      <c r="C1267">
        <v>211738</v>
      </c>
      <c r="D1267" t="s">
        <v>3956</v>
      </c>
      <c r="E1267" s="140">
        <v>0</v>
      </c>
      <c r="F1267" s="140">
        <v>0</v>
      </c>
      <c r="G1267" s="140">
        <v>0</v>
      </c>
      <c r="H1267" s="140">
        <v>0</v>
      </c>
      <c r="I1267" s="140">
        <v>0</v>
      </c>
    </row>
    <row r="1268" spans="2:9" x14ac:dyDescent="0.3">
      <c r="B1268" t="s">
        <v>3957</v>
      </c>
      <c r="C1268">
        <v>211739</v>
      </c>
      <c r="D1268" t="s">
        <v>3958</v>
      </c>
      <c r="E1268" s="140">
        <v>0</v>
      </c>
      <c r="F1268" s="140">
        <v>0</v>
      </c>
      <c r="G1268" s="140">
        <v>0</v>
      </c>
      <c r="H1268" s="140">
        <v>0</v>
      </c>
      <c r="I1268" s="140">
        <v>0</v>
      </c>
    </row>
    <row r="1269" spans="2:9" x14ac:dyDescent="0.3">
      <c r="B1269" t="s">
        <v>3959</v>
      </c>
      <c r="C1269">
        <v>211740</v>
      </c>
      <c r="D1269" t="s">
        <v>3960</v>
      </c>
      <c r="E1269" s="140">
        <v>0</v>
      </c>
      <c r="F1269" s="140">
        <v>0</v>
      </c>
      <c r="G1269" s="140">
        <v>0</v>
      </c>
      <c r="H1269" s="140">
        <v>0</v>
      </c>
      <c r="I1269" s="140">
        <v>0</v>
      </c>
    </row>
    <row r="1270" spans="2:9" x14ac:dyDescent="0.3">
      <c r="B1270" t="s">
        <v>3961</v>
      </c>
      <c r="C1270">
        <v>211741</v>
      </c>
      <c r="D1270" t="s">
        <v>3962</v>
      </c>
      <c r="E1270" s="140">
        <v>0</v>
      </c>
      <c r="F1270" s="140">
        <v>0</v>
      </c>
      <c r="G1270" s="140">
        <v>0</v>
      </c>
      <c r="H1270" s="140">
        <v>0</v>
      </c>
      <c r="I1270" s="140">
        <v>0</v>
      </c>
    </row>
    <row r="1271" spans="2:9" x14ac:dyDescent="0.3">
      <c r="B1271" t="s">
        <v>3963</v>
      </c>
      <c r="C1271">
        <v>211742</v>
      </c>
      <c r="D1271" t="s">
        <v>3964</v>
      </c>
      <c r="E1271" s="140">
        <v>0</v>
      </c>
      <c r="F1271" s="140">
        <v>0</v>
      </c>
      <c r="G1271" s="140">
        <v>0</v>
      </c>
      <c r="H1271" s="140">
        <v>0</v>
      </c>
      <c r="I1271" s="140">
        <v>0</v>
      </c>
    </row>
    <row r="1272" spans="2:9" x14ac:dyDescent="0.3">
      <c r="B1272" t="s">
        <v>3965</v>
      </c>
      <c r="C1272">
        <v>211743</v>
      </c>
      <c r="D1272" t="s">
        <v>3966</v>
      </c>
      <c r="E1272" s="140">
        <v>0</v>
      </c>
      <c r="F1272" s="140">
        <v>0</v>
      </c>
      <c r="G1272" s="140">
        <v>0</v>
      </c>
      <c r="H1272" s="140">
        <v>0</v>
      </c>
      <c r="I1272" s="140">
        <v>0</v>
      </c>
    </row>
    <row r="1273" spans="2:9" x14ac:dyDescent="0.3">
      <c r="B1273" t="s">
        <v>3967</v>
      </c>
      <c r="C1273">
        <v>211744</v>
      </c>
      <c r="D1273" t="s">
        <v>3968</v>
      </c>
      <c r="E1273" s="140">
        <v>0</v>
      </c>
      <c r="F1273" s="140">
        <v>0</v>
      </c>
      <c r="G1273" s="140">
        <v>0</v>
      </c>
      <c r="H1273" s="140">
        <v>0</v>
      </c>
      <c r="I1273" s="140">
        <v>0</v>
      </c>
    </row>
    <row r="1274" spans="2:9" x14ac:dyDescent="0.3">
      <c r="B1274" t="s">
        <v>3969</v>
      </c>
      <c r="C1274">
        <v>211745</v>
      </c>
      <c r="D1274" t="s">
        <v>3970</v>
      </c>
      <c r="E1274" s="140">
        <v>0</v>
      </c>
      <c r="F1274" s="140">
        <v>0</v>
      </c>
      <c r="G1274" s="140">
        <v>0</v>
      </c>
      <c r="H1274" s="140">
        <v>0</v>
      </c>
      <c r="I1274" s="140">
        <v>0</v>
      </c>
    </row>
    <row r="1275" spans="2:9" x14ac:dyDescent="0.3">
      <c r="B1275" t="s">
        <v>3971</v>
      </c>
      <c r="C1275">
        <v>211746</v>
      </c>
      <c r="D1275" t="s">
        <v>3972</v>
      </c>
      <c r="E1275" s="140">
        <v>0</v>
      </c>
      <c r="F1275" s="140">
        <v>0</v>
      </c>
      <c r="G1275" s="140">
        <v>0</v>
      </c>
      <c r="H1275" s="140">
        <v>0</v>
      </c>
      <c r="I1275" s="140">
        <v>0</v>
      </c>
    </row>
    <row r="1276" spans="2:9" x14ac:dyDescent="0.3">
      <c r="B1276" t="s">
        <v>3973</v>
      </c>
      <c r="C1276">
        <v>211747</v>
      </c>
      <c r="D1276" t="s">
        <v>3974</v>
      </c>
      <c r="E1276" s="140">
        <v>0</v>
      </c>
      <c r="F1276" s="140">
        <v>0</v>
      </c>
      <c r="G1276" s="140">
        <v>0</v>
      </c>
      <c r="H1276" s="140">
        <v>0</v>
      </c>
      <c r="I1276" s="140">
        <v>0</v>
      </c>
    </row>
    <row r="1277" spans="2:9" x14ac:dyDescent="0.3">
      <c r="B1277" t="s">
        <v>3975</v>
      </c>
      <c r="C1277">
        <v>211748</v>
      </c>
      <c r="D1277" t="s">
        <v>3976</v>
      </c>
      <c r="E1277" s="140">
        <v>0</v>
      </c>
      <c r="F1277" s="140">
        <v>0</v>
      </c>
      <c r="G1277" s="140">
        <v>0</v>
      </c>
      <c r="H1277" s="140">
        <v>0</v>
      </c>
      <c r="I1277" s="140">
        <v>0</v>
      </c>
    </row>
    <row r="1278" spans="2:9" x14ac:dyDescent="0.3">
      <c r="B1278" t="s">
        <v>3977</v>
      </c>
      <c r="C1278">
        <v>211749</v>
      </c>
      <c r="D1278" t="s">
        <v>3978</v>
      </c>
      <c r="E1278" s="140">
        <v>0</v>
      </c>
      <c r="F1278" s="140">
        <v>0</v>
      </c>
      <c r="G1278" s="140">
        <v>0</v>
      </c>
      <c r="H1278" s="140">
        <v>0</v>
      </c>
      <c r="I1278" s="140">
        <v>0</v>
      </c>
    </row>
    <row r="1279" spans="2:9" x14ac:dyDescent="0.3">
      <c r="B1279" t="s">
        <v>3979</v>
      </c>
      <c r="C1279">
        <v>211750</v>
      </c>
      <c r="D1279" t="s">
        <v>3980</v>
      </c>
      <c r="E1279" s="140">
        <v>0</v>
      </c>
      <c r="F1279" s="140">
        <v>0</v>
      </c>
      <c r="G1279" s="140">
        <v>0</v>
      </c>
      <c r="H1279" s="140">
        <v>0</v>
      </c>
      <c r="I1279" s="140">
        <v>0</v>
      </c>
    </row>
    <row r="1280" spans="2:9" x14ac:dyDescent="0.3">
      <c r="B1280" t="s">
        <v>3981</v>
      </c>
      <c r="C1280">
        <v>211751</v>
      </c>
      <c r="D1280" t="s">
        <v>3982</v>
      </c>
      <c r="E1280" s="140">
        <v>0</v>
      </c>
      <c r="F1280" s="140">
        <v>0</v>
      </c>
      <c r="G1280" s="140">
        <v>0</v>
      </c>
      <c r="H1280" s="140">
        <v>0</v>
      </c>
      <c r="I1280" s="140">
        <v>0</v>
      </c>
    </row>
    <row r="1281" spans="2:9" x14ac:dyDescent="0.3">
      <c r="B1281" t="s">
        <v>3983</v>
      </c>
      <c r="C1281">
        <v>211752</v>
      </c>
      <c r="D1281" t="s">
        <v>3984</v>
      </c>
      <c r="E1281" s="140">
        <v>0</v>
      </c>
      <c r="F1281" s="140">
        <v>0</v>
      </c>
      <c r="G1281" s="140">
        <v>0</v>
      </c>
      <c r="H1281" s="140">
        <v>0</v>
      </c>
      <c r="I1281" s="140">
        <v>0</v>
      </c>
    </row>
    <row r="1282" spans="2:9" x14ac:dyDescent="0.3">
      <c r="B1282" t="s">
        <v>3985</v>
      </c>
      <c r="C1282">
        <v>211753</v>
      </c>
      <c r="D1282" t="s">
        <v>3986</v>
      </c>
      <c r="E1282" s="140">
        <v>0</v>
      </c>
      <c r="F1282" s="140">
        <v>0</v>
      </c>
      <c r="G1282" s="140">
        <v>0</v>
      </c>
      <c r="H1282" s="140">
        <v>0</v>
      </c>
      <c r="I1282" s="140">
        <v>0</v>
      </c>
    </row>
    <row r="1283" spans="2:9" x14ac:dyDescent="0.3">
      <c r="B1283" t="s">
        <v>3987</v>
      </c>
      <c r="C1283">
        <v>211754</v>
      </c>
      <c r="D1283" t="s">
        <v>3988</v>
      </c>
      <c r="E1283" s="140">
        <v>0</v>
      </c>
      <c r="F1283" s="140">
        <v>0</v>
      </c>
      <c r="G1283" s="140">
        <v>0</v>
      </c>
      <c r="H1283" s="140">
        <v>0</v>
      </c>
      <c r="I1283" s="140">
        <v>0</v>
      </c>
    </row>
    <row r="1284" spans="2:9" x14ac:dyDescent="0.3">
      <c r="B1284" t="s">
        <v>3989</v>
      </c>
      <c r="C1284">
        <v>211755</v>
      </c>
      <c r="D1284" t="s">
        <v>3990</v>
      </c>
      <c r="E1284" s="140">
        <v>0</v>
      </c>
      <c r="F1284" s="140">
        <v>0</v>
      </c>
      <c r="G1284" s="140">
        <v>0</v>
      </c>
      <c r="H1284" s="140">
        <v>0</v>
      </c>
      <c r="I1284" s="140">
        <v>0</v>
      </c>
    </row>
    <row r="1285" spans="2:9" x14ac:dyDescent="0.3">
      <c r="B1285" t="s">
        <v>3991</v>
      </c>
      <c r="C1285">
        <v>211756</v>
      </c>
      <c r="D1285" t="s">
        <v>3992</v>
      </c>
      <c r="E1285" s="140">
        <v>0</v>
      </c>
      <c r="F1285" s="140">
        <v>0</v>
      </c>
      <c r="G1285" s="140">
        <v>0</v>
      </c>
      <c r="H1285" s="140">
        <v>0</v>
      </c>
      <c r="I1285" s="140">
        <v>0</v>
      </c>
    </row>
    <row r="1286" spans="2:9" x14ac:dyDescent="0.3">
      <c r="B1286" t="s">
        <v>3993</v>
      </c>
      <c r="C1286">
        <v>211757</v>
      </c>
      <c r="D1286" t="s">
        <v>3994</v>
      </c>
      <c r="E1286" s="140">
        <v>0</v>
      </c>
      <c r="F1286" s="140">
        <v>0</v>
      </c>
      <c r="G1286" s="140">
        <v>0</v>
      </c>
      <c r="H1286" s="140">
        <v>0</v>
      </c>
      <c r="I1286" s="140">
        <v>0</v>
      </c>
    </row>
    <row r="1287" spans="2:9" x14ac:dyDescent="0.3">
      <c r="B1287" t="s">
        <v>3995</v>
      </c>
      <c r="C1287">
        <v>211758</v>
      </c>
      <c r="D1287" t="s">
        <v>3996</v>
      </c>
      <c r="E1287" s="140">
        <v>0</v>
      </c>
      <c r="F1287" s="140">
        <v>0</v>
      </c>
      <c r="G1287" s="140">
        <v>0</v>
      </c>
      <c r="H1287" s="140">
        <v>0</v>
      </c>
      <c r="I1287" s="140">
        <v>0</v>
      </c>
    </row>
    <row r="1288" spans="2:9" x14ac:dyDescent="0.3">
      <c r="B1288" t="s">
        <v>3997</v>
      </c>
      <c r="C1288">
        <v>211759</v>
      </c>
      <c r="D1288" t="s">
        <v>3998</v>
      </c>
      <c r="E1288" s="140">
        <v>0</v>
      </c>
      <c r="F1288" s="140">
        <v>0</v>
      </c>
      <c r="G1288" s="140">
        <v>0</v>
      </c>
      <c r="H1288" s="140">
        <v>0</v>
      </c>
      <c r="I1288" s="140">
        <v>0</v>
      </c>
    </row>
    <row r="1289" spans="2:9" x14ac:dyDescent="0.3">
      <c r="B1289" t="s">
        <v>3999</v>
      </c>
      <c r="C1289">
        <v>211760</v>
      </c>
      <c r="D1289" t="s">
        <v>4000</v>
      </c>
      <c r="E1289" s="140">
        <v>0</v>
      </c>
      <c r="F1289" s="140">
        <v>0</v>
      </c>
      <c r="G1289" s="140">
        <v>0</v>
      </c>
      <c r="H1289" s="140">
        <v>0</v>
      </c>
      <c r="I1289" s="140">
        <v>0</v>
      </c>
    </row>
    <row r="1290" spans="2:9" x14ac:dyDescent="0.3">
      <c r="B1290" t="s">
        <v>4001</v>
      </c>
      <c r="C1290">
        <v>211761</v>
      </c>
      <c r="D1290" t="s">
        <v>4002</v>
      </c>
      <c r="E1290" s="140">
        <v>0</v>
      </c>
      <c r="F1290" s="140">
        <v>0</v>
      </c>
      <c r="G1290" s="140">
        <v>0</v>
      </c>
      <c r="H1290" s="140">
        <v>0</v>
      </c>
      <c r="I1290" s="140">
        <v>0</v>
      </c>
    </row>
    <row r="1291" spans="2:9" x14ac:dyDescent="0.3">
      <c r="B1291" t="s">
        <v>4003</v>
      </c>
      <c r="C1291">
        <v>211762</v>
      </c>
      <c r="D1291" t="s">
        <v>4004</v>
      </c>
      <c r="E1291" s="140">
        <v>0</v>
      </c>
      <c r="F1291" s="140">
        <v>0</v>
      </c>
      <c r="G1291" s="140">
        <v>0</v>
      </c>
      <c r="H1291" s="140">
        <v>0</v>
      </c>
      <c r="I1291" s="140">
        <v>0</v>
      </c>
    </row>
    <row r="1292" spans="2:9" x14ac:dyDescent="0.3">
      <c r="B1292" t="s">
        <v>4005</v>
      </c>
      <c r="C1292">
        <v>211763</v>
      </c>
      <c r="D1292" t="s">
        <v>4006</v>
      </c>
      <c r="E1292" s="140">
        <v>0</v>
      </c>
      <c r="F1292" s="140">
        <v>0</v>
      </c>
      <c r="G1292" s="140">
        <v>0</v>
      </c>
      <c r="H1292" s="140">
        <v>0</v>
      </c>
      <c r="I1292" s="140">
        <v>0</v>
      </c>
    </row>
    <row r="1293" spans="2:9" x14ac:dyDescent="0.3">
      <c r="B1293" t="s">
        <v>4007</v>
      </c>
      <c r="C1293">
        <v>211764</v>
      </c>
      <c r="D1293" t="s">
        <v>4008</v>
      </c>
      <c r="E1293" s="140">
        <v>0</v>
      </c>
      <c r="F1293" s="140">
        <v>0</v>
      </c>
      <c r="G1293" s="140">
        <v>0</v>
      </c>
      <c r="H1293" s="140">
        <v>0</v>
      </c>
      <c r="I1293" s="140">
        <v>0</v>
      </c>
    </row>
    <row r="1294" spans="2:9" x14ac:dyDescent="0.3">
      <c r="B1294" t="s">
        <v>4009</v>
      </c>
      <c r="C1294">
        <v>211765</v>
      </c>
      <c r="D1294" t="s">
        <v>4010</v>
      </c>
      <c r="E1294" s="140">
        <v>0</v>
      </c>
      <c r="F1294" s="140">
        <v>0</v>
      </c>
      <c r="G1294" s="140">
        <v>0</v>
      </c>
      <c r="H1294" s="140">
        <v>0</v>
      </c>
      <c r="I1294" s="140">
        <v>0</v>
      </c>
    </row>
    <row r="1295" spans="2:9" x14ac:dyDescent="0.3">
      <c r="B1295" t="s">
        <v>4011</v>
      </c>
      <c r="C1295">
        <v>211766</v>
      </c>
      <c r="D1295" t="s">
        <v>4012</v>
      </c>
      <c r="E1295" s="140">
        <v>0</v>
      </c>
      <c r="F1295" s="140">
        <v>0</v>
      </c>
      <c r="G1295" s="140">
        <v>0</v>
      </c>
      <c r="H1295" s="140">
        <v>0</v>
      </c>
      <c r="I1295" s="140">
        <v>0</v>
      </c>
    </row>
    <row r="1296" spans="2:9" x14ac:dyDescent="0.3">
      <c r="B1296" t="s">
        <v>4013</v>
      </c>
      <c r="C1296">
        <v>211767</v>
      </c>
      <c r="D1296" t="s">
        <v>4014</v>
      </c>
      <c r="E1296" s="140">
        <v>0</v>
      </c>
      <c r="F1296" s="140">
        <v>0</v>
      </c>
      <c r="G1296" s="140">
        <v>0</v>
      </c>
      <c r="H1296" s="140">
        <v>0</v>
      </c>
      <c r="I1296" s="140">
        <v>0</v>
      </c>
    </row>
    <row r="1297" spans="1:9" x14ac:dyDescent="0.3">
      <c r="B1297" t="s">
        <v>4015</v>
      </c>
      <c r="C1297">
        <v>211768</v>
      </c>
      <c r="D1297" t="s">
        <v>4016</v>
      </c>
      <c r="E1297" s="140">
        <v>0</v>
      </c>
      <c r="F1297" s="140">
        <v>0</v>
      </c>
      <c r="G1297" s="140">
        <v>0</v>
      </c>
      <c r="H1297" s="140">
        <v>0</v>
      </c>
      <c r="I1297" s="140">
        <v>0</v>
      </c>
    </row>
    <row r="1298" spans="1:9" x14ac:dyDescent="0.3">
      <c r="B1298" t="s">
        <v>4017</v>
      </c>
      <c r="C1298">
        <v>211769</v>
      </c>
      <c r="D1298" t="s">
        <v>4018</v>
      </c>
      <c r="E1298" s="140">
        <v>0</v>
      </c>
      <c r="F1298" s="140">
        <v>0</v>
      </c>
      <c r="G1298" s="140">
        <v>0</v>
      </c>
      <c r="H1298" s="140">
        <v>0</v>
      </c>
      <c r="I1298" s="140">
        <v>0</v>
      </c>
    </row>
    <row r="1299" spans="1:9" x14ac:dyDescent="0.3">
      <c r="B1299" t="s">
        <v>4019</v>
      </c>
      <c r="C1299">
        <v>211770</v>
      </c>
      <c r="D1299" t="s">
        <v>4020</v>
      </c>
      <c r="E1299" s="140">
        <v>0</v>
      </c>
      <c r="F1299" s="140">
        <v>0</v>
      </c>
      <c r="G1299" s="140">
        <v>0</v>
      </c>
      <c r="H1299" s="140">
        <v>0</v>
      </c>
      <c r="I1299" s="140">
        <v>0</v>
      </c>
    </row>
    <row r="1300" spans="1:9" x14ac:dyDescent="0.3">
      <c r="B1300" t="s">
        <v>4021</v>
      </c>
      <c r="C1300">
        <v>211771</v>
      </c>
      <c r="D1300" t="s">
        <v>4022</v>
      </c>
      <c r="E1300" s="140">
        <v>0</v>
      </c>
      <c r="F1300" s="140">
        <v>0</v>
      </c>
      <c r="G1300" s="140">
        <v>0</v>
      </c>
      <c r="H1300" s="140">
        <v>0</v>
      </c>
      <c r="I1300" s="140">
        <v>0</v>
      </c>
    </row>
    <row r="1301" spans="1:9" x14ac:dyDescent="0.3">
      <c r="B1301" t="s">
        <v>4023</v>
      </c>
      <c r="C1301">
        <v>211772</v>
      </c>
      <c r="D1301" t="s">
        <v>4024</v>
      </c>
      <c r="E1301" s="140">
        <v>0</v>
      </c>
      <c r="F1301" s="140">
        <v>0</v>
      </c>
      <c r="G1301" s="140">
        <v>0</v>
      </c>
      <c r="H1301" s="140">
        <v>0</v>
      </c>
      <c r="I1301" s="140">
        <v>0</v>
      </c>
    </row>
    <row r="1302" spans="1:9" x14ac:dyDescent="0.3">
      <c r="B1302" t="s">
        <v>4025</v>
      </c>
      <c r="C1302">
        <v>211773</v>
      </c>
      <c r="D1302" t="s">
        <v>4026</v>
      </c>
      <c r="E1302" s="140">
        <v>0</v>
      </c>
      <c r="F1302" s="140">
        <v>2</v>
      </c>
      <c r="G1302" s="140">
        <v>-2</v>
      </c>
      <c r="H1302" s="140">
        <v>0</v>
      </c>
      <c r="I1302" s="140">
        <v>0</v>
      </c>
    </row>
    <row r="1303" spans="1:9" x14ac:dyDescent="0.3">
      <c r="B1303" t="s">
        <v>4027</v>
      </c>
      <c r="C1303">
        <v>211774</v>
      </c>
      <c r="D1303" t="s">
        <v>4028</v>
      </c>
      <c r="E1303" s="140">
        <v>0</v>
      </c>
      <c r="F1303" s="140">
        <v>1</v>
      </c>
      <c r="G1303" s="140">
        <v>-1</v>
      </c>
      <c r="H1303" s="140">
        <v>0</v>
      </c>
      <c r="I1303" s="140">
        <v>0</v>
      </c>
    </row>
    <row r="1304" spans="1:9" x14ac:dyDescent="0.3">
      <c r="B1304" t="s">
        <v>4029</v>
      </c>
      <c r="C1304">
        <v>2117999</v>
      </c>
      <c r="D1304" t="s">
        <v>4030</v>
      </c>
      <c r="E1304" s="140">
        <v>0</v>
      </c>
      <c r="F1304" s="140">
        <v>0</v>
      </c>
      <c r="G1304" s="140">
        <v>0</v>
      </c>
      <c r="H1304" s="140">
        <v>0</v>
      </c>
      <c r="I1304" s="140">
        <v>0</v>
      </c>
    </row>
    <row r="1305" spans="1:9" s="184" customFormat="1" x14ac:dyDescent="0.3">
      <c r="A1305" s="274"/>
      <c r="B1305" s="228" t="s">
        <v>1038</v>
      </c>
      <c r="C1305" s="228">
        <v>2118</v>
      </c>
      <c r="D1305" s="228" t="s">
        <v>867</v>
      </c>
      <c r="E1305" s="282">
        <v>-14650</v>
      </c>
      <c r="F1305" s="282">
        <v>26060</v>
      </c>
      <c r="G1305" s="282">
        <v>-26551</v>
      </c>
      <c r="H1305" s="282">
        <v>-490</v>
      </c>
      <c r="I1305" s="282">
        <v>-15141</v>
      </c>
    </row>
    <row r="1306" spans="1:9" x14ac:dyDescent="0.3">
      <c r="B1306" t="s">
        <v>1039</v>
      </c>
      <c r="C1306">
        <v>21181</v>
      </c>
      <c r="D1306" t="s">
        <v>170</v>
      </c>
      <c r="E1306" s="140">
        <v>-3297</v>
      </c>
      <c r="F1306" s="140">
        <v>16738</v>
      </c>
      <c r="G1306" s="140">
        <v>-16758</v>
      </c>
      <c r="H1306" s="140">
        <v>-20</v>
      </c>
      <c r="I1306" s="140">
        <v>-3317</v>
      </c>
    </row>
    <row r="1307" spans="1:9" x14ac:dyDescent="0.3">
      <c r="B1307" t="s">
        <v>1040</v>
      </c>
      <c r="C1307">
        <v>21182</v>
      </c>
      <c r="D1307" t="s">
        <v>171</v>
      </c>
      <c r="E1307" s="140">
        <v>0</v>
      </c>
      <c r="F1307" s="140">
        <v>1</v>
      </c>
      <c r="G1307" s="140">
        <v>-1178</v>
      </c>
      <c r="H1307" s="140">
        <v>-1177</v>
      </c>
      <c r="I1307" s="140">
        <v>-1177</v>
      </c>
    </row>
    <row r="1308" spans="1:9" x14ac:dyDescent="0.3">
      <c r="B1308" t="s">
        <v>1041</v>
      </c>
      <c r="C1308">
        <v>21183</v>
      </c>
      <c r="D1308" t="s">
        <v>172</v>
      </c>
      <c r="E1308" s="140">
        <v>-7042</v>
      </c>
      <c r="F1308" s="140">
        <v>2184</v>
      </c>
      <c r="G1308" s="140">
        <v>-1668</v>
      </c>
      <c r="H1308" s="140">
        <v>516</v>
      </c>
      <c r="I1308" s="140">
        <v>-6526</v>
      </c>
    </row>
    <row r="1309" spans="1:9" x14ac:dyDescent="0.3">
      <c r="B1309" t="s">
        <v>1042</v>
      </c>
      <c r="C1309">
        <v>21184</v>
      </c>
      <c r="D1309" t="s">
        <v>173</v>
      </c>
      <c r="E1309" s="140">
        <v>-1315</v>
      </c>
      <c r="F1309" s="140">
        <v>3881</v>
      </c>
      <c r="G1309" s="140">
        <v>-3790</v>
      </c>
      <c r="H1309" s="140">
        <v>91</v>
      </c>
      <c r="I1309" s="140">
        <v>-1223</v>
      </c>
    </row>
    <row r="1310" spans="1:9" x14ac:dyDescent="0.3">
      <c r="B1310" t="s">
        <v>1043</v>
      </c>
      <c r="C1310">
        <v>21185</v>
      </c>
      <c r="D1310" t="s">
        <v>174</v>
      </c>
      <c r="E1310" s="140">
        <v>-608</v>
      </c>
      <c r="F1310" s="140">
        <v>1458</v>
      </c>
      <c r="G1310" s="140">
        <v>-1244</v>
      </c>
      <c r="H1310" s="140">
        <v>214</v>
      </c>
      <c r="I1310" s="140">
        <v>-394</v>
      </c>
    </row>
    <row r="1311" spans="1:9" x14ac:dyDescent="0.3">
      <c r="B1311" t="s">
        <v>868</v>
      </c>
      <c r="C1311">
        <v>21186</v>
      </c>
      <c r="D1311" t="s">
        <v>175</v>
      </c>
      <c r="E1311" s="140">
        <v>0</v>
      </c>
      <c r="F1311" s="140">
        <v>0</v>
      </c>
      <c r="G1311" s="140">
        <v>0</v>
      </c>
      <c r="H1311" s="140">
        <v>0</v>
      </c>
      <c r="I1311" s="140">
        <v>0</v>
      </c>
    </row>
    <row r="1312" spans="1:9" x14ac:dyDescent="0.3">
      <c r="B1312" t="s">
        <v>869</v>
      </c>
      <c r="C1312">
        <v>21187</v>
      </c>
      <c r="D1312" t="s">
        <v>176</v>
      </c>
      <c r="E1312" s="140">
        <v>0</v>
      </c>
      <c r="F1312" s="140">
        <v>45</v>
      </c>
      <c r="G1312" s="140">
        <v>-45</v>
      </c>
      <c r="H1312" s="140">
        <v>0</v>
      </c>
      <c r="I1312" s="140">
        <v>0</v>
      </c>
    </row>
    <row r="1313" spans="2:9" x14ac:dyDescent="0.3">
      <c r="B1313" t="s">
        <v>870</v>
      </c>
      <c r="C1313">
        <v>21188</v>
      </c>
      <c r="D1313" t="s">
        <v>871</v>
      </c>
      <c r="E1313" s="140">
        <v>-11</v>
      </c>
      <c r="F1313" s="140">
        <v>17</v>
      </c>
      <c r="G1313" s="140">
        <v>-6</v>
      </c>
      <c r="H1313" s="140">
        <v>11</v>
      </c>
      <c r="I1313" s="140">
        <v>0</v>
      </c>
    </row>
    <row r="1314" spans="2:9" x14ac:dyDescent="0.3">
      <c r="B1314" t="s">
        <v>1044</v>
      </c>
      <c r="C1314">
        <v>21189</v>
      </c>
      <c r="D1314" t="s">
        <v>177</v>
      </c>
      <c r="E1314" s="140">
        <v>-336</v>
      </c>
      <c r="F1314" s="140">
        <v>1001</v>
      </c>
      <c r="G1314" s="140">
        <v>-997</v>
      </c>
      <c r="H1314" s="140">
        <v>4</v>
      </c>
      <c r="I1314" s="140">
        <v>-332</v>
      </c>
    </row>
    <row r="1315" spans="2:9" x14ac:dyDescent="0.3">
      <c r="B1315" t="s">
        <v>1045</v>
      </c>
      <c r="C1315">
        <v>211810</v>
      </c>
      <c r="D1315" t="s">
        <v>178</v>
      </c>
      <c r="E1315" s="140">
        <v>0</v>
      </c>
      <c r="F1315" s="140">
        <v>0</v>
      </c>
      <c r="G1315" s="140">
        <v>-246</v>
      </c>
      <c r="H1315" s="140">
        <v>-246</v>
      </c>
      <c r="I1315" s="140">
        <v>-246</v>
      </c>
    </row>
    <row r="1316" spans="2:9" x14ac:dyDescent="0.3">
      <c r="B1316" t="s">
        <v>1046</v>
      </c>
      <c r="C1316">
        <v>211811</v>
      </c>
      <c r="D1316" t="s">
        <v>179</v>
      </c>
      <c r="E1316" s="140">
        <v>0</v>
      </c>
      <c r="F1316" s="140">
        <v>106</v>
      </c>
      <c r="G1316" s="140">
        <v>-136</v>
      </c>
      <c r="H1316" s="140">
        <v>-30</v>
      </c>
      <c r="I1316" s="140">
        <v>-30</v>
      </c>
    </row>
    <row r="1317" spans="2:9" x14ac:dyDescent="0.3">
      <c r="B1317" t="s">
        <v>1047</v>
      </c>
      <c r="C1317">
        <v>211812</v>
      </c>
      <c r="D1317" t="s">
        <v>180</v>
      </c>
      <c r="E1317" s="140">
        <v>-1479</v>
      </c>
      <c r="F1317" s="140">
        <v>455</v>
      </c>
      <c r="G1317" s="140">
        <v>-349</v>
      </c>
      <c r="H1317" s="140">
        <v>106</v>
      </c>
      <c r="I1317" s="140">
        <v>-1373</v>
      </c>
    </row>
    <row r="1318" spans="2:9" x14ac:dyDescent="0.3">
      <c r="B1318" t="s">
        <v>1048</v>
      </c>
      <c r="C1318">
        <v>211813</v>
      </c>
      <c r="D1318" t="s">
        <v>181</v>
      </c>
      <c r="E1318" s="140">
        <v>-563</v>
      </c>
      <c r="F1318" s="140">
        <v>173</v>
      </c>
      <c r="G1318" s="140">
        <v>-133</v>
      </c>
      <c r="H1318" s="140">
        <v>40</v>
      </c>
      <c r="I1318" s="140">
        <v>-523</v>
      </c>
    </row>
    <row r="1319" spans="2:9" x14ac:dyDescent="0.3">
      <c r="B1319" t="s">
        <v>1723</v>
      </c>
      <c r="C1319">
        <v>211814</v>
      </c>
      <c r="D1319" t="s">
        <v>106</v>
      </c>
      <c r="E1319" s="140">
        <v>0</v>
      </c>
      <c r="F1319" s="140">
        <v>0</v>
      </c>
      <c r="G1319" s="140">
        <v>0</v>
      </c>
      <c r="H1319" s="140">
        <v>0</v>
      </c>
      <c r="I1319" s="140">
        <v>0</v>
      </c>
    </row>
    <row r="1320" spans="2:9" x14ac:dyDescent="0.3">
      <c r="B1320" t="s">
        <v>1724</v>
      </c>
      <c r="C1320">
        <v>211815</v>
      </c>
      <c r="D1320" t="s">
        <v>107</v>
      </c>
      <c r="E1320" s="140">
        <v>0</v>
      </c>
      <c r="F1320" s="140">
        <v>0</v>
      </c>
      <c r="G1320" s="140">
        <v>0</v>
      </c>
      <c r="H1320" s="140">
        <v>0</v>
      </c>
      <c r="I1320" s="140">
        <v>0</v>
      </c>
    </row>
    <row r="1321" spans="2:9" x14ac:dyDescent="0.3">
      <c r="B1321" t="s">
        <v>4031</v>
      </c>
      <c r="C1321">
        <v>2119</v>
      </c>
      <c r="D1321" t="s">
        <v>4032</v>
      </c>
      <c r="E1321" s="140">
        <v>0</v>
      </c>
      <c r="F1321" s="140">
        <v>0</v>
      </c>
      <c r="G1321" s="140">
        <v>0</v>
      </c>
      <c r="H1321" s="140">
        <v>0</v>
      </c>
      <c r="I1321" s="140">
        <v>0</v>
      </c>
    </row>
    <row r="1322" spans="2:9" x14ac:dyDescent="0.3">
      <c r="B1322" t="s">
        <v>4033</v>
      </c>
      <c r="C1322">
        <v>21191</v>
      </c>
      <c r="D1322" t="s">
        <v>4034</v>
      </c>
      <c r="E1322" s="140">
        <v>0</v>
      </c>
      <c r="F1322" s="140">
        <v>0</v>
      </c>
      <c r="G1322" s="140">
        <v>0</v>
      </c>
      <c r="H1322" s="140">
        <v>0</v>
      </c>
      <c r="I1322" s="140">
        <v>0</v>
      </c>
    </row>
    <row r="1323" spans="2:9" x14ac:dyDescent="0.3">
      <c r="B1323" t="s">
        <v>4035</v>
      </c>
      <c r="C1323">
        <v>21192</v>
      </c>
      <c r="D1323" t="s">
        <v>4036</v>
      </c>
      <c r="E1323" s="140">
        <v>0</v>
      </c>
      <c r="F1323" s="140">
        <v>0</v>
      </c>
      <c r="G1323" s="140">
        <v>0</v>
      </c>
      <c r="H1323" s="140">
        <v>0</v>
      </c>
      <c r="I1323" s="140">
        <v>0</v>
      </c>
    </row>
    <row r="1324" spans="2:9" x14ac:dyDescent="0.3">
      <c r="B1324" t="s">
        <v>4037</v>
      </c>
      <c r="C1324">
        <v>21193</v>
      </c>
      <c r="D1324" t="s">
        <v>235</v>
      </c>
      <c r="E1324" s="140">
        <v>0</v>
      </c>
      <c r="F1324" s="140">
        <v>0</v>
      </c>
      <c r="G1324" s="140">
        <v>0</v>
      </c>
      <c r="H1324" s="140">
        <v>0</v>
      </c>
      <c r="I1324" s="140">
        <v>0</v>
      </c>
    </row>
    <row r="1325" spans="2:9" x14ac:dyDescent="0.3">
      <c r="B1325" t="s">
        <v>4038</v>
      </c>
      <c r="C1325">
        <v>21194</v>
      </c>
      <c r="D1325" t="s">
        <v>4039</v>
      </c>
      <c r="E1325" s="140">
        <v>0</v>
      </c>
      <c r="F1325" s="140">
        <v>0</v>
      </c>
      <c r="G1325" s="140">
        <v>0</v>
      </c>
      <c r="H1325" s="140">
        <v>0</v>
      </c>
      <c r="I1325" s="140">
        <v>0</v>
      </c>
    </row>
    <row r="1326" spans="2:9" x14ac:dyDescent="0.3">
      <c r="B1326" t="s">
        <v>4040</v>
      </c>
      <c r="C1326">
        <v>21195</v>
      </c>
      <c r="D1326" t="s">
        <v>4041</v>
      </c>
      <c r="E1326" s="140">
        <v>0</v>
      </c>
      <c r="F1326" s="140">
        <v>0</v>
      </c>
      <c r="G1326" s="140">
        <v>0</v>
      </c>
      <c r="H1326" s="140">
        <v>0</v>
      </c>
      <c r="I1326" s="140">
        <v>0</v>
      </c>
    </row>
    <row r="1327" spans="2:9" x14ac:dyDescent="0.3">
      <c r="B1327" t="s">
        <v>4042</v>
      </c>
      <c r="C1327">
        <v>21196</v>
      </c>
      <c r="D1327" t="s">
        <v>4043</v>
      </c>
      <c r="E1327" s="140">
        <v>0</v>
      </c>
      <c r="F1327" s="140">
        <v>0</v>
      </c>
      <c r="G1327" s="140">
        <v>0</v>
      </c>
      <c r="H1327" s="140">
        <v>0</v>
      </c>
      <c r="I1327" s="140">
        <v>0</v>
      </c>
    </row>
    <row r="1328" spans="2:9" x14ac:dyDescent="0.3">
      <c r="B1328" t="s">
        <v>4044</v>
      </c>
      <c r="C1328">
        <v>21110</v>
      </c>
      <c r="D1328" t="s">
        <v>4045</v>
      </c>
      <c r="E1328" s="140">
        <v>0</v>
      </c>
      <c r="F1328" s="140">
        <v>0</v>
      </c>
      <c r="G1328" s="140">
        <v>0</v>
      </c>
      <c r="H1328" s="140">
        <v>0</v>
      </c>
      <c r="I1328" s="140">
        <v>0</v>
      </c>
    </row>
    <row r="1329" spans="2:9" x14ac:dyDescent="0.3">
      <c r="B1329" t="s">
        <v>4046</v>
      </c>
      <c r="C1329">
        <v>211101</v>
      </c>
      <c r="D1329" t="s">
        <v>4047</v>
      </c>
      <c r="E1329" s="140">
        <v>0</v>
      </c>
      <c r="F1329" s="140">
        <v>0</v>
      </c>
      <c r="G1329" s="140">
        <v>0</v>
      </c>
      <c r="H1329" s="140">
        <v>0</v>
      </c>
      <c r="I1329" s="140">
        <v>0</v>
      </c>
    </row>
    <row r="1330" spans="2:9" x14ac:dyDescent="0.3">
      <c r="B1330" t="s">
        <v>4048</v>
      </c>
      <c r="C1330">
        <v>211102</v>
      </c>
      <c r="D1330" t="s">
        <v>4049</v>
      </c>
      <c r="E1330" s="140">
        <v>0</v>
      </c>
      <c r="F1330" s="140">
        <v>0</v>
      </c>
      <c r="G1330" s="140">
        <v>0</v>
      </c>
      <c r="H1330" s="140">
        <v>0</v>
      </c>
      <c r="I1330" s="140">
        <v>0</v>
      </c>
    </row>
    <row r="1331" spans="2:9" x14ac:dyDescent="0.3">
      <c r="B1331" t="s">
        <v>4050</v>
      </c>
      <c r="C1331">
        <v>211103</v>
      </c>
      <c r="D1331" t="s">
        <v>4051</v>
      </c>
      <c r="E1331" s="140">
        <v>0</v>
      </c>
      <c r="F1331" s="140">
        <v>0</v>
      </c>
      <c r="G1331" s="140">
        <v>0</v>
      </c>
      <c r="H1331" s="140">
        <v>0</v>
      </c>
      <c r="I1331" s="140">
        <v>0</v>
      </c>
    </row>
    <row r="1332" spans="2:9" x14ac:dyDescent="0.3">
      <c r="B1332" t="s">
        <v>1049</v>
      </c>
      <c r="C1332">
        <v>211110</v>
      </c>
      <c r="D1332" t="s">
        <v>19</v>
      </c>
      <c r="E1332" s="140">
        <v>-2825</v>
      </c>
      <c r="F1332" s="140">
        <v>2832</v>
      </c>
      <c r="G1332" s="140">
        <v>-7</v>
      </c>
      <c r="H1332" s="140">
        <v>2825</v>
      </c>
      <c r="I1332" s="140">
        <v>0</v>
      </c>
    </row>
    <row r="1333" spans="2:9" x14ac:dyDescent="0.3">
      <c r="B1333" t="s">
        <v>1050</v>
      </c>
      <c r="C1333">
        <v>211111</v>
      </c>
      <c r="D1333" t="s">
        <v>872</v>
      </c>
      <c r="E1333" s="366">
        <v>-2825</v>
      </c>
      <c r="F1333" s="140">
        <v>2832</v>
      </c>
      <c r="G1333" s="140">
        <v>-7</v>
      </c>
      <c r="H1333" s="140">
        <v>2825</v>
      </c>
      <c r="I1333" s="140">
        <v>0</v>
      </c>
    </row>
    <row r="1334" spans="2:9" x14ac:dyDescent="0.3">
      <c r="B1334" t="s">
        <v>4052</v>
      </c>
      <c r="C1334">
        <v>211112</v>
      </c>
      <c r="D1334" t="s">
        <v>188</v>
      </c>
      <c r="E1334" s="140">
        <v>0</v>
      </c>
      <c r="F1334" s="140">
        <v>0</v>
      </c>
      <c r="G1334" s="140">
        <v>0</v>
      </c>
      <c r="H1334" s="140">
        <v>0</v>
      </c>
      <c r="I1334" s="140">
        <v>0</v>
      </c>
    </row>
    <row r="1335" spans="2:9" x14ac:dyDescent="0.3">
      <c r="B1335" t="s">
        <v>4053</v>
      </c>
      <c r="C1335">
        <v>211113</v>
      </c>
      <c r="D1335" t="s">
        <v>873</v>
      </c>
      <c r="E1335" s="140">
        <v>0</v>
      </c>
      <c r="F1335" s="140">
        <v>0</v>
      </c>
      <c r="G1335" s="140">
        <v>0</v>
      </c>
      <c r="H1335" s="140">
        <v>0</v>
      </c>
      <c r="I1335" s="140">
        <v>0</v>
      </c>
    </row>
    <row r="1336" spans="2:9" x14ac:dyDescent="0.3">
      <c r="B1336" t="s">
        <v>4054</v>
      </c>
      <c r="C1336">
        <v>211012</v>
      </c>
      <c r="D1336" t="s">
        <v>4055</v>
      </c>
      <c r="E1336" s="140">
        <v>0</v>
      </c>
      <c r="F1336" s="140">
        <v>0</v>
      </c>
      <c r="G1336" s="140">
        <v>0</v>
      </c>
      <c r="H1336" s="140">
        <v>0</v>
      </c>
      <c r="I1336" s="140">
        <v>0</v>
      </c>
    </row>
    <row r="1337" spans="2:9" x14ac:dyDescent="0.3">
      <c r="B1337" t="s">
        <v>4056</v>
      </c>
      <c r="C1337">
        <v>211121</v>
      </c>
      <c r="D1337" t="s">
        <v>4057</v>
      </c>
      <c r="E1337" s="140">
        <v>0</v>
      </c>
      <c r="F1337" s="140">
        <v>0</v>
      </c>
      <c r="G1337" s="140">
        <v>0</v>
      </c>
      <c r="H1337" s="140">
        <v>0</v>
      </c>
      <c r="I1337" s="140">
        <v>0</v>
      </c>
    </row>
    <row r="1338" spans="2:9" x14ac:dyDescent="0.3">
      <c r="B1338" t="s">
        <v>4058</v>
      </c>
      <c r="C1338">
        <v>211122</v>
      </c>
      <c r="D1338" t="s">
        <v>4059</v>
      </c>
      <c r="E1338" s="140">
        <v>0</v>
      </c>
      <c r="F1338" s="140">
        <v>0</v>
      </c>
      <c r="G1338" s="140">
        <v>0</v>
      </c>
      <c r="H1338" s="140">
        <v>0</v>
      </c>
      <c r="I1338" s="140">
        <v>0</v>
      </c>
    </row>
    <row r="1339" spans="2:9" x14ac:dyDescent="0.3">
      <c r="B1339" t="s">
        <v>4060</v>
      </c>
      <c r="C1339">
        <v>211123</v>
      </c>
      <c r="D1339" t="s">
        <v>4061</v>
      </c>
      <c r="E1339" s="140">
        <v>0</v>
      </c>
      <c r="F1339" s="140">
        <v>0</v>
      </c>
      <c r="G1339" s="140">
        <v>0</v>
      </c>
      <c r="H1339" s="140">
        <v>0</v>
      </c>
      <c r="I1339" s="140">
        <v>0</v>
      </c>
    </row>
    <row r="1340" spans="2:9" x14ac:dyDescent="0.3">
      <c r="B1340" t="s">
        <v>4062</v>
      </c>
      <c r="C1340">
        <v>211124</v>
      </c>
      <c r="D1340" t="s">
        <v>4063</v>
      </c>
      <c r="E1340" s="140">
        <v>0</v>
      </c>
      <c r="F1340" s="140">
        <v>0</v>
      </c>
      <c r="G1340" s="140">
        <v>0</v>
      </c>
      <c r="H1340" s="140">
        <v>0</v>
      </c>
      <c r="I1340" s="140">
        <v>0</v>
      </c>
    </row>
    <row r="1341" spans="2:9" x14ac:dyDescent="0.3">
      <c r="B1341" t="s">
        <v>4064</v>
      </c>
      <c r="C1341">
        <v>211125</v>
      </c>
      <c r="D1341" t="s">
        <v>4065</v>
      </c>
      <c r="E1341" s="140">
        <v>0</v>
      </c>
      <c r="F1341" s="140">
        <v>0</v>
      </c>
      <c r="G1341" s="140">
        <v>0</v>
      </c>
      <c r="H1341" s="140">
        <v>0</v>
      </c>
      <c r="I1341" s="140">
        <v>0</v>
      </c>
    </row>
    <row r="1342" spans="2:9" x14ac:dyDescent="0.3">
      <c r="B1342" t="s">
        <v>4066</v>
      </c>
      <c r="C1342">
        <v>211126</v>
      </c>
      <c r="D1342" t="s">
        <v>4067</v>
      </c>
      <c r="E1342" s="140">
        <v>0</v>
      </c>
      <c r="F1342" s="140">
        <v>0</v>
      </c>
      <c r="G1342" s="140">
        <v>0</v>
      </c>
      <c r="H1342" s="140">
        <v>0</v>
      </c>
      <c r="I1342" s="140">
        <v>0</v>
      </c>
    </row>
    <row r="1343" spans="2:9" x14ac:dyDescent="0.3">
      <c r="B1343" t="s">
        <v>4068</v>
      </c>
      <c r="C1343">
        <v>211127</v>
      </c>
      <c r="D1343" t="s">
        <v>4069</v>
      </c>
      <c r="E1343" s="140">
        <v>0</v>
      </c>
      <c r="F1343" s="140">
        <v>0</v>
      </c>
      <c r="G1343" s="140">
        <v>0</v>
      </c>
      <c r="H1343" s="140">
        <v>0</v>
      </c>
      <c r="I1343" s="140">
        <v>0</v>
      </c>
    </row>
    <row r="1344" spans="2:9" x14ac:dyDescent="0.3">
      <c r="B1344" t="s">
        <v>4070</v>
      </c>
      <c r="C1344">
        <v>211128</v>
      </c>
      <c r="D1344" t="s">
        <v>4071</v>
      </c>
      <c r="E1344" s="140">
        <v>0</v>
      </c>
      <c r="F1344" s="140">
        <v>0</v>
      </c>
      <c r="G1344" s="140">
        <v>0</v>
      </c>
      <c r="H1344" s="140">
        <v>0</v>
      </c>
      <c r="I1344" s="140">
        <v>0</v>
      </c>
    </row>
    <row r="1345" spans="1:9" x14ac:dyDescent="0.3">
      <c r="B1345" t="s">
        <v>4072</v>
      </c>
      <c r="C1345">
        <v>211129</v>
      </c>
      <c r="D1345" t="s">
        <v>4073</v>
      </c>
      <c r="E1345" s="140">
        <v>0</v>
      </c>
      <c r="F1345" s="140">
        <v>0</v>
      </c>
      <c r="G1345" s="140">
        <v>0</v>
      </c>
      <c r="H1345" s="140">
        <v>0</v>
      </c>
      <c r="I1345" s="140">
        <v>0</v>
      </c>
    </row>
    <row r="1346" spans="1:9" x14ac:dyDescent="0.3">
      <c r="B1346" t="s">
        <v>4074</v>
      </c>
      <c r="C1346">
        <v>2111210</v>
      </c>
      <c r="D1346" t="s">
        <v>4075</v>
      </c>
      <c r="E1346" s="140">
        <v>0</v>
      </c>
      <c r="F1346" s="140">
        <v>0</v>
      </c>
      <c r="G1346" s="140">
        <v>0</v>
      </c>
      <c r="H1346" s="140">
        <v>0</v>
      </c>
      <c r="I1346" s="140">
        <v>0</v>
      </c>
    </row>
    <row r="1347" spans="1:9" x14ac:dyDescent="0.3">
      <c r="B1347" t="s">
        <v>4076</v>
      </c>
      <c r="C1347">
        <v>2111311</v>
      </c>
      <c r="D1347" t="s">
        <v>4077</v>
      </c>
      <c r="E1347" s="140">
        <v>0</v>
      </c>
      <c r="F1347" s="140">
        <v>0</v>
      </c>
      <c r="G1347" s="140">
        <v>0</v>
      </c>
      <c r="H1347" s="140">
        <v>0</v>
      </c>
      <c r="I1347" s="140">
        <v>0</v>
      </c>
    </row>
    <row r="1348" spans="1:9" x14ac:dyDescent="0.3">
      <c r="B1348" t="s">
        <v>4078</v>
      </c>
      <c r="C1348">
        <v>2111212</v>
      </c>
      <c r="D1348" t="s">
        <v>4079</v>
      </c>
      <c r="E1348" s="140">
        <v>0</v>
      </c>
      <c r="F1348" s="140">
        <v>0</v>
      </c>
      <c r="G1348" s="140">
        <v>0</v>
      </c>
      <c r="H1348" s="140">
        <v>0</v>
      </c>
      <c r="I1348" s="140">
        <v>0</v>
      </c>
    </row>
    <row r="1349" spans="1:9" x14ac:dyDescent="0.3">
      <c r="B1349" t="s">
        <v>4080</v>
      </c>
      <c r="C1349">
        <v>2111213</v>
      </c>
      <c r="D1349" t="s">
        <v>4081</v>
      </c>
      <c r="E1349" s="140">
        <v>0</v>
      </c>
      <c r="F1349" s="140">
        <v>0</v>
      </c>
      <c r="G1349" s="140">
        <v>0</v>
      </c>
      <c r="H1349" s="140">
        <v>0</v>
      </c>
      <c r="I1349" s="140">
        <v>0</v>
      </c>
    </row>
    <row r="1350" spans="1:9" x14ac:dyDescent="0.3">
      <c r="B1350" t="s">
        <v>4082</v>
      </c>
      <c r="C1350">
        <v>2111214</v>
      </c>
      <c r="D1350" t="s">
        <v>4083</v>
      </c>
      <c r="E1350" s="140">
        <v>0</v>
      </c>
      <c r="F1350" s="140">
        <v>0</v>
      </c>
      <c r="G1350" s="140">
        <v>0</v>
      </c>
      <c r="H1350" s="140">
        <v>0</v>
      </c>
      <c r="I1350" s="140">
        <v>0</v>
      </c>
    </row>
    <row r="1351" spans="1:9" x14ac:dyDescent="0.3">
      <c r="B1351" t="s">
        <v>4084</v>
      </c>
      <c r="C1351">
        <v>2111215</v>
      </c>
      <c r="D1351" t="s">
        <v>4085</v>
      </c>
      <c r="E1351" s="140">
        <v>0</v>
      </c>
      <c r="F1351" s="140">
        <v>0</v>
      </c>
      <c r="G1351" s="140">
        <v>0</v>
      </c>
      <c r="H1351" s="140">
        <v>0</v>
      </c>
      <c r="I1351" s="140">
        <v>0</v>
      </c>
    </row>
    <row r="1352" spans="1:9" x14ac:dyDescent="0.3">
      <c r="B1352" t="s">
        <v>4086</v>
      </c>
      <c r="C1352">
        <v>2111216</v>
      </c>
      <c r="D1352" t="s">
        <v>4087</v>
      </c>
      <c r="E1352" s="140">
        <v>0</v>
      </c>
      <c r="F1352" s="140">
        <v>0</v>
      </c>
      <c r="G1352" s="140">
        <v>0</v>
      </c>
      <c r="H1352" s="140">
        <v>0</v>
      </c>
      <c r="I1352" s="140">
        <v>0</v>
      </c>
    </row>
    <row r="1353" spans="1:9" x14ac:dyDescent="0.3">
      <c r="B1353" t="s">
        <v>4088</v>
      </c>
      <c r="C1353">
        <v>2111217</v>
      </c>
      <c r="D1353" t="s">
        <v>4089</v>
      </c>
      <c r="E1353" s="140">
        <v>0</v>
      </c>
      <c r="F1353" s="140">
        <v>0</v>
      </c>
      <c r="G1353" s="140">
        <v>0</v>
      </c>
      <c r="H1353" s="140">
        <v>0</v>
      </c>
      <c r="I1353" s="140">
        <v>0</v>
      </c>
    </row>
    <row r="1354" spans="1:9" x14ac:dyDescent="0.3">
      <c r="B1354" t="s">
        <v>4090</v>
      </c>
      <c r="C1354">
        <v>2111218</v>
      </c>
      <c r="D1354" t="s">
        <v>4091</v>
      </c>
      <c r="E1354" s="140">
        <v>0</v>
      </c>
      <c r="F1354" s="140">
        <v>0</v>
      </c>
      <c r="G1354" s="140">
        <v>0</v>
      </c>
      <c r="H1354" s="140">
        <v>0</v>
      </c>
      <c r="I1354" s="140">
        <v>0</v>
      </c>
    </row>
    <row r="1355" spans="1:9" x14ac:dyDescent="0.3">
      <c r="B1355" t="s">
        <v>4092</v>
      </c>
      <c r="C1355">
        <v>21113</v>
      </c>
      <c r="D1355" t="s">
        <v>4093</v>
      </c>
      <c r="E1355" s="140">
        <v>0</v>
      </c>
      <c r="F1355" s="140">
        <v>0</v>
      </c>
      <c r="G1355" s="140">
        <v>0</v>
      </c>
      <c r="H1355" s="140">
        <v>0</v>
      </c>
      <c r="I1355" s="140">
        <v>0</v>
      </c>
    </row>
    <row r="1356" spans="1:9" x14ac:dyDescent="0.3">
      <c r="B1356" t="s">
        <v>4094</v>
      </c>
      <c r="C1356">
        <v>211131</v>
      </c>
      <c r="D1356" t="s">
        <v>4095</v>
      </c>
      <c r="E1356" s="140">
        <v>0</v>
      </c>
      <c r="F1356" s="140">
        <v>0</v>
      </c>
      <c r="G1356" s="140">
        <v>0</v>
      </c>
      <c r="H1356" s="140">
        <v>0</v>
      </c>
      <c r="I1356" s="140">
        <v>0</v>
      </c>
    </row>
    <row r="1357" spans="1:9" x14ac:dyDescent="0.3">
      <c r="B1357" t="s">
        <v>4096</v>
      </c>
      <c r="C1357">
        <v>211132</v>
      </c>
      <c r="D1357" t="s">
        <v>4097</v>
      </c>
      <c r="E1357" s="140">
        <v>0</v>
      </c>
      <c r="F1357" s="140">
        <v>0</v>
      </c>
      <c r="G1357" s="140">
        <v>0</v>
      </c>
      <c r="H1357" s="140">
        <v>0</v>
      </c>
      <c r="I1357" s="140">
        <v>0</v>
      </c>
    </row>
    <row r="1358" spans="1:9" s="184" customFormat="1" x14ac:dyDescent="0.3">
      <c r="A1358" s="274"/>
      <c r="B1358" s="228" t="s">
        <v>1051</v>
      </c>
      <c r="C1358" s="228">
        <v>21114</v>
      </c>
      <c r="D1358" s="228" t="s">
        <v>20</v>
      </c>
      <c r="E1358" s="282">
        <v>-25</v>
      </c>
      <c r="F1358" s="282">
        <v>82</v>
      </c>
      <c r="G1358" s="282">
        <v>-82</v>
      </c>
      <c r="H1358" s="282">
        <v>0</v>
      </c>
      <c r="I1358" s="282">
        <v>-26</v>
      </c>
    </row>
    <row r="1359" spans="1:9" x14ac:dyDescent="0.3">
      <c r="B1359" t="s">
        <v>4098</v>
      </c>
      <c r="C1359">
        <v>211141</v>
      </c>
      <c r="D1359" t="s">
        <v>4099</v>
      </c>
      <c r="E1359" s="140">
        <v>0</v>
      </c>
      <c r="F1359" s="140">
        <v>0</v>
      </c>
      <c r="G1359" s="140">
        <v>0</v>
      </c>
      <c r="H1359" s="140">
        <v>0</v>
      </c>
      <c r="I1359" s="140">
        <v>0</v>
      </c>
    </row>
    <row r="1360" spans="1:9" x14ac:dyDescent="0.3">
      <c r="B1360" t="s">
        <v>4100</v>
      </c>
      <c r="C1360">
        <v>211142</v>
      </c>
      <c r="D1360" t="s">
        <v>4101</v>
      </c>
      <c r="E1360" s="140">
        <v>0</v>
      </c>
      <c r="F1360" s="140">
        <v>0</v>
      </c>
      <c r="G1360" s="140">
        <v>0</v>
      </c>
      <c r="H1360" s="140">
        <v>0</v>
      </c>
      <c r="I1360" s="140">
        <v>0</v>
      </c>
    </row>
    <row r="1361" spans="1:9" x14ac:dyDescent="0.3">
      <c r="B1361" t="s">
        <v>4102</v>
      </c>
      <c r="C1361">
        <v>211143</v>
      </c>
      <c r="D1361" t="s">
        <v>4103</v>
      </c>
      <c r="E1361" s="140">
        <v>0</v>
      </c>
      <c r="F1361" s="140">
        <v>0</v>
      </c>
      <c r="G1361" s="140">
        <v>0</v>
      </c>
      <c r="H1361" s="140">
        <v>0</v>
      </c>
      <c r="I1361" s="140">
        <v>0</v>
      </c>
    </row>
    <row r="1362" spans="1:9" x14ac:dyDescent="0.3">
      <c r="B1362" t="s">
        <v>4104</v>
      </c>
      <c r="C1362">
        <v>211144</v>
      </c>
      <c r="D1362" t="s">
        <v>4105</v>
      </c>
      <c r="E1362" s="140">
        <v>0</v>
      </c>
      <c r="F1362" s="140">
        <v>0</v>
      </c>
      <c r="G1362" s="140">
        <v>0</v>
      </c>
      <c r="H1362" s="140">
        <v>0</v>
      </c>
      <c r="I1362" s="140">
        <v>0</v>
      </c>
    </row>
    <row r="1363" spans="1:9" x14ac:dyDescent="0.3">
      <c r="B1363" t="s">
        <v>1052</v>
      </c>
      <c r="C1363">
        <v>211145</v>
      </c>
      <c r="D1363" t="s">
        <v>182</v>
      </c>
      <c r="E1363" s="140">
        <v>0</v>
      </c>
      <c r="F1363" s="140">
        <v>57</v>
      </c>
      <c r="G1363" s="140">
        <v>-82</v>
      </c>
      <c r="H1363" s="140">
        <v>-26</v>
      </c>
      <c r="I1363" s="140">
        <v>-26</v>
      </c>
    </row>
    <row r="1364" spans="1:9" x14ac:dyDescent="0.3">
      <c r="B1364" t="s">
        <v>1725</v>
      </c>
      <c r="C1364">
        <v>211146</v>
      </c>
      <c r="D1364" t="s">
        <v>183</v>
      </c>
      <c r="E1364" s="140">
        <v>0</v>
      </c>
      <c r="F1364" s="140">
        <v>0</v>
      </c>
      <c r="G1364" s="140">
        <v>0</v>
      </c>
      <c r="H1364" s="140">
        <v>0</v>
      </c>
      <c r="I1364" s="140">
        <v>0</v>
      </c>
    </row>
    <row r="1365" spans="1:9" x14ac:dyDescent="0.3">
      <c r="B1365" t="s">
        <v>1053</v>
      </c>
      <c r="C1365">
        <v>211147</v>
      </c>
      <c r="D1365" t="s">
        <v>184</v>
      </c>
      <c r="E1365" s="140">
        <v>-25</v>
      </c>
      <c r="F1365" s="140">
        <v>25</v>
      </c>
      <c r="G1365" s="140">
        <v>0</v>
      </c>
      <c r="H1365" s="140">
        <v>25</v>
      </c>
      <c r="I1365" s="140">
        <v>0</v>
      </c>
    </row>
    <row r="1366" spans="1:9" x14ac:dyDescent="0.3">
      <c r="B1366" t="s">
        <v>1054</v>
      </c>
      <c r="C1366">
        <v>21115</v>
      </c>
      <c r="D1366" t="s">
        <v>177</v>
      </c>
      <c r="E1366" s="140">
        <v>-332</v>
      </c>
      <c r="F1366" s="140">
        <v>990</v>
      </c>
      <c r="G1366" s="140">
        <v>-987</v>
      </c>
      <c r="H1366" s="140">
        <v>3</v>
      </c>
      <c r="I1366" s="140">
        <v>-329</v>
      </c>
    </row>
    <row r="1367" spans="1:9" x14ac:dyDescent="0.3">
      <c r="B1367" t="s">
        <v>1055</v>
      </c>
      <c r="C1367">
        <v>211151</v>
      </c>
      <c r="D1367" t="s">
        <v>185</v>
      </c>
      <c r="E1367" s="140">
        <v>-332</v>
      </c>
      <c r="F1367" s="140">
        <v>990</v>
      </c>
      <c r="G1367" s="140">
        <v>-987</v>
      </c>
      <c r="H1367" s="140">
        <v>3</v>
      </c>
      <c r="I1367" s="140">
        <v>-329</v>
      </c>
    </row>
    <row r="1368" spans="1:9" x14ac:dyDescent="0.3">
      <c r="B1368" t="s">
        <v>4106</v>
      </c>
      <c r="C1368">
        <v>21199</v>
      </c>
      <c r="D1368" t="s">
        <v>4107</v>
      </c>
      <c r="E1368" s="140">
        <v>0</v>
      </c>
      <c r="F1368" s="140">
        <v>0</v>
      </c>
      <c r="G1368" s="140">
        <v>0</v>
      </c>
      <c r="H1368" s="140">
        <v>0</v>
      </c>
      <c r="I1368" s="140">
        <v>0</v>
      </c>
    </row>
    <row r="1369" spans="1:9" x14ac:dyDescent="0.3">
      <c r="B1369" t="s">
        <v>4108</v>
      </c>
      <c r="C1369">
        <v>211991</v>
      </c>
      <c r="D1369" t="s">
        <v>4109</v>
      </c>
      <c r="E1369" s="140">
        <v>0</v>
      </c>
      <c r="F1369" s="140">
        <v>0</v>
      </c>
      <c r="G1369" s="140">
        <v>0</v>
      </c>
      <c r="H1369" s="140">
        <v>0</v>
      </c>
      <c r="I1369" s="140">
        <v>0</v>
      </c>
    </row>
    <row r="1370" spans="1:9" x14ac:dyDescent="0.3">
      <c r="B1370" t="s">
        <v>4110</v>
      </c>
      <c r="C1370">
        <v>211992</v>
      </c>
      <c r="D1370" t="s">
        <v>4111</v>
      </c>
      <c r="E1370" s="140">
        <v>0</v>
      </c>
      <c r="F1370" s="140">
        <v>0</v>
      </c>
      <c r="G1370" s="140">
        <v>0</v>
      </c>
      <c r="H1370" s="140">
        <v>0</v>
      </c>
      <c r="I1370" s="140">
        <v>0</v>
      </c>
    </row>
    <row r="1371" spans="1:9" x14ac:dyDescent="0.3">
      <c r="B1371" t="s">
        <v>4112</v>
      </c>
      <c r="C1371">
        <v>211993</v>
      </c>
      <c r="D1371" t="s">
        <v>4113</v>
      </c>
      <c r="E1371" s="140">
        <v>0</v>
      </c>
      <c r="F1371" s="140">
        <v>0</v>
      </c>
      <c r="G1371" s="140">
        <v>0</v>
      </c>
      <c r="H1371" s="140">
        <v>0</v>
      </c>
      <c r="I1371" s="140">
        <v>0</v>
      </c>
    </row>
    <row r="1372" spans="1:9" x14ac:dyDescent="0.3">
      <c r="B1372" t="s">
        <v>4114</v>
      </c>
      <c r="C1372">
        <v>211994</v>
      </c>
      <c r="D1372" t="s">
        <v>4115</v>
      </c>
      <c r="E1372" s="140">
        <v>0</v>
      </c>
      <c r="F1372" s="140">
        <v>0</v>
      </c>
      <c r="G1372" s="140">
        <v>0</v>
      </c>
      <c r="H1372" s="140">
        <v>0</v>
      </c>
      <c r="I1372" s="140">
        <v>0</v>
      </c>
    </row>
    <row r="1373" spans="1:9" x14ac:dyDescent="0.3">
      <c r="B1373" t="s">
        <v>4116</v>
      </c>
      <c r="C1373">
        <v>21199998</v>
      </c>
      <c r="D1373" t="s">
        <v>4117</v>
      </c>
      <c r="E1373" s="140">
        <v>0</v>
      </c>
      <c r="F1373" s="140">
        <v>0</v>
      </c>
      <c r="G1373" s="140">
        <v>0</v>
      </c>
      <c r="H1373" s="140">
        <v>0</v>
      </c>
      <c r="I1373" s="140">
        <v>0</v>
      </c>
    </row>
    <row r="1374" spans="1:9" x14ac:dyDescent="0.3">
      <c r="B1374" t="s">
        <v>4118</v>
      </c>
      <c r="C1374">
        <v>21199999</v>
      </c>
      <c r="D1374" t="s">
        <v>4119</v>
      </c>
      <c r="E1374" s="140">
        <v>0</v>
      </c>
      <c r="F1374" s="140">
        <v>0</v>
      </c>
      <c r="G1374" s="140">
        <v>0</v>
      </c>
      <c r="H1374" s="140">
        <v>0</v>
      </c>
      <c r="I1374" s="140">
        <v>0</v>
      </c>
    </row>
    <row r="1375" spans="1:9" s="184" customFormat="1" x14ac:dyDescent="0.3">
      <c r="A1375" s="274"/>
      <c r="B1375" s="228" t="s">
        <v>1056</v>
      </c>
      <c r="C1375" s="228">
        <v>22</v>
      </c>
      <c r="D1375" s="228" t="s">
        <v>186</v>
      </c>
      <c r="E1375" s="282">
        <v>-7040</v>
      </c>
      <c r="F1375" s="282">
        <v>0</v>
      </c>
      <c r="G1375" s="282">
        <v>-4347</v>
      </c>
      <c r="H1375" s="282">
        <v>-4347</v>
      </c>
      <c r="I1375" s="282">
        <v>-11387</v>
      </c>
    </row>
    <row r="1376" spans="1:9" s="184" customFormat="1" x14ac:dyDescent="0.3">
      <c r="A1376" s="274"/>
      <c r="B1376" s="228" t="s">
        <v>1057</v>
      </c>
      <c r="C1376" s="228">
        <v>221</v>
      </c>
      <c r="D1376" s="228" t="s">
        <v>187</v>
      </c>
      <c r="E1376" s="282">
        <v>-7040</v>
      </c>
      <c r="F1376" s="282">
        <v>0</v>
      </c>
      <c r="G1376" s="282">
        <v>-4347</v>
      </c>
      <c r="H1376" s="282">
        <v>-4347</v>
      </c>
      <c r="I1376" s="282">
        <v>-11387</v>
      </c>
    </row>
    <row r="1377" spans="1:9" x14ac:dyDescent="0.3">
      <c r="B1377" t="s">
        <v>4120</v>
      </c>
      <c r="C1377">
        <v>2211</v>
      </c>
      <c r="D1377" t="s">
        <v>1879</v>
      </c>
      <c r="E1377" s="140">
        <v>0</v>
      </c>
      <c r="F1377" s="140">
        <v>0</v>
      </c>
      <c r="G1377" s="140">
        <v>0</v>
      </c>
      <c r="H1377" s="140">
        <v>0</v>
      </c>
      <c r="I1377" s="140">
        <v>0</v>
      </c>
    </row>
    <row r="1378" spans="1:9" x14ac:dyDescent="0.3">
      <c r="B1378" t="s">
        <v>4121</v>
      </c>
      <c r="C1378">
        <v>22111</v>
      </c>
      <c r="D1378" t="s">
        <v>1880</v>
      </c>
      <c r="E1378" s="140">
        <v>0</v>
      </c>
      <c r="F1378" s="140">
        <v>0</v>
      </c>
      <c r="G1378" s="140">
        <v>0</v>
      </c>
      <c r="H1378" s="140">
        <v>0</v>
      </c>
      <c r="I1378" s="140">
        <v>0</v>
      </c>
    </row>
    <row r="1379" spans="1:9" x14ac:dyDescent="0.3">
      <c r="B1379" t="s">
        <v>4122</v>
      </c>
      <c r="C1379">
        <v>22112</v>
      </c>
      <c r="D1379" t="s">
        <v>1881</v>
      </c>
      <c r="E1379" s="140">
        <v>0</v>
      </c>
      <c r="F1379" s="140">
        <v>0</v>
      </c>
      <c r="G1379" s="140">
        <v>0</v>
      </c>
      <c r="H1379" s="140">
        <v>0</v>
      </c>
      <c r="I1379" s="140">
        <v>0</v>
      </c>
    </row>
    <row r="1380" spans="1:9" x14ac:dyDescent="0.3">
      <c r="B1380" t="s">
        <v>4123</v>
      </c>
      <c r="C1380">
        <v>2212</v>
      </c>
      <c r="D1380" t="s">
        <v>1879</v>
      </c>
      <c r="E1380" s="140">
        <v>0</v>
      </c>
      <c r="F1380" s="140">
        <v>0</v>
      </c>
      <c r="G1380" s="140">
        <v>0</v>
      </c>
      <c r="H1380" s="140">
        <v>0</v>
      </c>
      <c r="I1380" s="140">
        <v>0</v>
      </c>
    </row>
    <row r="1381" spans="1:9" x14ac:dyDescent="0.3">
      <c r="B1381" t="s">
        <v>4124</v>
      </c>
      <c r="C1381">
        <v>22121</v>
      </c>
      <c r="D1381" t="s">
        <v>1883</v>
      </c>
      <c r="E1381" s="140">
        <v>0</v>
      </c>
      <c r="F1381" s="140">
        <v>0</v>
      </c>
      <c r="G1381" s="140">
        <v>0</v>
      </c>
      <c r="H1381" s="140">
        <v>0</v>
      </c>
      <c r="I1381" s="140">
        <v>0</v>
      </c>
    </row>
    <row r="1382" spans="1:9" x14ac:dyDescent="0.3">
      <c r="B1382" t="s">
        <v>4125</v>
      </c>
      <c r="C1382">
        <v>22122</v>
      </c>
      <c r="D1382" t="s">
        <v>1884</v>
      </c>
      <c r="E1382" s="140">
        <v>0</v>
      </c>
      <c r="F1382" s="140">
        <v>0</v>
      </c>
      <c r="G1382" s="140">
        <v>0</v>
      </c>
      <c r="H1382" s="140">
        <v>0</v>
      </c>
      <c r="I1382" s="140">
        <v>0</v>
      </c>
    </row>
    <row r="1383" spans="1:9" s="184" customFormat="1" x14ac:dyDescent="0.3">
      <c r="A1383" s="274"/>
      <c r="B1383" s="228" t="s">
        <v>1058</v>
      </c>
      <c r="C1383" s="228">
        <v>2215</v>
      </c>
      <c r="D1383" s="228" t="s">
        <v>19</v>
      </c>
      <c r="E1383" s="282">
        <v>-7040</v>
      </c>
      <c r="F1383" s="282">
        <v>0</v>
      </c>
      <c r="G1383" s="282">
        <v>-4347</v>
      </c>
      <c r="H1383" s="282">
        <v>-4347</v>
      </c>
      <c r="I1383" s="282">
        <v>-11387</v>
      </c>
    </row>
    <row r="1384" spans="1:9" x14ac:dyDescent="0.3">
      <c r="B1384" t="s">
        <v>1059</v>
      </c>
      <c r="C1384">
        <v>22151</v>
      </c>
      <c r="D1384" t="s">
        <v>872</v>
      </c>
      <c r="E1384" s="366">
        <v>-404</v>
      </c>
      <c r="F1384" s="140">
        <v>0</v>
      </c>
      <c r="G1384" s="140">
        <v>-3898</v>
      </c>
      <c r="H1384" s="140">
        <v>-3898</v>
      </c>
      <c r="I1384" s="366">
        <v>-4302</v>
      </c>
    </row>
    <row r="1385" spans="1:9" x14ac:dyDescent="0.3">
      <c r="B1385" t="s">
        <v>1060</v>
      </c>
      <c r="C1385">
        <v>22152</v>
      </c>
      <c r="D1385" t="s">
        <v>188</v>
      </c>
      <c r="E1385" s="140">
        <v>0</v>
      </c>
      <c r="F1385" s="140">
        <v>0</v>
      </c>
      <c r="G1385" s="140">
        <v>0</v>
      </c>
      <c r="H1385" s="140">
        <v>0</v>
      </c>
      <c r="I1385" s="140">
        <v>0</v>
      </c>
    </row>
    <row r="1386" spans="1:9" x14ac:dyDescent="0.3">
      <c r="B1386" t="s">
        <v>1061</v>
      </c>
      <c r="C1386">
        <v>22153</v>
      </c>
      <c r="D1386" t="s">
        <v>873</v>
      </c>
      <c r="E1386" s="366">
        <v>-6633</v>
      </c>
      <c r="F1386" s="140">
        <v>0</v>
      </c>
      <c r="G1386" s="140">
        <v>-449</v>
      </c>
      <c r="H1386" s="140">
        <v>-449</v>
      </c>
      <c r="I1386" s="366">
        <v>-7082</v>
      </c>
    </row>
    <row r="1387" spans="1:9" x14ac:dyDescent="0.3">
      <c r="B1387" t="s">
        <v>1281</v>
      </c>
      <c r="C1387">
        <v>22154</v>
      </c>
      <c r="D1387" t="s">
        <v>1282</v>
      </c>
      <c r="E1387" s="366">
        <v>-2</v>
      </c>
      <c r="F1387" s="140">
        <v>0</v>
      </c>
      <c r="G1387" s="140">
        <v>0</v>
      </c>
      <c r="H1387" s="140">
        <v>0</v>
      </c>
      <c r="I1387" s="140">
        <v>-2</v>
      </c>
    </row>
    <row r="1388" spans="1:9" x14ac:dyDescent="0.3">
      <c r="B1388" t="s">
        <v>4126</v>
      </c>
      <c r="C1388">
        <v>2216</v>
      </c>
      <c r="D1388" t="s">
        <v>177</v>
      </c>
      <c r="E1388" s="140">
        <v>0</v>
      </c>
      <c r="F1388" s="140">
        <v>0</v>
      </c>
      <c r="G1388" s="140">
        <v>0</v>
      </c>
      <c r="H1388" s="140">
        <v>0</v>
      </c>
      <c r="I1388" s="140">
        <v>0</v>
      </c>
    </row>
    <row r="1389" spans="1:9" x14ac:dyDescent="0.3">
      <c r="B1389" t="s">
        <v>4127</v>
      </c>
      <c r="C1389">
        <v>22161</v>
      </c>
      <c r="D1389" t="s">
        <v>185</v>
      </c>
      <c r="E1389" s="140">
        <v>0</v>
      </c>
      <c r="F1389" s="140">
        <v>0</v>
      </c>
      <c r="G1389" s="140">
        <v>0</v>
      </c>
      <c r="H1389" s="140">
        <v>0</v>
      </c>
      <c r="I1389" s="140">
        <v>0</v>
      </c>
    </row>
    <row r="1390" spans="1:9" x14ac:dyDescent="0.3">
      <c r="B1390" t="s">
        <v>4128</v>
      </c>
      <c r="C1390">
        <v>2217</v>
      </c>
      <c r="D1390" t="s">
        <v>874</v>
      </c>
      <c r="E1390" s="140">
        <v>0</v>
      </c>
      <c r="F1390" s="140">
        <v>0</v>
      </c>
      <c r="G1390" s="140">
        <v>0</v>
      </c>
      <c r="H1390" s="140">
        <v>0</v>
      </c>
      <c r="I1390" s="140">
        <v>0</v>
      </c>
    </row>
    <row r="1391" spans="1:9" x14ac:dyDescent="0.3">
      <c r="B1391" t="s">
        <v>4129</v>
      </c>
      <c r="C1391">
        <v>22171</v>
      </c>
      <c r="D1391" t="s">
        <v>874</v>
      </c>
      <c r="E1391" s="140">
        <v>0</v>
      </c>
      <c r="F1391" s="140">
        <v>0</v>
      </c>
      <c r="G1391" s="140">
        <v>0</v>
      </c>
      <c r="H1391" s="140">
        <v>0</v>
      </c>
      <c r="I1391" s="140">
        <v>0</v>
      </c>
    </row>
    <row r="1392" spans="1:9" x14ac:dyDescent="0.3">
      <c r="B1392" t="s">
        <v>4130</v>
      </c>
      <c r="C1392">
        <v>22199</v>
      </c>
      <c r="D1392" t="s">
        <v>4131</v>
      </c>
      <c r="E1392" s="140">
        <v>0</v>
      </c>
      <c r="F1392" s="140">
        <v>0</v>
      </c>
      <c r="G1392" s="140">
        <v>0</v>
      </c>
      <c r="H1392" s="140">
        <v>0</v>
      </c>
      <c r="I1392" s="140">
        <v>0</v>
      </c>
    </row>
    <row r="1393" spans="1:9" x14ac:dyDescent="0.3">
      <c r="B1393" t="s">
        <v>4132</v>
      </c>
      <c r="C1393">
        <v>221991</v>
      </c>
      <c r="D1393" t="s">
        <v>1814</v>
      </c>
      <c r="E1393" s="140">
        <v>0</v>
      </c>
      <c r="F1393" s="140">
        <v>0</v>
      </c>
      <c r="G1393" s="140">
        <v>0</v>
      </c>
      <c r="H1393" s="140">
        <v>0</v>
      </c>
      <c r="I1393" s="140">
        <v>0</v>
      </c>
    </row>
    <row r="1394" spans="1:9" x14ac:dyDescent="0.3">
      <c r="B1394" t="s">
        <v>4133</v>
      </c>
      <c r="C1394">
        <v>221992</v>
      </c>
      <c r="D1394" t="s">
        <v>4134</v>
      </c>
      <c r="E1394" s="140">
        <v>0</v>
      </c>
      <c r="F1394" s="140">
        <v>0</v>
      </c>
      <c r="G1394" s="140">
        <v>0</v>
      </c>
      <c r="H1394" s="140">
        <v>0</v>
      </c>
      <c r="I1394" s="140">
        <v>0</v>
      </c>
    </row>
    <row r="1395" spans="1:9" s="184" customFormat="1" x14ac:dyDescent="0.3">
      <c r="A1395" s="274"/>
      <c r="B1395" s="228" t="s">
        <v>1062</v>
      </c>
      <c r="C1395" s="228" t="s">
        <v>189</v>
      </c>
      <c r="D1395" s="228" t="s">
        <v>190</v>
      </c>
      <c r="E1395" s="282">
        <v>-25209</v>
      </c>
      <c r="F1395" s="282">
        <v>3355</v>
      </c>
      <c r="G1395" s="282">
        <v>-5470</v>
      </c>
      <c r="H1395" s="282">
        <v>-2115</v>
      </c>
      <c r="I1395" s="282">
        <v>-27324</v>
      </c>
    </row>
    <row r="1396" spans="1:9" s="184" customFormat="1" x14ac:dyDescent="0.3">
      <c r="A1396" s="274"/>
      <c r="B1396" s="228" t="s">
        <v>1063</v>
      </c>
      <c r="C1396" s="228">
        <v>241</v>
      </c>
      <c r="D1396" s="228" t="s">
        <v>48</v>
      </c>
      <c r="E1396" s="282">
        <v>-28469</v>
      </c>
      <c r="F1396" s="282">
        <v>0</v>
      </c>
      <c r="G1396" s="282">
        <v>0</v>
      </c>
      <c r="H1396" s="282">
        <v>0</v>
      </c>
      <c r="I1396" s="282">
        <v>-28469</v>
      </c>
    </row>
    <row r="1397" spans="1:9" s="184" customFormat="1" x14ac:dyDescent="0.3">
      <c r="A1397" s="274"/>
      <c r="B1397" s="228" t="s">
        <v>1064</v>
      </c>
      <c r="C1397" s="228">
        <v>2411</v>
      </c>
      <c r="D1397" s="228" t="s">
        <v>191</v>
      </c>
      <c r="E1397" s="282">
        <v>-28469</v>
      </c>
      <c r="F1397" s="282">
        <v>0</v>
      </c>
      <c r="G1397" s="282">
        <v>0</v>
      </c>
      <c r="H1397" s="282">
        <v>0</v>
      </c>
      <c r="I1397" s="282">
        <v>-28469</v>
      </c>
    </row>
    <row r="1398" spans="1:9" x14ac:dyDescent="0.3">
      <c r="B1398" t="s">
        <v>1065</v>
      </c>
      <c r="C1398">
        <v>24111</v>
      </c>
      <c r="D1398" t="s">
        <v>191</v>
      </c>
      <c r="E1398" s="140">
        <v>-28469</v>
      </c>
      <c r="F1398" s="140">
        <v>0</v>
      </c>
      <c r="G1398" s="140">
        <v>0</v>
      </c>
      <c r="H1398" s="140">
        <v>0</v>
      </c>
      <c r="I1398" s="140">
        <v>-28469</v>
      </c>
    </row>
    <row r="1399" spans="1:9" x14ac:dyDescent="0.3">
      <c r="B1399" t="s">
        <v>4135</v>
      </c>
      <c r="C1399">
        <v>2412</v>
      </c>
      <c r="D1399" t="s">
        <v>4136</v>
      </c>
      <c r="E1399" s="140">
        <v>0</v>
      </c>
      <c r="F1399" s="140">
        <v>0</v>
      </c>
      <c r="G1399" s="140">
        <v>0</v>
      </c>
      <c r="H1399" s="140">
        <v>0</v>
      </c>
      <c r="I1399" s="140">
        <v>0</v>
      </c>
    </row>
    <row r="1400" spans="1:9" x14ac:dyDescent="0.3">
      <c r="B1400" t="s">
        <v>4137</v>
      </c>
      <c r="C1400">
        <v>24121</v>
      </c>
      <c r="D1400" t="s">
        <v>4136</v>
      </c>
      <c r="E1400" s="140">
        <v>0</v>
      </c>
      <c r="F1400" s="140">
        <v>0</v>
      </c>
      <c r="G1400" s="140">
        <v>0</v>
      </c>
      <c r="H1400" s="140">
        <v>0</v>
      </c>
      <c r="I1400" s="140">
        <v>0</v>
      </c>
    </row>
    <row r="1401" spans="1:9" x14ac:dyDescent="0.3">
      <c r="B1401" t="s">
        <v>4138</v>
      </c>
      <c r="C1401">
        <v>242</v>
      </c>
      <c r="D1401" t="s">
        <v>4139</v>
      </c>
      <c r="E1401" s="140">
        <v>0</v>
      </c>
      <c r="F1401" s="140">
        <v>0</v>
      </c>
      <c r="G1401" s="140">
        <v>0</v>
      </c>
      <c r="H1401" s="140">
        <v>0</v>
      </c>
      <c r="I1401" s="140">
        <v>0</v>
      </c>
    </row>
    <row r="1402" spans="1:9" x14ac:dyDescent="0.3">
      <c r="B1402" t="s">
        <v>4140</v>
      </c>
      <c r="C1402">
        <v>2421</v>
      </c>
      <c r="D1402" t="s">
        <v>4141</v>
      </c>
      <c r="E1402" s="140">
        <v>0</v>
      </c>
      <c r="F1402" s="140">
        <v>0</v>
      </c>
      <c r="G1402" s="140">
        <v>0</v>
      </c>
      <c r="H1402" s="140">
        <v>0</v>
      </c>
      <c r="I1402" s="140">
        <v>0</v>
      </c>
    </row>
    <row r="1403" spans="1:9" x14ac:dyDescent="0.3">
      <c r="B1403" t="s">
        <v>4142</v>
      </c>
      <c r="C1403">
        <v>24211</v>
      </c>
      <c r="D1403" t="s">
        <v>4141</v>
      </c>
      <c r="E1403" s="140">
        <v>0</v>
      </c>
      <c r="F1403" s="140">
        <v>0</v>
      </c>
      <c r="G1403" s="140">
        <v>0</v>
      </c>
      <c r="H1403" s="140">
        <v>0</v>
      </c>
      <c r="I1403" s="140">
        <v>0</v>
      </c>
    </row>
    <row r="1404" spans="1:9" x14ac:dyDescent="0.3">
      <c r="B1404" t="s">
        <v>4143</v>
      </c>
      <c r="C1404">
        <v>2424</v>
      </c>
      <c r="D1404" t="s">
        <v>4144</v>
      </c>
      <c r="E1404" s="140">
        <v>0</v>
      </c>
      <c r="F1404" s="140">
        <v>0</v>
      </c>
      <c r="G1404" s="140">
        <v>0</v>
      </c>
      <c r="H1404" s="140">
        <v>0</v>
      </c>
      <c r="I1404" s="140">
        <v>0</v>
      </c>
    </row>
    <row r="1405" spans="1:9" x14ac:dyDescent="0.3">
      <c r="B1405" t="s">
        <v>4145</v>
      </c>
      <c r="C1405">
        <v>24241</v>
      </c>
      <c r="D1405" t="s">
        <v>4144</v>
      </c>
      <c r="E1405" s="140">
        <v>0</v>
      </c>
      <c r="F1405" s="140">
        <v>0</v>
      </c>
      <c r="G1405" s="140">
        <v>0</v>
      </c>
      <c r="H1405" s="140">
        <v>0</v>
      </c>
      <c r="I1405" s="140">
        <v>0</v>
      </c>
    </row>
    <row r="1406" spans="1:9" x14ac:dyDescent="0.3">
      <c r="B1406" t="s">
        <v>4146</v>
      </c>
      <c r="C1406">
        <v>2425</v>
      </c>
      <c r="D1406" t="s">
        <v>4147</v>
      </c>
      <c r="E1406" s="140">
        <v>0</v>
      </c>
      <c r="F1406" s="140">
        <v>0</v>
      </c>
      <c r="G1406" s="140">
        <v>0</v>
      </c>
      <c r="H1406" s="140">
        <v>0</v>
      </c>
      <c r="I1406" s="140">
        <v>0</v>
      </c>
    </row>
    <row r="1407" spans="1:9" x14ac:dyDescent="0.3">
      <c r="B1407" t="s">
        <v>4148</v>
      </c>
      <c r="C1407">
        <v>24251</v>
      </c>
      <c r="D1407" t="s">
        <v>4147</v>
      </c>
      <c r="E1407" s="140">
        <v>0</v>
      </c>
      <c r="F1407" s="140">
        <v>0</v>
      </c>
      <c r="G1407" s="140">
        <v>0</v>
      </c>
      <c r="H1407" s="140">
        <v>0</v>
      </c>
      <c r="I1407" s="140">
        <v>0</v>
      </c>
    </row>
    <row r="1408" spans="1:9" x14ac:dyDescent="0.3">
      <c r="B1408" t="s">
        <v>4149</v>
      </c>
      <c r="C1408">
        <v>2427</v>
      </c>
      <c r="D1408" t="s">
        <v>4150</v>
      </c>
      <c r="E1408" s="140">
        <v>0</v>
      </c>
      <c r="F1408" s="140">
        <v>0</v>
      </c>
      <c r="G1408" s="140">
        <v>0</v>
      </c>
      <c r="H1408" s="140">
        <v>0</v>
      </c>
      <c r="I1408" s="140">
        <v>0</v>
      </c>
    </row>
    <row r="1409" spans="1:9" x14ac:dyDescent="0.3">
      <c r="B1409" t="s">
        <v>4151</v>
      </c>
      <c r="C1409">
        <v>24271</v>
      </c>
      <c r="D1409" t="s">
        <v>4150</v>
      </c>
      <c r="E1409" s="140">
        <v>0</v>
      </c>
      <c r="F1409" s="140">
        <v>0</v>
      </c>
      <c r="G1409" s="140">
        <v>0</v>
      </c>
      <c r="H1409" s="140">
        <v>0</v>
      </c>
      <c r="I1409" s="140">
        <v>0</v>
      </c>
    </row>
    <row r="1410" spans="1:9" x14ac:dyDescent="0.3">
      <c r="B1410" t="s">
        <v>875</v>
      </c>
      <c r="C1410">
        <v>243</v>
      </c>
      <c r="D1410" t="s">
        <v>192</v>
      </c>
      <c r="E1410" s="140">
        <v>0</v>
      </c>
      <c r="F1410" s="140">
        <v>0</v>
      </c>
      <c r="G1410" s="140">
        <v>0</v>
      </c>
      <c r="H1410" s="140">
        <v>0</v>
      </c>
      <c r="I1410" s="140">
        <v>0</v>
      </c>
    </row>
    <row r="1411" spans="1:9" x14ac:dyDescent="0.3">
      <c r="B1411" t="s">
        <v>876</v>
      </c>
      <c r="C1411">
        <v>2431</v>
      </c>
      <c r="D1411" t="s">
        <v>193</v>
      </c>
      <c r="E1411" s="140">
        <v>0</v>
      </c>
      <c r="F1411" s="140">
        <v>0</v>
      </c>
      <c r="G1411" s="140">
        <v>0</v>
      </c>
      <c r="H1411" s="140">
        <v>0</v>
      </c>
      <c r="I1411" s="140">
        <v>0</v>
      </c>
    </row>
    <row r="1412" spans="1:9" x14ac:dyDescent="0.3">
      <c r="B1412" t="s">
        <v>877</v>
      </c>
      <c r="C1412">
        <v>24311</v>
      </c>
      <c r="D1412" t="s">
        <v>194</v>
      </c>
      <c r="E1412" s="140">
        <v>0</v>
      </c>
      <c r="F1412" s="140">
        <v>0</v>
      </c>
      <c r="G1412" s="140">
        <v>0</v>
      </c>
      <c r="H1412" s="140">
        <v>0</v>
      </c>
      <c r="I1412" s="140">
        <v>0</v>
      </c>
    </row>
    <row r="1413" spans="1:9" s="184" customFormat="1" x14ac:dyDescent="0.3">
      <c r="A1413" s="274"/>
      <c r="B1413" s="228" t="s">
        <v>1066</v>
      </c>
      <c r="C1413" s="228">
        <v>246</v>
      </c>
      <c r="D1413" s="228" t="s">
        <v>195</v>
      </c>
      <c r="E1413" s="282">
        <v>5810</v>
      </c>
      <c r="F1413" s="282">
        <v>3355</v>
      </c>
      <c r="G1413" s="282">
        <v>-5454</v>
      </c>
      <c r="H1413" s="282">
        <v>-2100</v>
      </c>
      <c r="I1413" s="282">
        <v>3710</v>
      </c>
    </row>
    <row r="1414" spans="1:9" x14ac:dyDescent="0.3">
      <c r="B1414" t="s">
        <v>4152</v>
      </c>
      <c r="C1414">
        <v>24601</v>
      </c>
      <c r="D1414" t="s">
        <v>4153</v>
      </c>
      <c r="E1414" s="140">
        <v>0</v>
      </c>
      <c r="F1414" s="140">
        <v>0</v>
      </c>
      <c r="G1414" s="140">
        <v>0</v>
      </c>
      <c r="H1414" s="140">
        <v>0</v>
      </c>
      <c r="I1414" s="140">
        <v>0</v>
      </c>
    </row>
    <row r="1415" spans="1:9" x14ac:dyDescent="0.3">
      <c r="B1415" t="s">
        <v>4154</v>
      </c>
      <c r="C1415">
        <v>24611</v>
      </c>
      <c r="D1415" t="s">
        <v>4153</v>
      </c>
      <c r="E1415" s="140">
        <v>0</v>
      </c>
      <c r="F1415" s="140">
        <v>0</v>
      </c>
      <c r="G1415" s="140">
        <v>0</v>
      </c>
      <c r="H1415" s="140">
        <v>0</v>
      </c>
      <c r="I1415" s="140">
        <v>0</v>
      </c>
    </row>
    <row r="1416" spans="1:9" x14ac:dyDescent="0.3">
      <c r="B1416" t="s">
        <v>4155</v>
      </c>
      <c r="C1416">
        <v>24612</v>
      </c>
      <c r="D1416" t="s">
        <v>4156</v>
      </c>
      <c r="E1416" s="140">
        <v>0</v>
      </c>
      <c r="F1416" s="140">
        <v>0</v>
      </c>
      <c r="G1416" s="140">
        <v>0</v>
      </c>
      <c r="H1416" s="140">
        <v>0</v>
      </c>
      <c r="I1416" s="140">
        <v>0</v>
      </c>
    </row>
    <row r="1417" spans="1:9" x14ac:dyDescent="0.3">
      <c r="B1417" t="s">
        <v>4157</v>
      </c>
      <c r="C1417">
        <v>24613</v>
      </c>
      <c r="D1417" t="s">
        <v>4158</v>
      </c>
      <c r="E1417" s="140">
        <v>0</v>
      </c>
      <c r="F1417" s="140">
        <v>0</v>
      </c>
      <c r="G1417" s="140">
        <v>0</v>
      </c>
      <c r="H1417" s="140">
        <v>0</v>
      </c>
      <c r="I1417" s="140">
        <v>0</v>
      </c>
    </row>
    <row r="1418" spans="1:9" s="184" customFormat="1" x14ac:dyDescent="0.3">
      <c r="A1418" s="274"/>
      <c r="B1418" s="228" t="s">
        <v>1067</v>
      </c>
      <c r="C1418" s="228">
        <v>2462</v>
      </c>
      <c r="D1418" s="228" t="s">
        <v>878</v>
      </c>
      <c r="E1418" s="282">
        <v>3358</v>
      </c>
      <c r="F1418" s="282">
        <v>2452</v>
      </c>
      <c r="G1418" s="282">
        <v>0</v>
      </c>
      <c r="H1418" s="282">
        <v>2452</v>
      </c>
      <c r="I1418" s="282">
        <v>5810</v>
      </c>
    </row>
    <row r="1419" spans="1:9" x14ac:dyDescent="0.3">
      <c r="B1419" t="s">
        <v>4159</v>
      </c>
      <c r="C1419">
        <v>24621</v>
      </c>
      <c r="D1419" t="s">
        <v>4160</v>
      </c>
      <c r="E1419" s="140">
        <v>0</v>
      </c>
      <c r="F1419" s="140">
        <v>0</v>
      </c>
      <c r="G1419" s="140">
        <v>0</v>
      </c>
      <c r="H1419" s="140">
        <v>0</v>
      </c>
      <c r="I1419" s="140">
        <v>0</v>
      </c>
    </row>
    <row r="1420" spans="1:9" x14ac:dyDescent="0.3">
      <c r="B1420" t="s">
        <v>1068</v>
      </c>
      <c r="C1420">
        <v>24622</v>
      </c>
      <c r="D1420" t="s">
        <v>879</v>
      </c>
      <c r="E1420" s="140">
        <v>3358</v>
      </c>
      <c r="F1420" s="140">
        <v>2452</v>
      </c>
      <c r="G1420" s="140">
        <v>0</v>
      </c>
      <c r="H1420" s="140">
        <v>2452</v>
      </c>
      <c r="I1420" s="140">
        <v>5810</v>
      </c>
    </row>
    <row r="1421" spans="1:9" x14ac:dyDescent="0.3">
      <c r="B1421" t="s">
        <v>4161</v>
      </c>
      <c r="C1421">
        <v>24623</v>
      </c>
      <c r="D1421" t="s">
        <v>4162</v>
      </c>
      <c r="E1421" s="140">
        <v>0</v>
      </c>
      <c r="F1421" s="140">
        <v>0</v>
      </c>
      <c r="G1421" s="140">
        <v>0</v>
      </c>
      <c r="H1421" s="140">
        <v>0</v>
      </c>
      <c r="I1421" s="140">
        <v>0</v>
      </c>
    </row>
    <row r="1422" spans="1:9" x14ac:dyDescent="0.3">
      <c r="B1422" t="s">
        <v>4163</v>
      </c>
      <c r="C1422">
        <v>24624</v>
      </c>
      <c r="D1422" t="s">
        <v>4164</v>
      </c>
      <c r="E1422" s="140">
        <v>0</v>
      </c>
      <c r="F1422" s="140">
        <v>0</v>
      </c>
      <c r="G1422" s="140">
        <v>0</v>
      </c>
      <c r="H1422" s="140">
        <v>0</v>
      </c>
      <c r="I1422" s="140">
        <v>0</v>
      </c>
    </row>
    <row r="1423" spans="1:9" x14ac:dyDescent="0.3">
      <c r="B1423" t="s">
        <v>4165</v>
      </c>
      <c r="C1423">
        <v>2463</v>
      </c>
      <c r="D1423" t="s">
        <v>4166</v>
      </c>
      <c r="E1423" s="140">
        <v>0</v>
      </c>
      <c r="F1423" s="140">
        <v>0</v>
      </c>
      <c r="G1423" s="140">
        <v>0</v>
      </c>
      <c r="H1423" s="140">
        <v>0</v>
      </c>
      <c r="I1423" s="140">
        <v>0</v>
      </c>
    </row>
    <row r="1424" spans="1:9" x14ac:dyDescent="0.3">
      <c r="B1424" t="s">
        <v>4167</v>
      </c>
      <c r="C1424">
        <v>24631</v>
      </c>
      <c r="D1424" t="s">
        <v>4168</v>
      </c>
      <c r="E1424" s="140">
        <v>0</v>
      </c>
      <c r="F1424" s="140">
        <v>0</v>
      </c>
      <c r="G1424" s="140">
        <v>0</v>
      </c>
      <c r="H1424" s="140">
        <v>0</v>
      </c>
      <c r="I1424" s="140">
        <v>0</v>
      </c>
    </row>
    <row r="1425" spans="1:9" x14ac:dyDescent="0.3">
      <c r="B1425" t="s">
        <v>4169</v>
      </c>
      <c r="C1425">
        <v>24632</v>
      </c>
      <c r="D1425" t="s">
        <v>4170</v>
      </c>
      <c r="E1425" s="140">
        <v>0</v>
      </c>
      <c r="F1425" s="140">
        <v>0</v>
      </c>
      <c r="G1425" s="140">
        <v>0</v>
      </c>
      <c r="H1425" s="140">
        <v>0</v>
      </c>
      <c r="I1425" s="140">
        <v>0</v>
      </c>
    </row>
    <row r="1426" spans="1:9" s="184" customFormat="1" x14ac:dyDescent="0.3">
      <c r="A1426" s="274"/>
      <c r="B1426" s="228" t="s">
        <v>1069</v>
      </c>
      <c r="C1426" s="228">
        <v>24699</v>
      </c>
      <c r="D1426" s="228" t="s">
        <v>26</v>
      </c>
      <c r="E1426" s="282">
        <v>2452</v>
      </c>
      <c r="F1426" s="282">
        <v>903</v>
      </c>
      <c r="G1426" s="282">
        <v>-5454</v>
      </c>
      <c r="H1426" s="282">
        <v>-4551</v>
      </c>
      <c r="I1426" s="282">
        <v>-2100</v>
      </c>
    </row>
    <row r="1427" spans="1:9" x14ac:dyDescent="0.3">
      <c r="B1427" t="s">
        <v>1070</v>
      </c>
      <c r="C1427">
        <v>246991</v>
      </c>
      <c r="D1427" t="s">
        <v>26</v>
      </c>
      <c r="E1427" s="140">
        <v>2452</v>
      </c>
      <c r="F1427" s="140">
        <v>903</v>
      </c>
      <c r="G1427" s="140">
        <v>-5454</v>
      </c>
      <c r="H1427" s="140">
        <v>-4551</v>
      </c>
      <c r="I1427" s="140">
        <v>-2100</v>
      </c>
    </row>
    <row r="1428" spans="1:9" s="184" customFormat="1" x14ac:dyDescent="0.3">
      <c r="A1428" s="274"/>
      <c r="B1428" s="228" t="s">
        <v>1071</v>
      </c>
      <c r="C1428" s="228">
        <v>247</v>
      </c>
      <c r="D1428" s="228" t="s">
        <v>874</v>
      </c>
      <c r="E1428" s="282">
        <v>-2550</v>
      </c>
      <c r="F1428" s="282">
        <v>0</v>
      </c>
      <c r="G1428" s="282">
        <v>-16</v>
      </c>
      <c r="H1428" s="282">
        <v>-16</v>
      </c>
      <c r="I1428" s="282">
        <v>-2566</v>
      </c>
    </row>
    <row r="1429" spans="1:9" s="184" customFormat="1" x14ac:dyDescent="0.3">
      <c r="A1429" s="274"/>
      <c r="B1429" s="228" t="s">
        <v>1072</v>
      </c>
      <c r="C1429" s="228">
        <v>2471</v>
      </c>
      <c r="D1429" s="228" t="s">
        <v>874</v>
      </c>
      <c r="E1429" s="282">
        <v>-2550</v>
      </c>
      <c r="F1429" s="282">
        <v>0</v>
      </c>
      <c r="G1429" s="282">
        <v>-16</v>
      </c>
      <c r="H1429" s="282">
        <v>-16</v>
      </c>
      <c r="I1429" s="282">
        <v>-2566</v>
      </c>
    </row>
    <row r="1430" spans="1:9" x14ac:dyDescent="0.3">
      <c r="B1430" t="s">
        <v>1073</v>
      </c>
      <c r="C1430">
        <v>24711</v>
      </c>
      <c r="D1430" t="s">
        <v>874</v>
      </c>
      <c r="E1430" s="140">
        <v>-2550</v>
      </c>
      <c r="F1430" s="140">
        <v>0</v>
      </c>
      <c r="G1430" s="140">
        <v>-16</v>
      </c>
      <c r="H1430" s="140">
        <v>-16</v>
      </c>
      <c r="I1430" s="140">
        <v>-2566</v>
      </c>
    </row>
    <row r="1431" spans="1:9" s="184" customFormat="1" x14ac:dyDescent="0.3">
      <c r="A1431" s="274"/>
      <c r="B1431" s="228">
        <v>3</v>
      </c>
      <c r="C1431" s="228">
        <v>3</v>
      </c>
      <c r="D1431" s="228" t="s">
        <v>56</v>
      </c>
      <c r="E1431" s="282">
        <v>0</v>
      </c>
      <c r="F1431" s="282">
        <v>10</v>
      </c>
      <c r="G1431" s="282">
        <v>-36045</v>
      </c>
      <c r="H1431" s="282">
        <v>-36036</v>
      </c>
      <c r="I1431" s="282">
        <v>-36036</v>
      </c>
    </row>
    <row r="1432" spans="1:9" s="184" customFormat="1" x14ac:dyDescent="0.3">
      <c r="A1432" s="274"/>
      <c r="B1432" s="228" t="s">
        <v>1074</v>
      </c>
      <c r="C1432" s="228">
        <v>31</v>
      </c>
      <c r="D1432" s="228" t="s">
        <v>57</v>
      </c>
      <c r="E1432" s="282">
        <v>0</v>
      </c>
      <c r="F1432" s="282">
        <v>6</v>
      </c>
      <c r="G1432" s="282">
        <v>-33916</v>
      </c>
      <c r="H1432" s="282">
        <v>-33910</v>
      </c>
      <c r="I1432" s="282">
        <v>-33910</v>
      </c>
    </row>
    <row r="1433" spans="1:9" s="184" customFormat="1" x14ac:dyDescent="0.3">
      <c r="A1433" s="274"/>
      <c r="B1433" s="228" t="s">
        <v>1075</v>
      </c>
      <c r="C1433" s="228">
        <v>311</v>
      </c>
      <c r="D1433" s="228" t="s">
        <v>196</v>
      </c>
      <c r="E1433" s="282">
        <v>0</v>
      </c>
      <c r="F1433" s="282">
        <v>6</v>
      </c>
      <c r="G1433" s="282">
        <v>-33916</v>
      </c>
      <c r="H1433" s="282">
        <v>-33910</v>
      </c>
      <c r="I1433" s="282">
        <v>-33910</v>
      </c>
    </row>
    <row r="1434" spans="1:9" s="184" customFormat="1" x14ac:dyDescent="0.3">
      <c r="A1434" s="274"/>
      <c r="B1434" s="228" t="s">
        <v>1076</v>
      </c>
      <c r="C1434" s="228">
        <v>3111</v>
      </c>
      <c r="D1434" s="228" t="s">
        <v>196</v>
      </c>
      <c r="E1434" s="282">
        <v>0</v>
      </c>
      <c r="F1434" s="282">
        <v>6</v>
      </c>
      <c r="G1434" s="282">
        <v>-33916</v>
      </c>
      <c r="H1434" s="282">
        <v>-33910</v>
      </c>
      <c r="I1434" s="282">
        <v>-33910</v>
      </c>
    </row>
    <row r="1435" spans="1:9" x14ac:dyDescent="0.3">
      <c r="B1435" t="s">
        <v>1077</v>
      </c>
      <c r="C1435">
        <v>31111</v>
      </c>
      <c r="D1435" t="s">
        <v>42</v>
      </c>
      <c r="E1435" s="140">
        <v>0</v>
      </c>
      <c r="F1435" s="140">
        <v>6</v>
      </c>
      <c r="G1435" s="140">
        <v>-33916</v>
      </c>
      <c r="H1435" s="140">
        <v>-33910</v>
      </c>
      <c r="I1435" s="140">
        <v>-33910</v>
      </c>
    </row>
    <row r="1436" spans="1:9" x14ac:dyDescent="0.3">
      <c r="B1436" t="s">
        <v>4171</v>
      </c>
      <c r="C1436">
        <v>32</v>
      </c>
      <c r="D1436" t="s">
        <v>4172</v>
      </c>
      <c r="E1436" s="140">
        <v>0</v>
      </c>
      <c r="F1436" s="140">
        <v>0</v>
      </c>
      <c r="G1436" s="140">
        <v>0</v>
      </c>
      <c r="H1436" s="140">
        <v>0</v>
      </c>
      <c r="I1436" s="140">
        <v>0</v>
      </c>
    </row>
    <row r="1437" spans="1:9" x14ac:dyDescent="0.3">
      <c r="B1437" t="s">
        <v>4173</v>
      </c>
      <c r="C1437">
        <v>321</v>
      </c>
      <c r="D1437" t="s">
        <v>4174</v>
      </c>
      <c r="E1437" s="140">
        <v>0</v>
      </c>
      <c r="F1437" s="140">
        <v>0</v>
      </c>
      <c r="G1437" s="140">
        <v>0</v>
      </c>
      <c r="H1437" s="140">
        <v>0</v>
      </c>
      <c r="I1437" s="140">
        <v>0</v>
      </c>
    </row>
    <row r="1438" spans="1:9" x14ac:dyDescent="0.3">
      <c r="B1438" t="s">
        <v>4175</v>
      </c>
      <c r="C1438">
        <v>3211</v>
      </c>
      <c r="D1438" t="s">
        <v>4176</v>
      </c>
      <c r="E1438" s="140">
        <v>0</v>
      </c>
      <c r="F1438" s="140">
        <v>0</v>
      </c>
      <c r="G1438" s="140">
        <v>0</v>
      </c>
      <c r="H1438" s="140">
        <v>0</v>
      </c>
      <c r="I1438" s="140">
        <v>0</v>
      </c>
    </row>
    <row r="1439" spans="1:9" x14ac:dyDescent="0.3">
      <c r="B1439" t="s">
        <v>4177</v>
      </c>
      <c r="C1439">
        <v>32111</v>
      </c>
      <c r="D1439" t="s">
        <v>4178</v>
      </c>
      <c r="E1439" s="140">
        <v>0</v>
      </c>
      <c r="F1439" s="140">
        <v>0</v>
      </c>
      <c r="G1439" s="140">
        <v>0</v>
      </c>
      <c r="H1439" s="140">
        <v>0</v>
      </c>
      <c r="I1439" s="140">
        <v>0</v>
      </c>
    </row>
    <row r="1440" spans="1:9" x14ac:dyDescent="0.3">
      <c r="B1440" t="s">
        <v>4179</v>
      </c>
      <c r="C1440">
        <v>3212</v>
      </c>
      <c r="D1440" t="s">
        <v>4180</v>
      </c>
      <c r="E1440" s="140">
        <v>0</v>
      </c>
      <c r="F1440" s="140">
        <v>0</v>
      </c>
      <c r="G1440" s="140">
        <v>0</v>
      </c>
      <c r="H1440" s="140">
        <v>0</v>
      </c>
      <c r="I1440" s="140">
        <v>0</v>
      </c>
    </row>
    <row r="1441" spans="1:9" x14ac:dyDescent="0.3">
      <c r="B1441" t="s">
        <v>4181</v>
      </c>
      <c r="C1441">
        <v>32121</v>
      </c>
      <c r="D1441" t="s">
        <v>4182</v>
      </c>
      <c r="E1441" s="140">
        <v>0</v>
      </c>
      <c r="F1441" s="140">
        <v>0</v>
      </c>
      <c r="G1441" s="140">
        <v>0</v>
      </c>
      <c r="H1441" s="140">
        <v>0</v>
      </c>
      <c r="I1441" s="140">
        <v>0</v>
      </c>
    </row>
    <row r="1442" spans="1:9" x14ac:dyDescent="0.3">
      <c r="B1442" t="s">
        <v>4183</v>
      </c>
      <c r="C1442">
        <v>3213</v>
      </c>
      <c r="D1442" t="s">
        <v>4184</v>
      </c>
      <c r="E1442" s="140">
        <v>0</v>
      </c>
      <c r="F1442" s="140">
        <v>0</v>
      </c>
      <c r="G1442" s="140">
        <v>0</v>
      </c>
      <c r="H1442" s="140">
        <v>0</v>
      </c>
      <c r="I1442" s="140">
        <v>0</v>
      </c>
    </row>
    <row r="1443" spans="1:9" x14ac:dyDescent="0.3">
      <c r="B1443" t="s">
        <v>4185</v>
      </c>
      <c r="C1443">
        <v>32131</v>
      </c>
      <c r="D1443" t="s">
        <v>4186</v>
      </c>
      <c r="E1443" s="140">
        <v>0</v>
      </c>
      <c r="F1443" s="140">
        <v>0</v>
      </c>
      <c r="G1443" s="140">
        <v>0</v>
      </c>
      <c r="H1443" s="140">
        <v>0</v>
      </c>
      <c r="I1443" s="140">
        <v>0</v>
      </c>
    </row>
    <row r="1444" spans="1:9" x14ac:dyDescent="0.3">
      <c r="B1444" t="s">
        <v>4187</v>
      </c>
      <c r="C1444">
        <v>322</v>
      </c>
      <c r="D1444" t="s">
        <v>4188</v>
      </c>
      <c r="E1444" s="140">
        <v>0</v>
      </c>
      <c r="F1444" s="140">
        <v>0</v>
      </c>
      <c r="G1444" s="140">
        <v>0</v>
      </c>
      <c r="H1444" s="140">
        <v>0</v>
      </c>
      <c r="I1444" s="140">
        <v>0</v>
      </c>
    </row>
    <row r="1445" spans="1:9" x14ac:dyDescent="0.3">
      <c r="B1445" t="s">
        <v>4189</v>
      </c>
      <c r="C1445">
        <v>3221</v>
      </c>
      <c r="D1445" t="s">
        <v>4190</v>
      </c>
      <c r="E1445" s="140">
        <v>0</v>
      </c>
      <c r="F1445" s="140">
        <v>0</v>
      </c>
      <c r="G1445" s="140">
        <v>0</v>
      </c>
      <c r="H1445" s="140">
        <v>0</v>
      </c>
      <c r="I1445" s="140">
        <v>0</v>
      </c>
    </row>
    <row r="1446" spans="1:9" x14ac:dyDescent="0.3">
      <c r="B1446" t="s">
        <v>4191</v>
      </c>
      <c r="C1446">
        <v>32211</v>
      </c>
      <c r="D1446" t="s">
        <v>168</v>
      </c>
      <c r="E1446" s="140">
        <v>0</v>
      </c>
      <c r="F1446" s="140">
        <v>0</v>
      </c>
      <c r="G1446" s="140">
        <v>0</v>
      </c>
      <c r="H1446" s="140">
        <v>0</v>
      </c>
      <c r="I1446" s="140">
        <v>0</v>
      </c>
    </row>
    <row r="1447" spans="1:9" x14ac:dyDescent="0.3">
      <c r="B1447" t="s">
        <v>4192</v>
      </c>
      <c r="C1447">
        <v>32212</v>
      </c>
      <c r="D1447" t="s">
        <v>4193</v>
      </c>
      <c r="E1447" s="140">
        <v>0</v>
      </c>
      <c r="F1447" s="140">
        <v>0</v>
      </c>
      <c r="G1447" s="140">
        <v>0</v>
      </c>
      <c r="H1447" s="140">
        <v>0</v>
      </c>
      <c r="I1447" s="140">
        <v>0</v>
      </c>
    </row>
    <row r="1448" spans="1:9" x14ac:dyDescent="0.3">
      <c r="B1448" t="s">
        <v>4194</v>
      </c>
      <c r="C1448">
        <v>32213</v>
      </c>
      <c r="D1448" t="s">
        <v>3901</v>
      </c>
      <c r="E1448" s="140">
        <v>0</v>
      </c>
      <c r="F1448" s="140">
        <v>0</v>
      </c>
      <c r="G1448" s="140">
        <v>0</v>
      </c>
      <c r="H1448" s="140">
        <v>0</v>
      </c>
      <c r="I1448" s="140">
        <v>0</v>
      </c>
    </row>
    <row r="1449" spans="1:9" x14ac:dyDescent="0.3">
      <c r="B1449" t="s">
        <v>4195</v>
      </c>
      <c r="C1449">
        <v>323</v>
      </c>
      <c r="D1449" t="s">
        <v>4196</v>
      </c>
      <c r="E1449" s="140">
        <v>0</v>
      </c>
      <c r="F1449" s="140">
        <v>0</v>
      </c>
      <c r="G1449" s="140">
        <v>0</v>
      </c>
      <c r="H1449" s="140">
        <v>0</v>
      </c>
      <c r="I1449" s="140">
        <v>0</v>
      </c>
    </row>
    <row r="1450" spans="1:9" x14ac:dyDescent="0.3">
      <c r="B1450" t="s">
        <v>4197</v>
      </c>
      <c r="C1450">
        <v>32301</v>
      </c>
      <c r="D1450" t="s">
        <v>1796</v>
      </c>
      <c r="E1450" s="140">
        <v>0</v>
      </c>
      <c r="F1450" s="140">
        <v>0</v>
      </c>
      <c r="G1450" s="140">
        <v>0</v>
      </c>
      <c r="H1450" s="140">
        <v>0</v>
      </c>
      <c r="I1450" s="140">
        <v>0</v>
      </c>
    </row>
    <row r="1451" spans="1:9" x14ac:dyDescent="0.3">
      <c r="B1451" t="s">
        <v>4198</v>
      </c>
      <c r="C1451">
        <v>32311</v>
      </c>
      <c r="D1451" t="s">
        <v>4199</v>
      </c>
      <c r="E1451" s="140">
        <v>0</v>
      </c>
      <c r="F1451" s="140">
        <v>0</v>
      </c>
      <c r="G1451" s="140">
        <v>0</v>
      </c>
      <c r="H1451" s="140">
        <v>0</v>
      </c>
      <c r="I1451" s="140">
        <v>0</v>
      </c>
    </row>
    <row r="1452" spans="1:9" x14ac:dyDescent="0.3">
      <c r="B1452" t="s">
        <v>4200</v>
      </c>
      <c r="C1452">
        <v>32312</v>
      </c>
      <c r="D1452" t="s">
        <v>4201</v>
      </c>
      <c r="E1452" s="140">
        <v>0</v>
      </c>
      <c r="F1452" s="140">
        <v>0</v>
      </c>
      <c r="G1452" s="140">
        <v>0</v>
      </c>
      <c r="H1452" s="140">
        <v>0</v>
      </c>
      <c r="I1452" s="140">
        <v>0</v>
      </c>
    </row>
    <row r="1453" spans="1:9" x14ac:dyDescent="0.3">
      <c r="B1453" t="s">
        <v>4202</v>
      </c>
      <c r="C1453">
        <v>32313</v>
      </c>
      <c r="D1453" t="s">
        <v>4203</v>
      </c>
      <c r="E1453" s="140">
        <v>0</v>
      </c>
      <c r="F1453" s="140">
        <v>0</v>
      </c>
      <c r="G1453" s="140">
        <v>0</v>
      </c>
      <c r="H1453" s="140">
        <v>0</v>
      </c>
      <c r="I1453" s="140">
        <v>0</v>
      </c>
    </row>
    <row r="1454" spans="1:9" s="184" customFormat="1" x14ac:dyDescent="0.3">
      <c r="A1454" s="274"/>
      <c r="B1454" s="228" t="s">
        <v>1078</v>
      </c>
      <c r="C1454" s="228">
        <v>33</v>
      </c>
      <c r="D1454" s="228" t="s">
        <v>28</v>
      </c>
      <c r="E1454" s="282">
        <v>0</v>
      </c>
      <c r="F1454" s="282">
        <v>3</v>
      </c>
      <c r="G1454" s="282">
        <v>-2129</v>
      </c>
      <c r="H1454" s="282">
        <v>-2126</v>
      </c>
      <c r="I1454" s="282">
        <v>-2126</v>
      </c>
    </row>
    <row r="1455" spans="1:9" s="184" customFormat="1" x14ac:dyDescent="0.3">
      <c r="A1455" s="274"/>
      <c r="B1455" s="228" t="s">
        <v>1079</v>
      </c>
      <c r="C1455" s="228">
        <v>331</v>
      </c>
      <c r="D1455" s="228" t="s">
        <v>44</v>
      </c>
      <c r="E1455" s="282">
        <v>0</v>
      </c>
      <c r="F1455" s="282">
        <v>3</v>
      </c>
      <c r="G1455" s="282">
        <v>-184</v>
      </c>
      <c r="H1455" s="282">
        <v>-181</v>
      </c>
      <c r="I1455" s="282">
        <v>-181</v>
      </c>
    </row>
    <row r="1456" spans="1:9" s="184" customFormat="1" x14ac:dyDescent="0.3">
      <c r="A1456" s="274"/>
      <c r="B1456" s="228" t="s">
        <v>1080</v>
      </c>
      <c r="C1456" s="228">
        <v>3311</v>
      </c>
      <c r="D1456" s="228" t="s">
        <v>880</v>
      </c>
      <c r="E1456" s="282">
        <v>0</v>
      </c>
      <c r="F1456" s="282">
        <v>3</v>
      </c>
      <c r="G1456" s="282">
        <v>-184</v>
      </c>
      <c r="H1456" s="282">
        <v>-181</v>
      </c>
      <c r="I1456" s="282">
        <v>-181</v>
      </c>
    </row>
    <row r="1457" spans="2:9" x14ac:dyDescent="0.3">
      <c r="B1457" t="s">
        <v>4204</v>
      </c>
      <c r="C1457">
        <v>33111</v>
      </c>
      <c r="D1457" t="s">
        <v>4205</v>
      </c>
      <c r="E1457" s="140">
        <v>0</v>
      </c>
      <c r="F1457" s="140">
        <v>0</v>
      </c>
      <c r="G1457" s="140">
        <v>0</v>
      </c>
      <c r="H1457" s="140">
        <v>0</v>
      </c>
      <c r="I1457" s="140">
        <v>0</v>
      </c>
    </row>
    <row r="1458" spans="2:9" x14ac:dyDescent="0.3">
      <c r="B1458" t="s">
        <v>4206</v>
      </c>
      <c r="C1458">
        <v>33112</v>
      </c>
      <c r="D1458" t="s">
        <v>4207</v>
      </c>
      <c r="E1458" s="140">
        <v>0</v>
      </c>
      <c r="F1458" s="140">
        <v>0</v>
      </c>
      <c r="G1458" s="140">
        <v>0</v>
      </c>
      <c r="H1458" s="140">
        <v>0</v>
      </c>
      <c r="I1458" s="140">
        <v>0</v>
      </c>
    </row>
    <row r="1459" spans="2:9" x14ac:dyDescent="0.3">
      <c r="B1459" t="s">
        <v>1081</v>
      </c>
      <c r="C1459">
        <v>33113</v>
      </c>
      <c r="D1459" t="s">
        <v>197</v>
      </c>
      <c r="E1459" s="140">
        <v>0</v>
      </c>
      <c r="F1459" s="140">
        <v>3</v>
      </c>
      <c r="G1459" s="140">
        <v>-180</v>
      </c>
      <c r="H1459" s="140">
        <v>-176</v>
      </c>
      <c r="I1459" s="140">
        <v>-176</v>
      </c>
    </row>
    <row r="1460" spans="2:9" x14ac:dyDescent="0.3">
      <c r="B1460" t="s">
        <v>881</v>
      </c>
      <c r="C1460">
        <v>33114</v>
      </c>
      <c r="D1460" t="s">
        <v>198</v>
      </c>
      <c r="E1460" s="140">
        <v>0</v>
      </c>
      <c r="F1460" s="140">
        <v>0</v>
      </c>
      <c r="G1460" s="140">
        <v>-5</v>
      </c>
      <c r="H1460" s="140">
        <v>-5</v>
      </c>
      <c r="I1460" s="140">
        <v>-5</v>
      </c>
    </row>
    <row r="1461" spans="2:9" x14ac:dyDescent="0.3">
      <c r="B1461" t="s">
        <v>4208</v>
      </c>
      <c r="C1461">
        <v>3311999</v>
      </c>
      <c r="D1461" t="s">
        <v>4209</v>
      </c>
      <c r="E1461" s="140">
        <v>0</v>
      </c>
      <c r="F1461" s="140">
        <v>0</v>
      </c>
      <c r="G1461" s="140">
        <v>0</v>
      </c>
      <c r="H1461" s="140">
        <v>0</v>
      </c>
      <c r="I1461" s="140">
        <v>0</v>
      </c>
    </row>
    <row r="1462" spans="2:9" x14ac:dyDescent="0.3">
      <c r="B1462" t="s">
        <v>4210</v>
      </c>
      <c r="C1462">
        <v>3312</v>
      </c>
      <c r="D1462" t="s">
        <v>4211</v>
      </c>
      <c r="E1462" s="140">
        <v>0</v>
      </c>
      <c r="F1462" s="140">
        <v>0</v>
      </c>
      <c r="G1462" s="140">
        <v>0</v>
      </c>
      <c r="H1462" s="140">
        <v>0</v>
      </c>
      <c r="I1462" s="140">
        <v>0</v>
      </c>
    </row>
    <row r="1463" spans="2:9" x14ac:dyDescent="0.3">
      <c r="B1463" t="s">
        <v>4212</v>
      </c>
      <c r="C1463">
        <v>33121</v>
      </c>
      <c r="D1463" t="s">
        <v>4213</v>
      </c>
      <c r="E1463" s="140">
        <v>0</v>
      </c>
      <c r="F1463" s="140">
        <v>0</v>
      </c>
      <c r="G1463" s="140">
        <v>0</v>
      </c>
      <c r="H1463" s="140">
        <v>0</v>
      </c>
      <c r="I1463" s="140">
        <v>0</v>
      </c>
    </row>
    <row r="1464" spans="2:9" x14ac:dyDescent="0.3">
      <c r="B1464" t="s">
        <v>4214</v>
      </c>
      <c r="C1464">
        <v>3312999</v>
      </c>
      <c r="D1464" t="s">
        <v>4209</v>
      </c>
      <c r="E1464" s="140">
        <v>0</v>
      </c>
      <c r="F1464" s="140">
        <v>0</v>
      </c>
      <c r="G1464" s="140">
        <v>0</v>
      </c>
      <c r="H1464" s="140">
        <v>0</v>
      </c>
      <c r="I1464" s="140">
        <v>0</v>
      </c>
    </row>
    <row r="1465" spans="2:9" x14ac:dyDescent="0.3">
      <c r="B1465" t="s">
        <v>4215</v>
      </c>
      <c r="C1465">
        <v>3313</v>
      </c>
      <c r="D1465" t="s">
        <v>4216</v>
      </c>
      <c r="E1465" s="140">
        <v>0</v>
      </c>
      <c r="F1465" s="140">
        <v>0</v>
      </c>
      <c r="G1465" s="140">
        <v>0</v>
      </c>
      <c r="H1465" s="140">
        <v>0</v>
      </c>
      <c r="I1465" s="140">
        <v>0</v>
      </c>
    </row>
    <row r="1466" spans="2:9" x14ac:dyDescent="0.3">
      <c r="B1466" t="s">
        <v>4217</v>
      </c>
      <c r="C1466">
        <v>33131</v>
      </c>
      <c r="D1466" t="s">
        <v>4218</v>
      </c>
      <c r="E1466" s="140">
        <v>0</v>
      </c>
      <c r="F1466" s="140">
        <v>0</v>
      </c>
      <c r="G1466" s="140">
        <v>0</v>
      </c>
      <c r="H1466" s="140">
        <v>0</v>
      </c>
      <c r="I1466" s="140">
        <v>0</v>
      </c>
    </row>
    <row r="1467" spans="2:9" x14ac:dyDescent="0.3">
      <c r="B1467" t="s">
        <v>4219</v>
      </c>
      <c r="C1467">
        <v>33132</v>
      </c>
      <c r="D1467" t="s">
        <v>4220</v>
      </c>
      <c r="E1467" s="140">
        <v>0</v>
      </c>
      <c r="F1467" s="140">
        <v>0</v>
      </c>
      <c r="G1467" s="140">
        <v>0</v>
      </c>
      <c r="H1467" s="140">
        <v>0</v>
      </c>
      <c r="I1467" s="140">
        <v>0</v>
      </c>
    </row>
    <row r="1468" spans="2:9" x14ac:dyDescent="0.3">
      <c r="B1468" t="s">
        <v>4221</v>
      </c>
      <c r="C1468">
        <v>33105</v>
      </c>
      <c r="D1468" t="s">
        <v>4222</v>
      </c>
      <c r="E1468" s="140">
        <v>0</v>
      </c>
      <c r="F1468" s="140">
        <v>0</v>
      </c>
      <c r="G1468" s="140">
        <v>0</v>
      </c>
      <c r="H1468" s="140">
        <v>0</v>
      </c>
      <c r="I1468" s="140">
        <v>0</v>
      </c>
    </row>
    <row r="1469" spans="2:9" x14ac:dyDescent="0.3">
      <c r="B1469" t="s">
        <v>4223</v>
      </c>
      <c r="C1469">
        <v>33151</v>
      </c>
      <c r="D1469" t="s">
        <v>4224</v>
      </c>
      <c r="E1469" s="140">
        <v>0</v>
      </c>
      <c r="F1469" s="140">
        <v>0</v>
      </c>
      <c r="G1469" s="140">
        <v>0</v>
      </c>
      <c r="H1469" s="140">
        <v>0</v>
      </c>
      <c r="I1469" s="140">
        <v>0</v>
      </c>
    </row>
    <row r="1470" spans="2:9" x14ac:dyDescent="0.3">
      <c r="B1470" t="s">
        <v>4225</v>
      </c>
      <c r="C1470">
        <v>33152</v>
      </c>
      <c r="D1470" t="s">
        <v>4226</v>
      </c>
      <c r="E1470" s="140">
        <v>0</v>
      </c>
      <c r="F1470" s="140">
        <v>0</v>
      </c>
      <c r="G1470" s="140">
        <v>0</v>
      </c>
      <c r="H1470" s="140">
        <v>0</v>
      </c>
      <c r="I1470" s="140">
        <v>0</v>
      </c>
    </row>
    <row r="1471" spans="2:9" x14ac:dyDescent="0.3">
      <c r="B1471" t="s">
        <v>4227</v>
      </c>
      <c r="C1471">
        <v>33153</v>
      </c>
      <c r="D1471" t="s">
        <v>4228</v>
      </c>
      <c r="E1471" s="140">
        <v>0</v>
      </c>
      <c r="F1471" s="140">
        <v>0</v>
      </c>
      <c r="G1471" s="140">
        <v>0</v>
      </c>
      <c r="H1471" s="140">
        <v>0</v>
      </c>
      <c r="I1471" s="140">
        <v>0</v>
      </c>
    </row>
    <row r="1472" spans="2:9" x14ac:dyDescent="0.3">
      <c r="B1472" t="s">
        <v>4229</v>
      </c>
      <c r="C1472">
        <v>33199</v>
      </c>
      <c r="D1472" t="s">
        <v>4230</v>
      </c>
      <c r="E1472" s="140">
        <v>0</v>
      </c>
      <c r="F1472" s="140">
        <v>0</v>
      </c>
      <c r="G1472" s="140">
        <v>0</v>
      </c>
      <c r="H1472" s="140">
        <v>0</v>
      </c>
      <c r="I1472" s="140">
        <v>0</v>
      </c>
    </row>
    <row r="1473" spans="1:9" x14ac:dyDescent="0.3">
      <c r="B1473" t="s">
        <v>4231</v>
      </c>
      <c r="C1473">
        <v>331999</v>
      </c>
      <c r="D1473" t="s">
        <v>4230</v>
      </c>
      <c r="E1473" s="140">
        <v>0</v>
      </c>
      <c r="F1473" s="140">
        <v>0</v>
      </c>
      <c r="G1473" s="140">
        <v>0</v>
      </c>
      <c r="H1473" s="140">
        <v>0</v>
      </c>
      <c r="I1473" s="140">
        <v>0</v>
      </c>
    </row>
    <row r="1474" spans="1:9" s="184" customFormat="1" x14ac:dyDescent="0.3">
      <c r="A1474" s="274"/>
      <c r="B1474" s="228" t="s">
        <v>1082</v>
      </c>
      <c r="C1474" s="228">
        <v>332</v>
      </c>
      <c r="D1474" s="228" t="s">
        <v>199</v>
      </c>
      <c r="E1474" s="282">
        <v>0</v>
      </c>
      <c r="F1474" s="282">
        <v>0</v>
      </c>
      <c r="G1474" s="282">
        <v>-1945</v>
      </c>
      <c r="H1474" s="282">
        <v>-1945</v>
      </c>
      <c r="I1474" s="282">
        <v>-1945</v>
      </c>
    </row>
    <row r="1475" spans="1:9" s="184" customFormat="1" x14ac:dyDescent="0.3">
      <c r="A1475" s="274"/>
      <c r="B1475" s="228" t="s">
        <v>1083</v>
      </c>
      <c r="C1475" s="228">
        <v>3321</v>
      </c>
      <c r="D1475" s="228" t="s">
        <v>65</v>
      </c>
      <c r="E1475" s="282">
        <v>0</v>
      </c>
      <c r="F1475" s="282">
        <v>0</v>
      </c>
      <c r="G1475" s="282">
        <v>-1945</v>
      </c>
      <c r="H1475" s="282">
        <v>-1945</v>
      </c>
      <c r="I1475" s="282">
        <v>-1945</v>
      </c>
    </row>
    <row r="1476" spans="1:9" x14ac:dyDescent="0.3">
      <c r="B1476" t="s">
        <v>4232</v>
      </c>
      <c r="C1476">
        <v>33211</v>
      </c>
      <c r="D1476" t="s">
        <v>4233</v>
      </c>
      <c r="E1476" s="140">
        <v>0</v>
      </c>
      <c r="F1476" s="140">
        <v>0</v>
      </c>
      <c r="G1476" s="140">
        <v>0</v>
      </c>
      <c r="H1476" s="140">
        <v>0</v>
      </c>
      <c r="I1476" s="140">
        <v>0</v>
      </c>
    </row>
    <row r="1477" spans="1:9" x14ac:dyDescent="0.3">
      <c r="B1477" t="s">
        <v>882</v>
      </c>
      <c r="C1477">
        <v>33212</v>
      </c>
      <c r="D1477" t="s">
        <v>883</v>
      </c>
      <c r="E1477" s="140">
        <v>0</v>
      </c>
      <c r="F1477" s="140">
        <v>0</v>
      </c>
      <c r="G1477" s="140">
        <v>-1924</v>
      </c>
      <c r="H1477" s="140">
        <v>-1924</v>
      </c>
      <c r="I1477" s="140">
        <v>-1924</v>
      </c>
    </row>
    <row r="1478" spans="1:9" x14ac:dyDescent="0.3">
      <c r="B1478" t="s">
        <v>1084</v>
      </c>
      <c r="C1478">
        <v>33213</v>
      </c>
      <c r="D1478" t="s">
        <v>203</v>
      </c>
      <c r="E1478" s="140">
        <v>0</v>
      </c>
      <c r="F1478" s="140">
        <v>0</v>
      </c>
      <c r="G1478" s="140">
        <v>-21</v>
      </c>
      <c r="H1478" s="140">
        <v>-21</v>
      </c>
      <c r="I1478" s="140">
        <v>-21</v>
      </c>
    </row>
    <row r="1479" spans="1:9" x14ac:dyDescent="0.3">
      <c r="B1479" t="s">
        <v>1085</v>
      </c>
      <c r="C1479">
        <v>336</v>
      </c>
      <c r="D1479" t="s">
        <v>200</v>
      </c>
      <c r="E1479" s="140">
        <v>0</v>
      </c>
      <c r="F1479" s="140">
        <v>0</v>
      </c>
      <c r="G1479" s="140">
        <v>0</v>
      </c>
      <c r="H1479" s="140">
        <v>0</v>
      </c>
      <c r="I1479" s="140">
        <v>0</v>
      </c>
    </row>
    <row r="1480" spans="1:9" x14ac:dyDescent="0.3">
      <c r="B1480" t="s">
        <v>1086</v>
      </c>
      <c r="C1480">
        <v>3361</v>
      </c>
      <c r="D1480" t="s">
        <v>884</v>
      </c>
      <c r="E1480" s="140">
        <v>0</v>
      </c>
      <c r="F1480" s="140">
        <v>0</v>
      </c>
      <c r="G1480" s="140">
        <v>0</v>
      </c>
      <c r="H1480" s="140">
        <v>0</v>
      </c>
      <c r="I1480" s="140">
        <v>0</v>
      </c>
    </row>
    <row r="1481" spans="1:9" x14ac:dyDescent="0.3">
      <c r="B1481" t="s">
        <v>4234</v>
      </c>
      <c r="C1481">
        <v>33611</v>
      </c>
      <c r="D1481" t="s">
        <v>4235</v>
      </c>
      <c r="E1481" s="140">
        <v>0</v>
      </c>
      <c r="F1481" s="140">
        <v>0</v>
      </c>
      <c r="G1481" s="140">
        <v>0</v>
      </c>
      <c r="H1481" s="140">
        <v>0</v>
      </c>
      <c r="I1481" s="140">
        <v>0</v>
      </c>
    </row>
    <row r="1482" spans="1:9" x14ac:dyDescent="0.3">
      <c r="B1482" t="s">
        <v>1087</v>
      </c>
      <c r="C1482">
        <v>33612</v>
      </c>
      <c r="D1482" t="s">
        <v>201</v>
      </c>
      <c r="E1482" s="140">
        <v>0</v>
      </c>
      <c r="F1482" s="140">
        <v>0</v>
      </c>
      <c r="G1482" s="140">
        <v>0</v>
      </c>
      <c r="H1482" s="140">
        <v>0</v>
      </c>
      <c r="I1482" s="140">
        <v>0</v>
      </c>
    </row>
    <row r="1483" spans="1:9" x14ac:dyDescent="0.3">
      <c r="B1483" t="s">
        <v>885</v>
      </c>
      <c r="C1483">
        <v>33613</v>
      </c>
      <c r="D1483" t="s">
        <v>886</v>
      </c>
      <c r="E1483" s="140">
        <v>0</v>
      </c>
      <c r="F1483" s="140">
        <v>0</v>
      </c>
      <c r="G1483" s="140">
        <v>0</v>
      </c>
      <c r="H1483" s="140">
        <v>0</v>
      </c>
      <c r="I1483" s="140">
        <v>0</v>
      </c>
    </row>
    <row r="1484" spans="1:9" x14ac:dyDescent="0.3">
      <c r="B1484" t="s">
        <v>4236</v>
      </c>
      <c r="C1484">
        <v>33614</v>
      </c>
      <c r="D1484" t="s">
        <v>4237</v>
      </c>
      <c r="E1484" s="140">
        <v>0</v>
      </c>
      <c r="F1484" s="140">
        <v>0</v>
      </c>
      <c r="G1484" s="140">
        <v>0</v>
      </c>
      <c r="H1484" s="140">
        <v>0</v>
      </c>
      <c r="I1484" s="140">
        <v>0</v>
      </c>
    </row>
    <row r="1485" spans="1:9" x14ac:dyDescent="0.3">
      <c r="B1485" t="s">
        <v>1088</v>
      </c>
      <c r="C1485">
        <v>339</v>
      </c>
      <c r="D1485" t="s">
        <v>58</v>
      </c>
      <c r="E1485" s="140">
        <v>0</v>
      </c>
      <c r="F1485" s="140">
        <v>0</v>
      </c>
      <c r="G1485" s="140">
        <v>0</v>
      </c>
      <c r="H1485" s="140">
        <v>0</v>
      </c>
      <c r="I1485" s="140">
        <v>0</v>
      </c>
    </row>
    <row r="1486" spans="1:9" x14ac:dyDescent="0.3">
      <c r="B1486" t="s">
        <v>4238</v>
      </c>
      <c r="C1486">
        <v>3391</v>
      </c>
      <c r="D1486" t="s">
        <v>4239</v>
      </c>
      <c r="E1486" s="140">
        <v>0</v>
      </c>
      <c r="F1486" s="140">
        <v>0</v>
      </c>
      <c r="G1486" s="140">
        <v>0</v>
      </c>
      <c r="H1486" s="140">
        <v>0</v>
      </c>
      <c r="I1486" s="140">
        <v>0</v>
      </c>
    </row>
    <row r="1487" spans="1:9" x14ac:dyDescent="0.3">
      <c r="B1487" t="s">
        <v>4240</v>
      </c>
      <c r="C1487">
        <v>33911</v>
      </c>
      <c r="D1487" t="s">
        <v>4241</v>
      </c>
      <c r="E1487" s="140">
        <v>0</v>
      </c>
      <c r="F1487" s="140">
        <v>0</v>
      </c>
      <c r="G1487" s="140">
        <v>0</v>
      </c>
      <c r="H1487" s="140">
        <v>0</v>
      </c>
      <c r="I1487" s="140">
        <v>0</v>
      </c>
    </row>
    <row r="1488" spans="1:9" x14ac:dyDescent="0.3">
      <c r="B1488" t="s">
        <v>4242</v>
      </c>
      <c r="C1488">
        <v>33912</v>
      </c>
      <c r="D1488" t="s">
        <v>4243</v>
      </c>
      <c r="E1488" s="140">
        <v>0</v>
      </c>
      <c r="F1488" s="140">
        <v>0</v>
      </c>
      <c r="G1488" s="140">
        <v>0</v>
      </c>
      <c r="H1488" s="140">
        <v>0</v>
      </c>
      <c r="I1488" s="140">
        <v>0</v>
      </c>
    </row>
    <row r="1489" spans="2:9" x14ac:dyDescent="0.3">
      <c r="B1489" t="s">
        <v>4244</v>
      </c>
      <c r="C1489">
        <v>33913</v>
      </c>
      <c r="D1489" t="s">
        <v>4245</v>
      </c>
      <c r="E1489" s="140">
        <v>0</v>
      </c>
      <c r="F1489" s="140">
        <v>0</v>
      </c>
      <c r="G1489" s="140">
        <v>0</v>
      </c>
      <c r="H1489" s="140">
        <v>0</v>
      </c>
      <c r="I1489" s="140">
        <v>0</v>
      </c>
    </row>
    <row r="1490" spans="2:9" x14ac:dyDescent="0.3">
      <c r="B1490" t="s">
        <v>887</v>
      </c>
      <c r="C1490">
        <v>3392</v>
      </c>
      <c r="D1490" t="s">
        <v>888</v>
      </c>
      <c r="E1490" s="140">
        <v>0</v>
      </c>
      <c r="F1490" s="140">
        <v>0</v>
      </c>
      <c r="G1490" s="140">
        <v>0</v>
      </c>
      <c r="H1490" s="140">
        <v>0</v>
      </c>
      <c r="I1490" s="140">
        <v>0</v>
      </c>
    </row>
    <row r="1491" spans="2:9" x14ac:dyDescent="0.3">
      <c r="B1491" t="s">
        <v>889</v>
      </c>
      <c r="C1491">
        <v>33921</v>
      </c>
      <c r="D1491" t="s">
        <v>890</v>
      </c>
      <c r="E1491" s="140">
        <v>0</v>
      </c>
      <c r="F1491" s="140">
        <v>0</v>
      </c>
      <c r="G1491" s="140">
        <v>0</v>
      </c>
      <c r="H1491" s="140">
        <v>0</v>
      </c>
      <c r="I1491" s="140">
        <v>0</v>
      </c>
    </row>
    <row r="1492" spans="2:9" x14ac:dyDescent="0.3">
      <c r="B1492" t="s">
        <v>1726</v>
      </c>
      <c r="C1492">
        <v>3393</v>
      </c>
      <c r="D1492" t="s">
        <v>202</v>
      </c>
      <c r="E1492" s="140">
        <v>0</v>
      </c>
      <c r="F1492" s="140">
        <v>0</v>
      </c>
      <c r="G1492" s="140">
        <v>0</v>
      </c>
      <c r="H1492" s="140">
        <v>0</v>
      </c>
      <c r="I1492" s="140">
        <v>0</v>
      </c>
    </row>
    <row r="1493" spans="2:9" x14ac:dyDescent="0.3">
      <c r="B1493" t="s">
        <v>1727</v>
      </c>
      <c r="C1493">
        <v>33931</v>
      </c>
      <c r="D1493" t="s">
        <v>203</v>
      </c>
      <c r="E1493" s="140">
        <v>0</v>
      </c>
      <c r="F1493" s="140">
        <v>0</v>
      </c>
      <c r="G1493" s="140">
        <v>0</v>
      </c>
      <c r="H1493" s="140">
        <v>0</v>
      </c>
      <c r="I1493" s="140">
        <v>0</v>
      </c>
    </row>
    <row r="1494" spans="2:9" x14ac:dyDescent="0.3">
      <c r="B1494" t="s">
        <v>4246</v>
      </c>
      <c r="C1494">
        <v>33932</v>
      </c>
      <c r="D1494" t="s">
        <v>4247</v>
      </c>
      <c r="E1494" s="140">
        <v>0</v>
      </c>
      <c r="F1494" s="140">
        <v>0</v>
      </c>
      <c r="G1494" s="140">
        <v>0</v>
      </c>
      <c r="H1494" s="140">
        <v>0</v>
      </c>
      <c r="I1494" s="140">
        <v>0</v>
      </c>
    </row>
    <row r="1495" spans="2:9" x14ac:dyDescent="0.3">
      <c r="B1495" t="s">
        <v>4248</v>
      </c>
      <c r="C1495">
        <v>3394</v>
      </c>
      <c r="D1495" t="s">
        <v>4249</v>
      </c>
      <c r="E1495" s="140">
        <v>0</v>
      </c>
      <c r="F1495" s="140">
        <v>0</v>
      </c>
      <c r="G1495" s="140">
        <v>0</v>
      </c>
      <c r="H1495" s="140">
        <v>0</v>
      </c>
      <c r="I1495" s="140">
        <v>0</v>
      </c>
    </row>
    <row r="1496" spans="2:9" x14ac:dyDescent="0.3">
      <c r="B1496" t="s">
        <v>4250</v>
      </c>
      <c r="C1496">
        <v>33941</v>
      </c>
      <c r="D1496" t="s">
        <v>4251</v>
      </c>
      <c r="E1496" s="140">
        <v>0</v>
      </c>
      <c r="F1496" s="140">
        <v>0</v>
      </c>
      <c r="G1496" s="140">
        <v>0</v>
      </c>
      <c r="H1496" s="140">
        <v>0</v>
      </c>
      <c r="I1496" s="140">
        <v>0</v>
      </c>
    </row>
    <row r="1497" spans="2:9" x14ac:dyDescent="0.3">
      <c r="B1497" t="s">
        <v>4252</v>
      </c>
      <c r="C1497">
        <v>3395</v>
      </c>
      <c r="D1497" t="s">
        <v>4253</v>
      </c>
      <c r="E1497" s="140">
        <v>0</v>
      </c>
      <c r="F1497" s="140">
        <v>0</v>
      </c>
      <c r="G1497" s="140">
        <v>0</v>
      </c>
      <c r="H1497" s="140">
        <v>0</v>
      </c>
      <c r="I1497" s="140">
        <v>0</v>
      </c>
    </row>
    <row r="1498" spans="2:9" x14ac:dyDescent="0.3">
      <c r="B1498" t="s">
        <v>4254</v>
      </c>
      <c r="C1498">
        <v>33951</v>
      </c>
      <c r="D1498" t="s">
        <v>4255</v>
      </c>
      <c r="E1498" s="140">
        <v>0</v>
      </c>
      <c r="F1498" s="140">
        <v>0</v>
      </c>
      <c r="G1498" s="140">
        <v>0</v>
      </c>
      <c r="H1498" s="140">
        <v>0</v>
      </c>
      <c r="I1498" s="140">
        <v>0</v>
      </c>
    </row>
    <row r="1499" spans="2:9" x14ac:dyDescent="0.3">
      <c r="B1499" t="s">
        <v>4256</v>
      </c>
      <c r="C1499">
        <v>3396</v>
      </c>
      <c r="D1499" t="s">
        <v>4257</v>
      </c>
      <c r="E1499" s="140">
        <v>0</v>
      </c>
      <c r="F1499" s="140">
        <v>0</v>
      </c>
      <c r="G1499" s="140">
        <v>0</v>
      </c>
      <c r="H1499" s="140">
        <v>0</v>
      </c>
      <c r="I1499" s="140">
        <v>0</v>
      </c>
    </row>
    <row r="1500" spans="2:9" x14ac:dyDescent="0.3">
      <c r="B1500" t="s">
        <v>4258</v>
      </c>
      <c r="C1500">
        <v>33961</v>
      </c>
      <c r="D1500" t="s">
        <v>4259</v>
      </c>
      <c r="E1500" s="140">
        <v>0</v>
      </c>
      <c r="F1500" s="140">
        <v>0</v>
      </c>
      <c r="G1500" s="140">
        <v>0</v>
      </c>
      <c r="H1500" s="140">
        <v>0</v>
      </c>
      <c r="I1500" s="140">
        <v>0</v>
      </c>
    </row>
    <row r="1501" spans="2:9" x14ac:dyDescent="0.3">
      <c r="B1501" t="s">
        <v>4260</v>
      </c>
      <c r="C1501">
        <v>3397</v>
      </c>
      <c r="D1501" t="s">
        <v>4261</v>
      </c>
      <c r="E1501" s="140">
        <v>0</v>
      </c>
      <c r="F1501" s="140">
        <v>0</v>
      </c>
      <c r="G1501" s="140">
        <v>0</v>
      </c>
      <c r="H1501" s="140">
        <v>0</v>
      </c>
      <c r="I1501" s="140">
        <v>0</v>
      </c>
    </row>
    <row r="1502" spans="2:9" x14ac:dyDescent="0.3">
      <c r="B1502" t="s">
        <v>4262</v>
      </c>
      <c r="C1502">
        <v>33971</v>
      </c>
      <c r="D1502" t="s">
        <v>4263</v>
      </c>
      <c r="E1502" s="140">
        <v>0</v>
      </c>
      <c r="F1502" s="140">
        <v>0</v>
      </c>
      <c r="G1502" s="140">
        <v>0</v>
      </c>
      <c r="H1502" s="140">
        <v>0</v>
      </c>
      <c r="I1502" s="140">
        <v>0</v>
      </c>
    </row>
    <row r="1503" spans="2:9" x14ac:dyDescent="0.3">
      <c r="B1503" t="s">
        <v>4264</v>
      </c>
      <c r="C1503">
        <v>3398</v>
      </c>
      <c r="D1503" t="s">
        <v>4265</v>
      </c>
      <c r="E1503" s="140">
        <v>0</v>
      </c>
      <c r="F1503" s="140">
        <v>0</v>
      </c>
      <c r="G1503" s="140">
        <v>0</v>
      </c>
      <c r="H1503" s="140">
        <v>0</v>
      </c>
      <c r="I1503" s="140">
        <v>0</v>
      </c>
    </row>
    <row r="1504" spans="2:9" x14ac:dyDescent="0.3">
      <c r="B1504" t="s">
        <v>4266</v>
      </c>
      <c r="C1504">
        <v>33981</v>
      </c>
      <c r="D1504" t="s">
        <v>4265</v>
      </c>
      <c r="E1504" s="140">
        <v>0</v>
      </c>
      <c r="F1504" s="140">
        <v>0</v>
      </c>
      <c r="G1504" s="140">
        <v>0</v>
      </c>
      <c r="H1504" s="140">
        <v>0</v>
      </c>
      <c r="I1504" s="140">
        <v>0</v>
      </c>
    </row>
    <row r="1505" spans="1:9" x14ac:dyDescent="0.3">
      <c r="B1505" t="s">
        <v>1089</v>
      </c>
      <c r="C1505">
        <v>3399</v>
      </c>
      <c r="D1505" t="s">
        <v>891</v>
      </c>
      <c r="E1505" s="140">
        <v>0</v>
      </c>
      <c r="F1505" s="140">
        <v>0</v>
      </c>
      <c r="G1505" s="140">
        <v>0</v>
      </c>
      <c r="H1505" s="140">
        <v>0</v>
      </c>
      <c r="I1505" s="140">
        <v>0</v>
      </c>
    </row>
    <row r="1506" spans="1:9" x14ac:dyDescent="0.3">
      <c r="B1506" t="s">
        <v>1090</v>
      </c>
      <c r="C1506">
        <v>33991</v>
      </c>
      <c r="D1506" t="s">
        <v>892</v>
      </c>
      <c r="E1506" s="140">
        <v>0</v>
      </c>
      <c r="F1506" s="140">
        <v>0</v>
      </c>
      <c r="G1506" s="140">
        <v>0</v>
      </c>
      <c r="H1506" s="140">
        <v>0</v>
      </c>
      <c r="I1506" s="140">
        <v>0</v>
      </c>
    </row>
    <row r="1507" spans="1:9" x14ac:dyDescent="0.3">
      <c r="B1507" t="s">
        <v>4267</v>
      </c>
      <c r="C1507">
        <v>33999</v>
      </c>
      <c r="D1507" t="s">
        <v>58</v>
      </c>
      <c r="E1507" s="140">
        <v>0</v>
      </c>
      <c r="F1507" s="140">
        <v>0</v>
      </c>
      <c r="G1507" s="140">
        <v>0</v>
      </c>
      <c r="H1507" s="140">
        <v>0</v>
      </c>
      <c r="I1507" s="140">
        <v>0</v>
      </c>
    </row>
    <row r="1508" spans="1:9" x14ac:dyDescent="0.3">
      <c r="B1508" t="s">
        <v>4268</v>
      </c>
      <c r="C1508">
        <v>339991</v>
      </c>
      <c r="D1508" t="s">
        <v>58</v>
      </c>
      <c r="E1508" s="140">
        <v>0</v>
      </c>
      <c r="F1508" s="140">
        <v>0</v>
      </c>
      <c r="G1508" s="140">
        <v>0</v>
      </c>
      <c r="H1508" s="140">
        <v>0</v>
      </c>
      <c r="I1508" s="140">
        <v>0</v>
      </c>
    </row>
    <row r="1509" spans="1:9" x14ac:dyDescent="0.3">
      <c r="B1509" t="s">
        <v>4269</v>
      </c>
      <c r="C1509">
        <v>339992</v>
      </c>
      <c r="D1509" t="s">
        <v>892</v>
      </c>
      <c r="E1509" s="140">
        <v>0</v>
      </c>
      <c r="F1509" s="140">
        <v>0</v>
      </c>
      <c r="G1509" s="140">
        <v>0</v>
      </c>
      <c r="H1509" s="140">
        <v>0</v>
      </c>
      <c r="I1509" s="140">
        <v>0</v>
      </c>
    </row>
    <row r="1510" spans="1:9" s="184" customFormat="1" x14ac:dyDescent="0.3">
      <c r="A1510" s="274"/>
      <c r="B1510" s="228">
        <v>4</v>
      </c>
      <c r="C1510" s="228">
        <v>4</v>
      </c>
      <c r="D1510" s="228" t="s">
        <v>204</v>
      </c>
      <c r="E1510" s="282">
        <v>0</v>
      </c>
      <c r="F1510" s="282">
        <v>34594</v>
      </c>
      <c r="G1510" s="282">
        <v>-658</v>
      </c>
      <c r="H1510" s="282">
        <v>33936</v>
      </c>
      <c r="I1510" s="282">
        <v>33936</v>
      </c>
    </row>
    <row r="1511" spans="1:9" s="184" customFormat="1" x14ac:dyDescent="0.3">
      <c r="A1511" s="274"/>
      <c r="B1511" s="228" t="s">
        <v>1091</v>
      </c>
      <c r="C1511" s="228">
        <v>41</v>
      </c>
      <c r="D1511" s="228" t="s">
        <v>205</v>
      </c>
      <c r="E1511" s="282">
        <v>0</v>
      </c>
      <c r="F1511" s="282">
        <v>22151</v>
      </c>
      <c r="G1511" s="282">
        <v>-490</v>
      </c>
      <c r="H1511" s="282">
        <v>21661</v>
      </c>
      <c r="I1511" s="282">
        <v>21661</v>
      </c>
    </row>
    <row r="1512" spans="1:9" s="184" customFormat="1" x14ac:dyDescent="0.3">
      <c r="A1512" s="274"/>
      <c r="B1512" s="228" t="s">
        <v>1092</v>
      </c>
      <c r="C1512" s="228">
        <v>411</v>
      </c>
      <c r="D1512" s="228" t="s">
        <v>206</v>
      </c>
      <c r="E1512" s="282">
        <v>0</v>
      </c>
      <c r="F1512" s="282">
        <v>16205</v>
      </c>
      <c r="G1512" s="282">
        <v>-488</v>
      </c>
      <c r="H1512" s="282">
        <v>15716</v>
      </c>
      <c r="I1512" s="282">
        <v>15716</v>
      </c>
    </row>
    <row r="1513" spans="1:9" s="184" customFormat="1" x14ac:dyDescent="0.3">
      <c r="A1513" s="274"/>
      <c r="B1513" s="228" t="s">
        <v>1093</v>
      </c>
      <c r="C1513" s="228">
        <v>4111</v>
      </c>
      <c r="D1513" s="228" t="s">
        <v>31</v>
      </c>
      <c r="E1513" s="282">
        <v>0</v>
      </c>
      <c r="F1513" s="282">
        <v>11391</v>
      </c>
      <c r="G1513" s="282">
        <v>-403</v>
      </c>
      <c r="H1513" s="282">
        <v>10988</v>
      </c>
      <c r="I1513" s="282">
        <v>10988</v>
      </c>
    </row>
    <row r="1514" spans="1:9" x14ac:dyDescent="0.3">
      <c r="B1514" t="s">
        <v>1094</v>
      </c>
      <c r="C1514">
        <v>41111</v>
      </c>
      <c r="D1514" t="s">
        <v>207</v>
      </c>
      <c r="E1514" s="140">
        <v>0</v>
      </c>
      <c r="F1514" s="140">
        <v>9181</v>
      </c>
      <c r="G1514" s="140">
        <v>-128</v>
      </c>
      <c r="H1514" s="140">
        <v>9053</v>
      </c>
      <c r="I1514" s="140">
        <v>9053</v>
      </c>
    </row>
    <row r="1515" spans="1:9" x14ac:dyDescent="0.3">
      <c r="B1515" t="s">
        <v>4270</v>
      </c>
      <c r="C1515">
        <v>41112</v>
      </c>
      <c r="D1515" t="s">
        <v>4271</v>
      </c>
      <c r="E1515" s="140">
        <v>0</v>
      </c>
      <c r="F1515" s="140">
        <v>0</v>
      </c>
      <c r="G1515" s="140">
        <v>0</v>
      </c>
      <c r="H1515" s="140">
        <v>0</v>
      </c>
      <c r="I1515" s="140">
        <v>0</v>
      </c>
    </row>
    <row r="1516" spans="1:9" x14ac:dyDescent="0.3">
      <c r="B1516" t="s">
        <v>4272</v>
      </c>
      <c r="C1516">
        <v>41113</v>
      </c>
      <c r="D1516" t="s">
        <v>4273</v>
      </c>
      <c r="E1516" s="140">
        <v>0</v>
      </c>
      <c r="F1516" s="140">
        <v>0</v>
      </c>
      <c r="G1516" s="140">
        <v>0</v>
      </c>
      <c r="H1516" s="140">
        <v>0</v>
      </c>
      <c r="I1516" s="140">
        <v>0</v>
      </c>
    </row>
    <row r="1517" spans="1:9" x14ac:dyDescent="0.3">
      <c r="B1517" t="s">
        <v>4274</v>
      </c>
      <c r="C1517">
        <v>41114</v>
      </c>
      <c r="D1517" t="s">
        <v>4275</v>
      </c>
      <c r="E1517" s="140">
        <v>0</v>
      </c>
      <c r="F1517" s="140">
        <v>0</v>
      </c>
      <c r="G1517" s="140">
        <v>0</v>
      </c>
      <c r="H1517" s="140">
        <v>0</v>
      </c>
      <c r="I1517" s="140">
        <v>0</v>
      </c>
    </row>
    <row r="1518" spans="1:9" x14ac:dyDescent="0.3">
      <c r="B1518" t="s">
        <v>4276</v>
      </c>
      <c r="C1518">
        <v>41115</v>
      </c>
      <c r="D1518" t="s">
        <v>4277</v>
      </c>
      <c r="E1518" s="140">
        <v>0</v>
      </c>
      <c r="F1518" s="140">
        <v>0</v>
      </c>
      <c r="G1518" s="140">
        <v>0</v>
      </c>
      <c r="H1518" s="140">
        <v>0</v>
      </c>
      <c r="I1518" s="140">
        <v>0</v>
      </c>
    </row>
    <row r="1519" spans="1:9" x14ac:dyDescent="0.3">
      <c r="B1519" t="s">
        <v>4278</v>
      </c>
      <c r="C1519">
        <v>41116</v>
      </c>
      <c r="D1519" t="s">
        <v>4279</v>
      </c>
      <c r="E1519" s="140">
        <v>0</v>
      </c>
      <c r="F1519" s="140">
        <v>0</v>
      </c>
      <c r="G1519" s="140">
        <v>0</v>
      </c>
      <c r="H1519" s="140">
        <v>0</v>
      </c>
      <c r="I1519" s="140">
        <v>0</v>
      </c>
    </row>
    <row r="1520" spans="1:9" x14ac:dyDescent="0.3">
      <c r="B1520" t="s">
        <v>1095</v>
      </c>
      <c r="C1520">
        <v>41117</v>
      </c>
      <c r="D1520" t="s">
        <v>893</v>
      </c>
      <c r="E1520" s="140">
        <v>0</v>
      </c>
      <c r="F1520" s="140">
        <v>1185</v>
      </c>
      <c r="G1520" s="140">
        <v>-273</v>
      </c>
      <c r="H1520" s="140">
        <v>912</v>
      </c>
      <c r="I1520" s="140">
        <v>912</v>
      </c>
    </row>
    <row r="1521" spans="1:9" x14ac:dyDescent="0.3">
      <c r="B1521" t="s">
        <v>1096</v>
      </c>
      <c r="C1521">
        <v>41118</v>
      </c>
      <c r="D1521" t="s">
        <v>208</v>
      </c>
      <c r="E1521" s="140">
        <v>0</v>
      </c>
      <c r="F1521" s="140">
        <v>180</v>
      </c>
      <c r="G1521" s="140">
        <v>0</v>
      </c>
      <c r="H1521" s="140">
        <v>180</v>
      </c>
      <c r="I1521" s="140">
        <v>180</v>
      </c>
    </row>
    <row r="1522" spans="1:9" x14ac:dyDescent="0.3">
      <c r="B1522" t="s">
        <v>1097</v>
      </c>
      <c r="C1522">
        <v>41119</v>
      </c>
      <c r="D1522" t="s">
        <v>894</v>
      </c>
      <c r="E1522" s="140">
        <v>0</v>
      </c>
      <c r="F1522" s="140">
        <v>840</v>
      </c>
      <c r="G1522" s="140">
        <v>-1</v>
      </c>
      <c r="H1522" s="140">
        <v>838</v>
      </c>
      <c r="I1522" s="140">
        <v>838</v>
      </c>
    </row>
    <row r="1523" spans="1:9" x14ac:dyDescent="0.3">
      <c r="B1523" t="s">
        <v>4280</v>
      </c>
      <c r="C1523">
        <v>411110</v>
      </c>
      <c r="D1523" t="s">
        <v>895</v>
      </c>
      <c r="E1523" s="140">
        <v>0</v>
      </c>
      <c r="F1523" s="140">
        <v>0</v>
      </c>
      <c r="G1523" s="140">
        <v>0</v>
      </c>
      <c r="H1523" s="140">
        <v>0</v>
      </c>
      <c r="I1523" s="140">
        <v>0</v>
      </c>
    </row>
    <row r="1524" spans="1:9" x14ac:dyDescent="0.3">
      <c r="B1524" t="s">
        <v>896</v>
      </c>
      <c r="C1524">
        <v>411111</v>
      </c>
      <c r="D1524" t="s">
        <v>895</v>
      </c>
      <c r="E1524" s="140">
        <v>0</v>
      </c>
      <c r="F1524" s="140">
        <v>0</v>
      </c>
      <c r="G1524" s="140">
        <v>0</v>
      </c>
      <c r="H1524" s="140">
        <v>0</v>
      </c>
      <c r="I1524" s="140">
        <v>0</v>
      </c>
    </row>
    <row r="1525" spans="1:9" x14ac:dyDescent="0.3">
      <c r="B1525" t="s">
        <v>1098</v>
      </c>
      <c r="C1525">
        <v>411113</v>
      </c>
      <c r="D1525" t="s">
        <v>897</v>
      </c>
      <c r="E1525" s="140">
        <v>0</v>
      </c>
      <c r="F1525" s="140">
        <v>5</v>
      </c>
      <c r="G1525" s="140">
        <v>0</v>
      </c>
      <c r="H1525" s="140">
        <v>5</v>
      </c>
      <c r="I1525" s="140">
        <v>5</v>
      </c>
    </row>
    <row r="1526" spans="1:9" x14ac:dyDescent="0.3">
      <c r="B1526" t="s">
        <v>4281</v>
      </c>
      <c r="C1526">
        <v>4111999</v>
      </c>
      <c r="D1526" t="s">
        <v>4282</v>
      </c>
      <c r="E1526" s="140">
        <v>0</v>
      </c>
      <c r="F1526" s="140">
        <v>0</v>
      </c>
      <c r="G1526" s="140">
        <v>0</v>
      </c>
      <c r="H1526" s="140">
        <v>0</v>
      </c>
      <c r="I1526" s="140">
        <v>0</v>
      </c>
    </row>
    <row r="1527" spans="1:9" s="184" customFormat="1" x14ac:dyDescent="0.3">
      <c r="A1527" s="274"/>
      <c r="B1527" s="228" t="s">
        <v>1099</v>
      </c>
      <c r="C1527" s="228">
        <v>4112</v>
      </c>
      <c r="D1527" s="228" t="s">
        <v>32</v>
      </c>
      <c r="E1527" s="282">
        <v>0</v>
      </c>
      <c r="F1527" s="282">
        <v>3273</v>
      </c>
      <c r="G1527" s="282">
        <v>-80</v>
      </c>
      <c r="H1527" s="282">
        <v>3194</v>
      </c>
      <c r="I1527" s="282">
        <v>3194</v>
      </c>
    </row>
    <row r="1528" spans="1:9" x14ac:dyDescent="0.3">
      <c r="B1528" t="s">
        <v>1100</v>
      </c>
      <c r="C1528">
        <v>41121</v>
      </c>
      <c r="D1528" t="s">
        <v>166</v>
      </c>
      <c r="E1528" s="140">
        <v>0</v>
      </c>
      <c r="F1528" s="140">
        <v>1944</v>
      </c>
      <c r="G1528" s="140">
        <v>0</v>
      </c>
      <c r="H1528" s="140">
        <v>1944</v>
      </c>
      <c r="I1528" s="140">
        <v>1944</v>
      </c>
    </row>
    <row r="1529" spans="1:9" x14ac:dyDescent="0.3">
      <c r="B1529" t="s">
        <v>1101</v>
      </c>
      <c r="C1529">
        <v>41122</v>
      </c>
      <c r="D1529" t="s">
        <v>70</v>
      </c>
      <c r="E1529" s="140">
        <v>0</v>
      </c>
      <c r="F1529" s="140">
        <v>742</v>
      </c>
      <c r="G1529" s="140">
        <v>0</v>
      </c>
      <c r="H1529" s="140">
        <v>742</v>
      </c>
      <c r="I1529" s="140">
        <v>742</v>
      </c>
    </row>
    <row r="1530" spans="1:9" x14ac:dyDescent="0.3">
      <c r="B1530" t="s">
        <v>4283</v>
      </c>
      <c r="C1530">
        <v>41123</v>
      </c>
      <c r="D1530" t="s">
        <v>4284</v>
      </c>
      <c r="E1530" s="140">
        <v>0</v>
      </c>
      <c r="F1530" s="140">
        <v>0</v>
      </c>
      <c r="G1530" s="140">
        <v>0</v>
      </c>
      <c r="H1530" s="140">
        <v>0</v>
      </c>
      <c r="I1530" s="140">
        <v>0</v>
      </c>
    </row>
    <row r="1531" spans="1:9" x14ac:dyDescent="0.3">
      <c r="B1531" t="s">
        <v>1102</v>
      </c>
      <c r="C1531">
        <v>41124</v>
      </c>
      <c r="D1531" t="s">
        <v>209</v>
      </c>
      <c r="E1531" s="140">
        <v>0</v>
      </c>
      <c r="F1531" s="140">
        <v>176</v>
      </c>
      <c r="G1531" s="140">
        <v>0</v>
      </c>
      <c r="H1531" s="140">
        <v>176</v>
      </c>
      <c r="I1531" s="140">
        <v>176</v>
      </c>
    </row>
    <row r="1532" spans="1:9" x14ac:dyDescent="0.3">
      <c r="B1532" t="s">
        <v>1103</v>
      </c>
      <c r="C1532">
        <v>41125</v>
      </c>
      <c r="D1532" t="s">
        <v>210</v>
      </c>
      <c r="E1532" s="140">
        <v>0</v>
      </c>
      <c r="F1532" s="140">
        <v>249</v>
      </c>
      <c r="G1532" s="140">
        <v>-57</v>
      </c>
      <c r="H1532" s="140">
        <v>192</v>
      </c>
      <c r="I1532" s="140">
        <v>192</v>
      </c>
    </row>
    <row r="1533" spans="1:9" x14ac:dyDescent="0.3">
      <c r="B1533" t="s">
        <v>1104</v>
      </c>
      <c r="C1533">
        <v>41126</v>
      </c>
      <c r="D1533" t="s">
        <v>211</v>
      </c>
      <c r="E1533" s="140">
        <v>0</v>
      </c>
      <c r="F1533" s="140">
        <v>95</v>
      </c>
      <c r="G1533" s="140">
        <v>-22</v>
      </c>
      <c r="H1533" s="140">
        <v>73</v>
      </c>
      <c r="I1533" s="140">
        <v>73</v>
      </c>
    </row>
    <row r="1534" spans="1:9" x14ac:dyDescent="0.3">
      <c r="B1534" t="s">
        <v>1105</v>
      </c>
      <c r="C1534">
        <v>41127</v>
      </c>
      <c r="D1534" t="s">
        <v>212</v>
      </c>
      <c r="E1534" s="140">
        <v>0</v>
      </c>
      <c r="F1534" s="140">
        <v>67</v>
      </c>
      <c r="G1534" s="140">
        <v>0</v>
      </c>
      <c r="H1534" s="140">
        <v>67</v>
      </c>
      <c r="I1534" s="140">
        <v>67</v>
      </c>
    </row>
    <row r="1535" spans="1:9" x14ac:dyDescent="0.3">
      <c r="B1535" t="s">
        <v>4285</v>
      </c>
      <c r="C1535">
        <v>4112999</v>
      </c>
      <c r="D1535" t="s">
        <v>4286</v>
      </c>
      <c r="E1535" s="140">
        <v>0</v>
      </c>
      <c r="F1535" s="140">
        <v>0</v>
      </c>
      <c r="G1535" s="140">
        <v>0</v>
      </c>
      <c r="H1535" s="140">
        <v>0</v>
      </c>
      <c r="I1535" s="140">
        <v>0</v>
      </c>
    </row>
    <row r="1536" spans="1:9" s="184" customFormat="1" x14ac:dyDescent="0.3">
      <c r="A1536" s="274"/>
      <c r="B1536" s="228" t="s">
        <v>1106</v>
      </c>
      <c r="C1536" s="228">
        <v>4113</v>
      </c>
      <c r="D1536" s="228" t="s">
        <v>33</v>
      </c>
      <c r="E1536" s="282">
        <v>0</v>
      </c>
      <c r="F1536" s="282">
        <v>1463</v>
      </c>
      <c r="G1536" s="282">
        <v>-6</v>
      </c>
      <c r="H1536" s="282">
        <v>1457</v>
      </c>
      <c r="I1536" s="282">
        <v>1457</v>
      </c>
    </row>
    <row r="1537" spans="1:9" x14ac:dyDescent="0.3">
      <c r="B1537" t="s">
        <v>1107</v>
      </c>
      <c r="C1537">
        <v>41131</v>
      </c>
      <c r="D1537" t="s">
        <v>177</v>
      </c>
      <c r="E1537" s="140">
        <v>0</v>
      </c>
      <c r="F1537" s="140">
        <v>695</v>
      </c>
      <c r="G1537" s="140">
        <v>-1</v>
      </c>
      <c r="H1537" s="140">
        <v>695</v>
      </c>
      <c r="I1537" s="140">
        <v>695</v>
      </c>
    </row>
    <row r="1538" spans="1:9" x14ac:dyDescent="0.3">
      <c r="B1538" t="s">
        <v>1108</v>
      </c>
      <c r="C1538">
        <v>41132</v>
      </c>
      <c r="D1538" t="s">
        <v>213</v>
      </c>
      <c r="E1538" s="140">
        <v>0</v>
      </c>
      <c r="F1538" s="140">
        <v>324</v>
      </c>
      <c r="G1538" s="140">
        <v>0</v>
      </c>
      <c r="H1538" s="140">
        <v>324</v>
      </c>
      <c r="I1538" s="140">
        <v>324</v>
      </c>
    </row>
    <row r="1539" spans="1:9" x14ac:dyDescent="0.3">
      <c r="B1539" t="s">
        <v>898</v>
      </c>
      <c r="C1539">
        <v>41133</v>
      </c>
      <c r="D1539" t="s">
        <v>899</v>
      </c>
      <c r="E1539" s="140">
        <v>0</v>
      </c>
      <c r="F1539" s="140">
        <v>5</v>
      </c>
      <c r="G1539" s="140">
        <v>-5</v>
      </c>
      <c r="H1539" s="140">
        <v>0</v>
      </c>
      <c r="I1539" s="140">
        <v>0</v>
      </c>
    </row>
    <row r="1540" spans="1:9" x14ac:dyDescent="0.3">
      <c r="B1540" t="s">
        <v>4287</v>
      </c>
      <c r="C1540">
        <v>41134</v>
      </c>
      <c r="D1540" t="s">
        <v>241</v>
      </c>
      <c r="E1540" s="140">
        <v>0</v>
      </c>
      <c r="F1540" s="140">
        <v>0</v>
      </c>
      <c r="G1540" s="140">
        <v>0</v>
      </c>
      <c r="H1540" s="140">
        <v>0</v>
      </c>
      <c r="I1540" s="140">
        <v>0</v>
      </c>
    </row>
    <row r="1541" spans="1:9" x14ac:dyDescent="0.3">
      <c r="B1541" t="s">
        <v>1109</v>
      </c>
      <c r="C1541">
        <v>41135</v>
      </c>
      <c r="D1541" t="s">
        <v>214</v>
      </c>
      <c r="E1541" s="140">
        <v>0</v>
      </c>
      <c r="F1541" s="140">
        <v>122</v>
      </c>
      <c r="G1541" s="140">
        <v>0</v>
      </c>
      <c r="H1541" s="140">
        <v>122</v>
      </c>
      <c r="I1541" s="140">
        <v>122</v>
      </c>
    </row>
    <row r="1542" spans="1:9" x14ac:dyDescent="0.3">
      <c r="B1542" t="s">
        <v>1110</v>
      </c>
      <c r="C1542">
        <v>41136</v>
      </c>
      <c r="D1542" t="s">
        <v>900</v>
      </c>
      <c r="E1542" s="140">
        <v>0</v>
      </c>
      <c r="F1542" s="140">
        <v>311</v>
      </c>
      <c r="G1542" s="140">
        <v>0</v>
      </c>
      <c r="H1542" s="140">
        <v>311</v>
      </c>
      <c r="I1542" s="140">
        <v>311</v>
      </c>
    </row>
    <row r="1543" spans="1:9" x14ac:dyDescent="0.3">
      <c r="B1543" t="s">
        <v>4288</v>
      </c>
      <c r="C1543">
        <v>41137</v>
      </c>
      <c r="D1543" t="s">
        <v>4289</v>
      </c>
      <c r="E1543" s="140">
        <v>0</v>
      </c>
      <c r="F1543" s="140">
        <v>0</v>
      </c>
      <c r="G1543" s="140">
        <v>0</v>
      </c>
      <c r="H1543" s="140">
        <v>0</v>
      </c>
      <c r="I1543" s="140">
        <v>0</v>
      </c>
    </row>
    <row r="1544" spans="1:9" x14ac:dyDescent="0.3">
      <c r="B1544" t="s">
        <v>4290</v>
      </c>
      <c r="C1544">
        <v>41138</v>
      </c>
      <c r="D1544" t="s">
        <v>4291</v>
      </c>
      <c r="E1544" s="140">
        <v>0</v>
      </c>
      <c r="F1544" s="140">
        <v>0</v>
      </c>
      <c r="G1544" s="140">
        <v>0</v>
      </c>
      <c r="H1544" s="140">
        <v>0</v>
      </c>
      <c r="I1544" s="140">
        <v>0</v>
      </c>
    </row>
    <row r="1545" spans="1:9" x14ac:dyDescent="0.3">
      <c r="B1545" t="s">
        <v>4292</v>
      </c>
      <c r="C1545">
        <v>41139</v>
      </c>
      <c r="D1545" t="s">
        <v>4293</v>
      </c>
      <c r="E1545" s="140">
        <v>0</v>
      </c>
      <c r="F1545" s="140">
        <v>0</v>
      </c>
      <c r="G1545" s="140">
        <v>0</v>
      </c>
      <c r="H1545" s="140">
        <v>0</v>
      </c>
      <c r="I1545" s="140">
        <v>0</v>
      </c>
    </row>
    <row r="1546" spans="1:9" x14ac:dyDescent="0.3">
      <c r="B1546" t="s">
        <v>1111</v>
      </c>
      <c r="C1546">
        <v>411310</v>
      </c>
      <c r="D1546" t="s">
        <v>215</v>
      </c>
      <c r="E1546" s="140">
        <v>0</v>
      </c>
      <c r="F1546" s="140">
        <v>2</v>
      </c>
      <c r="G1546" s="140">
        <v>-1</v>
      </c>
      <c r="H1546" s="140">
        <v>1</v>
      </c>
      <c r="I1546" s="140">
        <v>1</v>
      </c>
    </row>
    <row r="1547" spans="1:9" x14ac:dyDescent="0.3">
      <c r="B1547" t="s">
        <v>1112</v>
      </c>
      <c r="C1547">
        <v>411311</v>
      </c>
      <c r="D1547" t="s">
        <v>216</v>
      </c>
      <c r="E1547" s="140">
        <v>0</v>
      </c>
      <c r="F1547" s="140">
        <v>5</v>
      </c>
      <c r="G1547" s="140">
        <v>0</v>
      </c>
      <c r="H1547" s="140">
        <v>5</v>
      </c>
      <c r="I1547" s="140">
        <v>5</v>
      </c>
    </row>
    <row r="1548" spans="1:9" x14ac:dyDescent="0.3">
      <c r="B1548" t="s">
        <v>4294</v>
      </c>
      <c r="C1548">
        <v>4113999</v>
      </c>
      <c r="D1548" t="s">
        <v>4295</v>
      </c>
      <c r="E1548" s="140">
        <v>0</v>
      </c>
      <c r="F1548" s="140">
        <v>0</v>
      </c>
      <c r="G1548" s="140">
        <v>0</v>
      </c>
      <c r="H1548" s="140">
        <v>0</v>
      </c>
      <c r="I1548" s="140">
        <v>0</v>
      </c>
    </row>
    <row r="1549" spans="1:9" x14ac:dyDescent="0.3">
      <c r="B1549" t="s">
        <v>4296</v>
      </c>
      <c r="C1549">
        <v>4119</v>
      </c>
      <c r="D1549" t="s">
        <v>4297</v>
      </c>
      <c r="E1549" s="140">
        <v>0</v>
      </c>
      <c r="F1549" s="140">
        <v>0</v>
      </c>
      <c r="G1549" s="140">
        <v>0</v>
      </c>
      <c r="H1549" s="140">
        <v>0</v>
      </c>
      <c r="I1549" s="140">
        <v>0</v>
      </c>
    </row>
    <row r="1550" spans="1:9" x14ac:dyDescent="0.3">
      <c r="B1550" t="s">
        <v>4298</v>
      </c>
      <c r="C1550">
        <v>4119999</v>
      </c>
      <c r="D1550" t="s">
        <v>4299</v>
      </c>
      <c r="E1550" s="140">
        <v>0</v>
      </c>
      <c r="F1550" s="140">
        <v>0</v>
      </c>
      <c r="G1550" s="140">
        <v>0</v>
      </c>
      <c r="H1550" s="140">
        <v>0</v>
      </c>
      <c r="I1550" s="140">
        <v>0</v>
      </c>
    </row>
    <row r="1551" spans="1:9" s="184" customFormat="1" x14ac:dyDescent="0.3">
      <c r="A1551" s="274"/>
      <c r="B1551" s="228" t="s">
        <v>901</v>
      </c>
      <c r="C1551" s="228">
        <v>41110</v>
      </c>
      <c r="D1551" s="228" t="s">
        <v>902</v>
      </c>
      <c r="E1551" s="282">
        <v>0</v>
      </c>
      <c r="F1551" s="282">
        <v>77</v>
      </c>
      <c r="G1551" s="282">
        <v>0</v>
      </c>
      <c r="H1551" s="282">
        <v>77</v>
      </c>
      <c r="I1551" s="282">
        <v>77</v>
      </c>
    </row>
    <row r="1552" spans="1:9" x14ac:dyDescent="0.3">
      <c r="B1552" t="s">
        <v>903</v>
      </c>
      <c r="C1552">
        <v>411101</v>
      </c>
      <c r="D1552" t="s">
        <v>904</v>
      </c>
      <c r="E1552" s="140">
        <v>0</v>
      </c>
      <c r="F1552" s="140">
        <v>77</v>
      </c>
      <c r="G1552" s="140">
        <v>0</v>
      </c>
      <c r="H1552" s="140">
        <v>77</v>
      </c>
      <c r="I1552" s="140">
        <v>77</v>
      </c>
    </row>
    <row r="1553" spans="1:9" x14ac:dyDescent="0.3">
      <c r="B1553" t="s">
        <v>4300</v>
      </c>
      <c r="C1553">
        <v>41199</v>
      </c>
      <c r="D1553" t="s">
        <v>4301</v>
      </c>
      <c r="E1553" s="140">
        <v>0</v>
      </c>
      <c r="F1553" s="140">
        <v>0</v>
      </c>
      <c r="G1553" s="140">
        <v>0</v>
      </c>
      <c r="H1553" s="140">
        <v>0</v>
      </c>
      <c r="I1553" s="140">
        <v>0</v>
      </c>
    </row>
    <row r="1554" spans="1:9" x14ac:dyDescent="0.3">
      <c r="B1554" t="s">
        <v>4302</v>
      </c>
      <c r="C1554">
        <v>41199998</v>
      </c>
      <c r="D1554" t="s">
        <v>4303</v>
      </c>
      <c r="E1554" s="140">
        <v>0</v>
      </c>
      <c r="F1554" s="140">
        <v>0</v>
      </c>
      <c r="G1554" s="140">
        <v>0</v>
      </c>
      <c r="H1554" s="140">
        <v>0</v>
      </c>
      <c r="I1554" s="140">
        <v>0</v>
      </c>
    </row>
    <row r="1555" spans="1:9" x14ac:dyDescent="0.3">
      <c r="B1555" t="s">
        <v>4304</v>
      </c>
      <c r="C1555">
        <v>412</v>
      </c>
      <c r="D1555" t="s">
        <v>4305</v>
      </c>
      <c r="E1555" s="140">
        <v>0</v>
      </c>
      <c r="F1555" s="140">
        <v>0</v>
      </c>
      <c r="G1555" s="140">
        <v>0</v>
      </c>
      <c r="H1555" s="140">
        <v>0</v>
      </c>
      <c r="I1555" s="140">
        <v>0</v>
      </c>
    </row>
    <row r="1556" spans="1:9" x14ac:dyDescent="0.3">
      <c r="B1556" t="s">
        <v>4306</v>
      </c>
      <c r="C1556">
        <v>4121</v>
      </c>
      <c r="D1556" t="s">
        <v>4307</v>
      </c>
      <c r="E1556" s="140">
        <v>0</v>
      </c>
      <c r="F1556" s="140">
        <v>0</v>
      </c>
      <c r="G1556" s="140">
        <v>0</v>
      </c>
      <c r="H1556" s="140">
        <v>0</v>
      </c>
      <c r="I1556" s="140">
        <v>0</v>
      </c>
    </row>
    <row r="1557" spans="1:9" x14ac:dyDescent="0.3">
      <c r="B1557" t="s">
        <v>4308</v>
      </c>
      <c r="C1557">
        <v>41211</v>
      </c>
      <c r="D1557" t="s">
        <v>217</v>
      </c>
      <c r="E1557" s="140">
        <v>0</v>
      </c>
      <c r="F1557" s="140">
        <v>0</v>
      </c>
      <c r="G1557" s="140">
        <v>0</v>
      </c>
      <c r="H1557" s="140">
        <v>0</v>
      </c>
      <c r="I1557" s="140">
        <v>0</v>
      </c>
    </row>
    <row r="1558" spans="1:9" x14ac:dyDescent="0.3">
      <c r="B1558" t="s">
        <v>4309</v>
      </c>
      <c r="C1558">
        <v>41212</v>
      </c>
      <c r="D1558" t="s">
        <v>4310</v>
      </c>
      <c r="E1558" s="140">
        <v>0</v>
      </c>
      <c r="F1558" s="140">
        <v>0</v>
      </c>
      <c r="G1558" s="140">
        <v>0</v>
      </c>
      <c r="H1558" s="140">
        <v>0</v>
      </c>
      <c r="I1558" s="140">
        <v>0</v>
      </c>
    </row>
    <row r="1559" spans="1:9" x14ac:dyDescent="0.3">
      <c r="B1559" t="s">
        <v>4311</v>
      </c>
      <c r="C1559">
        <v>41213</v>
      </c>
      <c r="D1559" t="s">
        <v>244</v>
      </c>
      <c r="E1559" s="140">
        <v>0</v>
      </c>
      <c r="F1559" s="140">
        <v>0</v>
      </c>
      <c r="G1559" s="140">
        <v>0</v>
      </c>
      <c r="H1559" s="140">
        <v>0</v>
      </c>
      <c r="I1559" s="140">
        <v>0</v>
      </c>
    </row>
    <row r="1560" spans="1:9" x14ac:dyDescent="0.3">
      <c r="B1560" t="s">
        <v>4312</v>
      </c>
      <c r="C1560">
        <v>4121998</v>
      </c>
      <c r="D1560" t="s">
        <v>4313</v>
      </c>
      <c r="E1560" s="140">
        <v>0</v>
      </c>
      <c r="F1560" s="140">
        <v>0</v>
      </c>
      <c r="G1560" s="140">
        <v>0</v>
      </c>
      <c r="H1560" s="140">
        <v>0</v>
      </c>
      <c r="I1560" s="140">
        <v>0</v>
      </c>
    </row>
    <row r="1561" spans="1:9" x14ac:dyDescent="0.3">
      <c r="B1561" t="s">
        <v>4314</v>
      </c>
      <c r="C1561">
        <v>4121999</v>
      </c>
      <c r="D1561" t="s">
        <v>4315</v>
      </c>
      <c r="E1561" s="140">
        <v>0</v>
      </c>
      <c r="F1561" s="140">
        <v>0</v>
      </c>
      <c r="G1561" s="140">
        <v>0</v>
      </c>
      <c r="H1561" s="140">
        <v>0</v>
      </c>
      <c r="I1561" s="140">
        <v>0</v>
      </c>
    </row>
    <row r="1562" spans="1:9" x14ac:dyDescent="0.3">
      <c r="B1562" t="s">
        <v>4316</v>
      </c>
      <c r="C1562">
        <v>4122</v>
      </c>
      <c r="D1562" t="s">
        <v>4317</v>
      </c>
      <c r="E1562" s="140">
        <v>0</v>
      </c>
      <c r="F1562" s="140">
        <v>0</v>
      </c>
      <c r="G1562" s="140">
        <v>0</v>
      </c>
      <c r="H1562" s="140">
        <v>0</v>
      </c>
      <c r="I1562" s="140">
        <v>0</v>
      </c>
    </row>
    <row r="1563" spans="1:9" x14ac:dyDescent="0.3">
      <c r="B1563" t="s">
        <v>4318</v>
      </c>
      <c r="C1563">
        <v>41221</v>
      </c>
      <c r="D1563" t="s">
        <v>244</v>
      </c>
      <c r="E1563" s="140">
        <v>0</v>
      </c>
      <c r="F1563" s="140">
        <v>0</v>
      </c>
      <c r="G1563" s="140">
        <v>0</v>
      </c>
      <c r="H1563" s="140">
        <v>0</v>
      </c>
      <c r="I1563" s="140">
        <v>0</v>
      </c>
    </row>
    <row r="1564" spans="1:9" x14ac:dyDescent="0.3">
      <c r="B1564" t="s">
        <v>4319</v>
      </c>
      <c r="C1564">
        <v>4122999</v>
      </c>
      <c r="D1564" t="s">
        <v>4320</v>
      </c>
      <c r="E1564" s="140">
        <v>0</v>
      </c>
      <c r="F1564" s="140">
        <v>0</v>
      </c>
      <c r="G1564" s="140">
        <v>0</v>
      </c>
      <c r="H1564" s="140">
        <v>0</v>
      </c>
      <c r="I1564" s="140">
        <v>0</v>
      </c>
    </row>
    <row r="1565" spans="1:9" x14ac:dyDescent="0.3">
      <c r="B1565" t="s">
        <v>4321</v>
      </c>
      <c r="C1565">
        <v>41299</v>
      </c>
      <c r="D1565" t="s">
        <v>4322</v>
      </c>
      <c r="E1565" s="140">
        <v>0</v>
      </c>
      <c r="F1565" s="140">
        <v>0</v>
      </c>
      <c r="G1565" s="140">
        <v>0</v>
      </c>
      <c r="H1565" s="140">
        <v>0</v>
      </c>
      <c r="I1565" s="140">
        <v>0</v>
      </c>
    </row>
    <row r="1566" spans="1:9" x14ac:dyDescent="0.3">
      <c r="B1566" t="s">
        <v>4323</v>
      </c>
      <c r="C1566">
        <v>41299998</v>
      </c>
      <c r="D1566" t="s">
        <v>4324</v>
      </c>
      <c r="E1566" s="140">
        <v>0</v>
      </c>
      <c r="F1566" s="140">
        <v>0</v>
      </c>
      <c r="G1566" s="140">
        <v>0</v>
      </c>
      <c r="H1566" s="140">
        <v>0</v>
      </c>
      <c r="I1566" s="140">
        <v>0</v>
      </c>
    </row>
    <row r="1567" spans="1:9" s="184" customFormat="1" x14ac:dyDescent="0.3">
      <c r="A1567" s="274"/>
      <c r="B1567" s="228" t="s">
        <v>1113</v>
      </c>
      <c r="C1567" s="228">
        <v>413</v>
      </c>
      <c r="D1567" s="228" t="s">
        <v>905</v>
      </c>
      <c r="E1567" s="282">
        <v>0</v>
      </c>
      <c r="F1567" s="282">
        <v>4001</v>
      </c>
      <c r="G1567" s="282">
        <v>-1</v>
      </c>
      <c r="H1567" s="282">
        <v>4001</v>
      </c>
      <c r="I1567" s="282">
        <v>4001</v>
      </c>
    </row>
    <row r="1568" spans="1:9" s="184" customFormat="1" x14ac:dyDescent="0.3">
      <c r="A1568" s="274"/>
      <c r="B1568" s="228" t="s">
        <v>1114</v>
      </c>
      <c r="C1568" s="228">
        <v>4131</v>
      </c>
      <c r="D1568" s="228" t="s">
        <v>35</v>
      </c>
      <c r="E1568" s="282">
        <v>0</v>
      </c>
      <c r="F1568" s="282">
        <v>4001</v>
      </c>
      <c r="G1568" s="282">
        <v>-1</v>
      </c>
      <c r="H1568" s="282">
        <v>4001</v>
      </c>
      <c r="I1568" s="282">
        <v>4001</v>
      </c>
    </row>
    <row r="1569" spans="2:9" x14ac:dyDescent="0.3">
      <c r="B1569" t="s">
        <v>1115</v>
      </c>
      <c r="C1569">
        <v>41311</v>
      </c>
      <c r="D1569" t="s">
        <v>218</v>
      </c>
      <c r="E1569" s="140">
        <v>0</v>
      </c>
      <c r="F1569" s="140">
        <v>2653</v>
      </c>
      <c r="G1569" s="140">
        <v>0</v>
      </c>
      <c r="H1569" s="140">
        <v>2653</v>
      </c>
      <c r="I1569" s="140">
        <v>2653</v>
      </c>
    </row>
    <row r="1570" spans="2:9" x14ac:dyDescent="0.3">
      <c r="B1570" t="s">
        <v>1116</v>
      </c>
      <c r="C1570">
        <v>41312</v>
      </c>
      <c r="D1570" t="s">
        <v>906</v>
      </c>
      <c r="E1570" s="140">
        <v>0</v>
      </c>
      <c r="F1570" s="140">
        <v>368</v>
      </c>
      <c r="G1570" s="140">
        <v>0</v>
      </c>
      <c r="H1570" s="140">
        <v>368</v>
      </c>
      <c r="I1570" s="140">
        <v>368</v>
      </c>
    </row>
    <row r="1571" spans="2:9" x14ac:dyDescent="0.3">
      <c r="B1571" t="s">
        <v>1117</v>
      </c>
      <c r="C1571">
        <v>41313</v>
      </c>
      <c r="D1571" t="s">
        <v>219</v>
      </c>
      <c r="E1571" s="140">
        <v>0</v>
      </c>
      <c r="F1571" s="140">
        <v>0</v>
      </c>
      <c r="G1571" s="140">
        <v>0</v>
      </c>
      <c r="H1571" s="140">
        <v>0</v>
      </c>
      <c r="I1571" s="140">
        <v>0</v>
      </c>
    </row>
    <row r="1572" spans="2:9" x14ac:dyDescent="0.3">
      <c r="B1572" t="s">
        <v>4325</v>
      </c>
      <c r="C1572">
        <v>41314</v>
      </c>
      <c r="D1572" t="s">
        <v>4326</v>
      </c>
      <c r="E1572" s="140">
        <v>0</v>
      </c>
      <c r="F1572" s="140">
        <v>0</v>
      </c>
      <c r="G1572" s="140">
        <v>0</v>
      </c>
      <c r="H1572" s="140">
        <v>0</v>
      </c>
      <c r="I1572" s="140">
        <v>0</v>
      </c>
    </row>
    <row r="1573" spans="2:9" x14ac:dyDescent="0.3">
      <c r="B1573" t="s">
        <v>1118</v>
      </c>
      <c r="C1573">
        <v>41315</v>
      </c>
      <c r="D1573" t="s">
        <v>220</v>
      </c>
      <c r="E1573" s="140">
        <v>0</v>
      </c>
      <c r="F1573" s="140">
        <v>170</v>
      </c>
      <c r="G1573" s="140">
        <v>-1</v>
      </c>
      <c r="H1573" s="140">
        <v>169</v>
      </c>
      <c r="I1573" s="140">
        <v>169</v>
      </c>
    </row>
    <row r="1574" spans="2:9" x14ac:dyDescent="0.3">
      <c r="B1574" t="s">
        <v>4327</v>
      </c>
      <c r="C1574">
        <v>41316</v>
      </c>
      <c r="D1574" t="s">
        <v>907</v>
      </c>
      <c r="E1574" s="140">
        <v>0</v>
      </c>
      <c r="F1574" s="140">
        <v>0</v>
      </c>
      <c r="G1574" s="140">
        <v>0</v>
      </c>
      <c r="H1574" s="140">
        <v>0</v>
      </c>
      <c r="I1574" s="140">
        <v>0</v>
      </c>
    </row>
    <row r="1575" spans="2:9" x14ac:dyDescent="0.3">
      <c r="B1575" t="s">
        <v>4328</v>
      </c>
      <c r="C1575">
        <v>41317</v>
      </c>
      <c r="D1575" t="s">
        <v>4329</v>
      </c>
      <c r="E1575" s="140">
        <v>0</v>
      </c>
      <c r="F1575" s="140">
        <v>0</v>
      </c>
      <c r="G1575" s="140">
        <v>0</v>
      </c>
      <c r="H1575" s="140">
        <v>0</v>
      </c>
      <c r="I1575" s="140">
        <v>0</v>
      </c>
    </row>
    <row r="1576" spans="2:9" x14ac:dyDescent="0.3">
      <c r="B1576" t="s">
        <v>4330</v>
      </c>
      <c r="C1576">
        <v>41318</v>
      </c>
      <c r="D1576" t="s">
        <v>4331</v>
      </c>
      <c r="E1576" s="140">
        <v>0</v>
      </c>
      <c r="F1576" s="140">
        <v>0</v>
      </c>
      <c r="G1576" s="140">
        <v>0</v>
      </c>
      <c r="H1576" s="140">
        <v>0</v>
      </c>
      <c r="I1576" s="140">
        <v>0</v>
      </c>
    </row>
    <row r="1577" spans="2:9" x14ac:dyDescent="0.3">
      <c r="B1577" t="s">
        <v>4332</v>
      </c>
      <c r="C1577">
        <v>41319</v>
      </c>
      <c r="D1577" t="s">
        <v>4333</v>
      </c>
      <c r="E1577" s="140">
        <v>0</v>
      </c>
      <c r="F1577" s="140">
        <v>0</v>
      </c>
      <c r="G1577" s="140">
        <v>0</v>
      </c>
      <c r="H1577" s="140">
        <v>0</v>
      </c>
      <c r="I1577" s="140">
        <v>0</v>
      </c>
    </row>
    <row r="1578" spans="2:9" x14ac:dyDescent="0.3">
      <c r="B1578" t="s">
        <v>4334</v>
      </c>
      <c r="C1578">
        <v>413110</v>
      </c>
      <c r="D1578" t="s">
        <v>4335</v>
      </c>
      <c r="E1578" s="140">
        <v>0</v>
      </c>
      <c r="F1578" s="140">
        <v>0</v>
      </c>
      <c r="G1578" s="140">
        <v>0</v>
      </c>
      <c r="H1578" s="140">
        <v>0</v>
      </c>
      <c r="I1578" s="140">
        <v>0</v>
      </c>
    </row>
    <row r="1579" spans="2:9" x14ac:dyDescent="0.3">
      <c r="B1579" t="s">
        <v>4336</v>
      </c>
      <c r="C1579">
        <v>413111</v>
      </c>
      <c r="D1579" t="s">
        <v>4337</v>
      </c>
      <c r="E1579" s="140">
        <v>0</v>
      </c>
      <c r="F1579" s="140">
        <v>0</v>
      </c>
      <c r="G1579" s="140">
        <v>0</v>
      </c>
      <c r="H1579" s="140">
        <v>0</v>
      </c>
      <c r="I1579" s="140">
        <v>0</v>
      </c>
    </row>
    <row r="1580" spans="2:9" x14ac:dyDescent="0.3">
      <c r="B1580" t="s">
        <v>4338</v>
      </c>
      <c r="C1580">
        <v>413112</v>
      </c>
      <c r="D1580" t="s">
        <v>257</v>
      </c>
      <c r="E1580" s="140">
        <v>0</v>
      </c>
      <c r="F1580" s="140">
        <v>0</v>
      </c>
      <c r="G1580" s="140">
        <v>0</v>
      </c>
      <c r="H1580" s="140">
        <v>0</v>
      </c>
      <c r="I1580" s="140">
        <v>0</v>
      </c>
    </row>
    <row r="1581" spans="2:9" x14ac:dyDescent="0.3">
      <c r="B1581" t="s">
        <v>4339</v>
      </c>
      <c r="C1581">
        <v>413113</v>
      </c>
      <c r="D1581" t="s">
        <v>908</v>
      </c>
      <c r="E1581" s="140">
        <v>0</v>
      </c>
      <c r="F1581" s="140">
        <v>0</v>
      </c>
      <c r="G1581" s="140">
        <v>0</v>
      </c>
      <c r="H1581" s="140">
        <v>0</v>
      </c>
      <c r="I1581" s="140">
        <v>0</v>
      </c>
    </row>
    <row r="1582" spans="2:9" x14ac:dyDescent="0.3">
      <c r="B1582" t="s">
        <v>1119</v>
      </c>
      <c r="C1582">
        <v>413114</v>
      </c>
      <c r="D1582" t="s">
        <v>909</v>
      </c>
      <c r="E1582" s="140">
        <v>0</v>
      </c>
      <c r="F1582" s="140">
        <v>715</v>
      </c>
      <c r="G1582" s="140">
        <v>0</v>
      </c>
      <c r="H1582" s="140">
        <v>715</v>
      </c>
      <c r="I1582" s="140">
        <v>715</v>
      </c>
    </row>
    <row r="1583" spans="2:9" x14ac:dyDescent="0.3">
      <c r="B1583" t="s">
        <v>4340</v>
      </c>
      <c r="C1583">
        <v>413115</v>
      </c>
      <c r="D1583" t="s">
        <v>4341</v>
      </c>
      <c r="E1583" s="140">
        <v>0</v>
      </c>
      <c r="F1583" s="140">
        <v>0</v>
      </c>
      <c r="G1583" s="140">
        <v>0</v>
      </c>
      <c r="H1583" s="140">
        <v>0</v>
      </c>
      <c r="I1583" s="140">
        <v>0</v>
      </c>
    </row>
    <row r="1584" spans="2:9" x14ac:dyDescent="0.3">
      <c r="B1584" t="s">
        <v>1120</v>
      </c>
      <c r="C1584">
        <v>413117</v>
      </c>
      <c r="D1584" t="s">
        <v>221</v>
      </c>
      <c r="E1584" s="140">
        <v>0</v>
      </c>
      <c r="F1584" s="140">
        <v>92</v>
      </c>
      <c r="G1584" s="140">
        <v>0</v>
      </c>
      <c r="H1584" s="140">
        <v>92</v>
      </c>
      <c r="I1584" s="140">
        <v>92</v>
      </c>
    </row>
    <row r="1585" spans="1:9" x14ac:dyDescent="0.3">
      <c r="B1585" t="s">
        <v>4342</v>
      </c>
      <c r="C1585">
        <v>413118</v>
      </c>
      <c r="D1585" t="s">
        <v>4343</v>
      </c>
      <c r="E1585" s="140">
        <v>0</v>
      </c>
      <c r="F1585" s="140">
        <v>0</v>
      </c>
      <c r="G1585" s="140">
        <v>0</v>
      </c>
      <c r="H1585" s="140">
        <v>0</v>
      </c>
      <c r="I1585" s="140">
        <v>0</v>
      </c>
    </row>
    <row r="1586" spans="1:9" x14ac:dyDescent="0.3">
      <c r="B1586" t="s">
        <v>1121</v>
      </c>
      <c r="C1586">
        <v>4131997</v>
      </c>
      <c r="D1586" t="s">
        <v>222</v>
      </c>
      <c r="E1586" s="140">
        <v>0</v>
      </c>
      <c r="F1586" s="140">
        <v>3</v>
      </c>
      <c r="G1586" s="140">
        <v>0</v>
      </c>
      <c r="H1586" s="140">
        <v>3</v>
      </c>
      <c r="I1586" s="140">
        <v>3</v>
      </c>
    </row>
    <row r="1587" spans="1:9" x14ac:dyDescent="0.3">
      <c r="B1587" t="s">
        <v>4344</v>
      </c>
      <c r="C1587">
        <v>4131998</v>
      </c>
      <c r="D1587" t="s">
        <v>4345</v>
      </c>
      <c r="E1587" s="140">
        <v>0</v>
      </c>
      <c r="F1587" s="140">
        <v>0</v>
      </c>
      <c r="G1587" s="140">
        <v>0</v>
      </c>
      <c r="H1587" s="140">
        <v>0</v>
      </c>
      <c r="I1587" s="140">
        <v>0</v>
      </c>
    </row>
    <row r="1588" spans="1:9" x14ac:dyDescent="0.3">
      <c r="B1588" t="s">
        <v>4346</v>
      </c>
      <c r="C1588">
        <v>4131999</v>
      </c>
      <c r="D1588" t="s">
        <v>4347</v>
      </c>
      <c r="E1588" s="140">
        <v>0</v>
      </c>
      <c r="F1588" s="140">
        <v>0</v>
      </c>
      <c r="G1588" s="140">
        <v>0</v>
      </c>
      <c r="H1588" s="140">
        <v>0</v>
      </c>
      <c r="I1588" s="140">
        <v>0</v>
      </c>
    </row>
    <row r="1589" spans="1:9" x14ac:dyDescent="0.3">
      <c r="B1589" t="s">
        <v>4348</v>
      </c>
      <c r="C1589">
        <v>4132</v>
      </c>
      <c r="D1589" t="s">
        <v>4349</v>
      </c>
      <c r="E1589" s="140">
        <v>0</v>
      </c>
      <c r="F1589" s="140">
        <v>0</v>
      </c>
      <c r="G1589" s="140">
        <v>0</v>
      </c>
      <c r="H1589" s="140">
        <v>0</v>
      </c>
      <c r="I1589" s="140">
        <v>0</v>
      </c>
    </row>
    <row r="1590" spans="1:9" x14ac:dyDescent="0.3">
      <c r="B1590" t="s">
        <v>4350</v>
      </c>
      <c r="C1590">
        <v>41321</v>
      </c>
      <c r="D1590" t="s">
        <v>218</v>
      </c>
      <c r="E1590" s="140">
        <v>0</v>
      </c>
      <c r="F1590" s="140">
        <v>0</v>
      </c>
      <c r="G1590" s="140">
        <v>0</v>
      </c>
      <c r="H1590" s="140">
        <v>0</v>
      </c>
      <c r="I1590" s="140">
        <v>0</v>
      </c>
    </row>
    <row r="1591" spans="1:9" x14ac:dyDescent="0.3">
      <c r="B1591" t="s">
        <v>4351</v>
      </c>
      <c r="C1591">
        <v>41322</v>
      </c>
      <c r="D1591" t="s">
        <v>909</v>
      </c>
      <c r="E1591" s="140">
        <v>0</v>
      </c>
      <c r="F1591" s="140">
        <v>0</v>
      </c>
      <c r="G1591" s="140">
        <v>0</v>
      </c>
      <c r="H1591" s="140">
        <v>0</v>
      </c>
      <c r="I1591" s="140">
        <v>0</v>
      </c>
    </row>
    <row r="1592" spans="1:9" x14ac:dyDescent="0.3">
      <c r="B1592" t="s">
        <v>4352</v>
      </c>
      <c r="C1592">
        <v>4132999</v>
      </c>
      <c r="D1592" t="s">
        <v>4347</v>
      </c>
      <c r="E1592" s="140">
        <v>0</v>
      </c>
      <c r="F1592" s="140">
        <v>0</v>
      </c>
      <c r="G1592" s="140">
        <v>0</v>
      </c>
      <c r="H1592" s="140">
        <v>0</v>
      </c>
      <c r="I1592" s="140">
        <v>0</v>
      </c>
    </row>
    <row r="1593" spans="1:9" s="184" customFormat="1" x14ac:dyDescent="0.3">
      <c r="A1593" s="274"/>
      <c r="B1593" s="228" t="s">
        <v>1122</v>
      </c>
      <c r="C1593" s="228">
        <v>414</v>
      </c>
      <c r="D1593" s="228" t="s">
        <v>223</v>
      </c>
      <c r="E1593" s="282">
        <v>0</v>
      </c>
      <c r="F1593" s="282">
        <v>90</v>
      </c>
      <c r="G1593" s="282">
        <v>0</v>
      </c>
      <c r="H1593" s="282">
        <v>90</v>
      </c>
      <c r="I1593" s="282">
        <v>90</v>
      </c>
    </row>
    <row r="1594" spans="1:9" s="184" customFormat="1" x14ac:dyDescent="0.3">
      <c r="A1594" s="274"/>
      <c r="B1594" s="228" t="s">
        <v>1123</v>
      </c>
      <c r="C1594" s="228">
        <v>4141</v>
      </c>
      <c r="D1594" s="228" t="s">
        <v>38</v>
      </c>
      <c r="E1594" s="282">
        <v>0</v>
      </c>
      <c r="F1594" s="282">
        <v>90</v>
      </c>
      <c r="G1594" s="282">
        <v>0</v>
      </c>
      <c r="H1594" s="282">
        <v>90</v>
      </c>
      <c r="I1594" s="282">
        <v>90</v>
      </c>
    </row>
    <row r="1595" spans="1:9" x14ac:dyDescent="0.3">
      <c r="B1595" t="s">
        <v>4353</v>
      </c>
      <c r="C1595">
        <v>41411</v>
      </c>
      <c r="D1595" t="s">
        <v>4354</v>
      </c>
      <c r="E1595" s="140">
        <v>0</v>
      </c>
      <c r="F1595" s="140">
        <v>0</v>
      </c>
      <c r="G1595" s="140">
        <v>0</v>
      </c>
      <c r="H1595" s="140">
        <v>0</v>
      </c>
      <c r="I1595" s="140">
        <v>0</v>
      </c>
    </row>
    <row r="1596" spans="1:9" x14ac:dyDescent="0.3">
      <c r="B1596" t="s">
        <v>1124</v>
      </c>
      <c r="C1596">
        <v>41412</v>
      </c>
      <c r="D1596" t="s">
        <v>224</v>
      </c>
      <c r="E1596" s="140">
        <v>0</v>
      </c>
      <c r="F1596" s="140">
        <v>78</v>
      </c>
      <c r="G1596" s="140">
        <v>0</v>
      </c>
      <c r="H1596" s="140">
        <v>78</v>
      </c>
      <c r="I1596" s="140">
        <v>78</v>
      </c>
    </row>
    <row r="1597" spans="1:9" x14ac:dyDescent="0.3">
      <c r="B1597" t="s">
        <v>4355</v>
      </c>
      <c r="C1597">
        <v>41413</v>
      </c>
      <c r="D1597" t="s">
        <v>4356</v>
      </c>
      <c r="E1597" s="140">
        <v>0</v>
      </c>
      <c r="F1597" s="140">
        <v>0</v>
      </c>
      <c r="G1597" s="140">
        <v>0</v>
      </c>
      <c r="H1597" s="140">
        <v>0</v>
      </c>
      <c r="I1597" s="140">
        <v>0</v>
      </c>
    </row>
    <row r="1598" spans="1:9" x14ac:dyDescent="0.3">
      <c r="B1598" t="s">
        <v>4357</v>
      </c>
      <c r="C1598">
        <v>41414</v>
      </c>
      <c r="D1598" t="s">
        <v>4358</v>
      </c>
      <c r="E1598" s="140">
        <v>0</v>
      </c>
      <c r="F1598" s="140">
        <v>0</v>
      </c>
      <c r="G1598" s="140">
        <v>0</v>
      </c>
      <c r="H1598" s="140">
        <v>0</v>
      </c>
      <c r="I1598" s="140">
        <v>0</v>
      </c>
    </row>
    <row r="1599" spans="1:9" x14ac:dyDescent="0.3">
      <c r="B1599" t="s">
        <v>4359</v>
      </c>
      <c r="C1599">
        <v>41415</v>
      </c>
      <c r="D1599" t="s">
        <v>4360</v>
      </c>
      <c r="E1599" s="140">
        <v>0</v>
      </c>
      <c r="F1599" s="140">
        <v>0</v>
      </c>
      <c r="G1599" s="140">
        <v>0</v>
      </c>
      <c r="H1599" s="140">
        <v>0</v>
      </c>
      <c r="I1599" s="140">
        <v>0</v>
      </c>
    </row>
    <row r="1600" spans="1:9" x14ac:dyDescent="0.3">
      <c r="B1600" t="s">
        <v>4361</v>
      </c>
      <c r="C1600">
        <v>41416</v>
      </c>
      <c r="D1600" t="s">
        <v>910</v>
      </c>
      <c r="E1600" s="140">
        <v>0</v>
      </c>
      <c r="F1600" s="140">
        <v>0</v>
      </c>
      <c r="G1600" s="140">
        <v>0</v>
      </c>
      <c r="H1600" s="140">
        <v>0</v>
      </c>
      <c r="I1600" s="140">
        <v>0</v>
      </c>
    </row>
    <row r="1601" spans="1:9" x14ac:dyDescent="0.3">
      <c r="B1601" t="s">
        <v>4362</v>
      </c>
      <c r="C1601">
        <v>41417</v>
      </c>
      <c r="D1601" t="s">
        <v>4363</v>
      </c>
      <c r="E1601" s="140">
        <v>0</v>
      </c>
      <c r="F1601" s="140">
        <v>0</v>
      </c>
      <c r="G1601" s="140">
        <v>0</v>
      </c>
      <c r="H1601" s="140">
        <v>0</v>
      </c>
      <c r="I1601" s="140">
        <v>0</v>
      </c>
    </row>
    <row r="1602" spans="1:9" x14ac:dyDescent="0.3">
      <c r="B1602" t="s">
        <v>1125</v>
      </c>
      <c r="C1602">
        <v>41418</v>
      </c>
      <c r="D1602" t="s">
        <v>225</v>
      </c>
      <c r="E1602" s="140">
        <v>0</v>
      </c>
      <c r="F1602" s="140">
        <v>12</v>
      </c>
      <c r="G1602" s="140">
        <v>0</v>
      </c>
      <c r="H1602" s="140">
        <v>12</v>
      </c>
      <c r="I1602" s="140">
        <v>12</v>
      </c>
    </row>
    <row r="1603" spans="1:9" x14ac:dyDescent="0.3">
      <c r="B1603" t="s">
        <v>4364</v>
      </c>
      <c r="C1603">
        <v>415</v>
      </c>
      <c r="D1603" t="s">
        <v>4365</v>
      </c>
      <c r="E1603" s="140">
        <v>0</v>
      </c>
      <c r="F1603" s="140">
        <v>0</v>
      </c>
      <c r="G1603" s="140">
        <v>0</v>
      </c>
      <c r="H1603" s="140">
        <v>0</v>
      </c>
      <c r="I1603" s="140">
        <v>0</v>
      </c>
    </row>
    <row r="1604" spans="1:9" x14ac:dyDescent="0.3">
      <c r="B1604" t="s">
        <v>4366</v>
      </c>
      <c r="C1604">
        <v>4151</v>
      </c>
      <c r="D1604" t="s">
        <v>4367</v>
      </c>
      <c r="E1604" s="140">
        <v>0</v>
      </c>
      <c r="F1604" s="140">
        <v>0</v>
      </c>
      <c r="G1604" s="140">
        <v>0</v>
      </c>
      <c r="H1604" s="140">
        <v>0</v>
      </c>
      <c r="I1604" s="140">
        <v>0</v>
      </c>
    </row>
    <row r="1605" spans="1:9" x14ac:dyDescent="0.3">
      <c r="B1605" t="s">
        <v>4368</v>
      </c>
      <c r="C1605">
        <v>41511</v>
      </c>
      <c r="D1605" t="s">
        <v>911</v>
      </c>
      <c r="E1605" s="140">
        <v>0</v>
      </c>
      <c r="F1605" s="140">
        <v>0</v>
      </c>
      <c r="G1605" s="140">
        <v>0</v>
      </c>
      <c r="H1605" s="140">
        <v>0</v>
      </c>
      <c r="I1605" s="140">
        <v>0</v>
      </c>
    </row>
    <row r="1606" spans="1:9" x14ac:dyDescent="0.3">
      <c r="B1606" t="s">
        <v>4369</v>
      </c>
      <c r="C1606">
        <v>41512</v>
      </c>
      <c r="D1606" t="s">
        <v>4370</v>
      </c>
      <c r="E1606" s="140">
        <v>0</v>
      </c>
      <c r="F1606" s="140">
        <v>0</v>
      </c>
      <c r="G1606" s="140">
        <v>0</v>
      </c>
      <c r="H1606" s="140">
        <v>0</v>
      </c>
      <c r="I1606" s="140">
        <v>0</v>
      </c>
    </row>
    <row r="1607" spans="1:9" x14ac:dyDescent="0.3">
      <c r="B1607" t="s">
        <v>4371</v>
      </c>
      <c r="C1607">
        <v>41513</v>
      </c>
      <c r="D1607" t="s">
        <v>912</v>
      </c>
      <c r="E1607" s="140">
        <v>0</v>
      </c>
      <c r="F1607" s="140">
        <v>0</v>
      </c>
      <c r="G1607" s="140">
        <v>0</v>
      </c>
      <c r="H1607" s="140">
        <v>0</v>
      </c>
      <c r="I1607" s="140">
        <v>0</v>
      </c>
    </row>
    <row r="1608" spans="1:9" x14ac:dyDescent="0.3">
      <c r="B1608" t="s">
        <v>4372</v>
      </c>
      <c r="C1608">
        <v>4151999</v>
      </c>
      <c r="D1608" t="s">
        <v>4373</v>
      </c>
      <c r="E1608" s="140">
        <v>0</v>
      </c>
      <c r="F1608" s="140">
        <v>0</v>
      </c>
      <c r="G1608" s="140">
        <v>0</v>
      </c>
      <c r="H1608" s="140">
        <v>0</v>
      </c>
      <c r="I1608" s="140">
        <v>0</v>
      </c>
    </row>
    <row r="1609" spans="1:9" s="184" customFormat="1" x14ac:dyDescent="0.3">
      <c r="A1609" s="274"/>
      <c r="B1609" s="228" t="s">
        <v>1126</v>
      </c>
      <c r="C1609" s="228">
        <v>416</v>
      </c>
      <c r="D1609" s="228" t="s">
        <v>226</v>
      </c>
      <c r="E1609" s="282">
        <v>0</v>
      </c>
      <c r="F1609" s="282">
        <v>1855</v>
      </c>
      <c r="G1609" s="282">
        <v>-1</v>
      </c>
      <c r="H1609" s="282">
        <v>1854</v>
      </c>
      <c r="I1609" s="282">
        <v>1854</v>
      </c>
    </row>
    <row r="1610" spans="1:9" s="184" customFormat="1" x14ac:dyDescent="0.3">
      <c r="A1610" s="274"/>
      <c r="B1610" s="228" t="s">
        <v>1127</v>
      </c>
      <c r="C1610" s="228">
        <v>4161</v>
      </c>
      <c r="D1610" s="228" t="s">
        <v>913</v>
      </c>
      <c r="E1610" s="282">
        <v>0</v>
      </c>
      <c r="F1610" s="282">
        <v>1169</v>
      </c>
      <c r="G1610" s="282">
        <v>0</v>
      </c>
      <c r="H1610" s="282">
        <v>1169</v>
      </c>
      <c r="I1610" s="282">
        <v>1169</v>
      </c>
    </row>
    <row r="1611" spans="1:9" x14ac:dyDescent="0.3">
      <c r="B1611" t="s">
        <v>1128</v>
      </c>
      <c r="C1611">
        <v>41611</v>
      </c>
      <c r="D1611" t="s">
        <v>227</v>
      </c>
      <c r="E1611" s="140">
        <v>0</v>
      </c>
      <c r="F1611" s="140">
        <v>586</v>
      </c>
      <c r="G1611" s="140">
        <v>0</v>
      </c>
      <c r="H1611" s="140">
        <v>586</v>
      </c>
      <c r="I1611" s="140">
        <v>586</v>
      </c>
    </row>
    <row r="1612" spans="1:9" x14ac:dyDescent="0.3">
      <c r="B1612" t="s">
        <v>4374</v>
      </c>
      <c r="C1612">
        <v>41612</v>
      </c>
      <c r="D1612" t="s">
        <v>4375</v>
      </c>
      <c r="E1612" s="140">
        <v>0</v>
      </c>
      <c r="F1612" s="140">
        <v>0</v>
      </c>
      <c r="G1612" s="140">
        <v>0</v>
      </c>
      <c r="H1612" s="140">
        <v>0</v>
      </c>
      <c r="I1612" s="140">
        <v>0</v>
      </c>
    </row>
    <row r="1613" spans="1:9" x14ac:dyDescent="0.3">
      <c r="B1613" t="s">
        <v>4376</v>
      </c>
      <c r="C1613">
        <v>41613</v>
      </c>
      <c r="D1613" t="s">
        <v>914</v>
      </c>
      <c r="E1613" s="140">
        <v>0</v>
      </c>
      <c r="F1613" s="140">
        <v>0</v>
      </c>
      <c r="G1613" s="140">
        <v>0</v>
      </c>
      <c r="H1613" s="140">
        <v>0</v>
      </c>
      <c r="I1613" s="140">
        <v>0</v>
      </c>
    </row>
    <row r="1614" spans="1:9" x14ac:dyDescent="0.3">
      <c r="B1614" t="s">
        <v>1129</v>
      </c>
      <c r="C1614">
        <v>41614</v>
      </c>
      <c r="D1614" t="s">
        <v>228</v>
      </c>
      <c r="E1614" s="140">
        <v>0</v>
      </c>
      <c r="F1614" s="140">
        <v>169</v>
      </c>
      <c r="G1614" s="140">
        <v>0</v>
      </c>
      <c r="H1614" s="140">
        <v>169</v>
      </c>
      <c r="I1614" s="140">
        <v>169</v>
      </c>
    </row>
    <row r="1615" spans="1:9" x14ac:dyDescent="0.3">
      <c r="B1615" t="s">
        <v>4377</v>
      </c>
      <c r="C1615">
        <v>41615</v>
      </c>
      <c r="D1615" t="s">
        <v>4378</v>
      </c>
      <c r="E1615" s="140">
        <v>0</v>
      </c>
      <c r="F1615" s="140">
        <v>0</v>
      </c>
      <c r="G1615" s="140">
        <v>0</v>
      </c>
      <c r="H1615" s="140">
        <v>0</v>
      </c>
      <c r="I1615" s="140">
        <v>0</v>
      </c>
    </row>
    <row r="1616" spans="1:9" x14ac:dyDescent="0.3">
      <c r="B1616" t="s">
        <v>1130</v>
      </c>
      <c r="C1616">
        <v>41616</v>
      </c>
      <c r="D1616" t="s">
        <v>229</v>
      </c>
      <c r="E1616" s="140">
        <v>0</v>
      </c>
      <c r="F1616" s="140">
        <v>4</v>
      </c>
      <c r="G1616" s="140">
        <v>0</v>
      </c>
      <c r="H1616" s="140">
        <v>4</v>
      </c>
      <c r="I1616" s="140">
        <v>4</v>
      </c>
    </row>
    <row r="1617" spans="1:9" x14ac:dyDescent="0.3">
      <c r="B1617" t="s">
        <v>4379</v>
      </c>
      <c r="C1617">
        <v>41617</v>
      </c>
      <c r="D1617" t="s">
        <v>230</v>
      </c>
      <c r="E1617" s="140">
        <v>0</v>
      </c>
      <c r="F1617" s="140">
        <v>0</v>
      </c>
      <c r="G1617" s="140">
        <v>0</v>
      </c>
      <c r="H1617" s="140">
        <v>0</v>
      </c>
      <c r="I1617" s="140">
        <v>0</v>
      </c>
    </row>
    <row r="1618" spans="1:9" x14ac:dyDescent="0.3">
      <c r="B1618" t="s">
        <v>4380</v>
      </c>
      <c r="C1618">
        <v>41618</v>
      </c>
      <c r="D1618" t="s">
        <v>915</v>
      </c>
      <c r="E1618" s="140">
        <v>0</v>
      </c>
      <c r="F1618" s="140">
        <v>0</v>
      </c>
      <c r="G1618" s="140">
        <v>0</v>
      </c>
      <c r="H1618" s="140">
        <v>0</v>
      </c>
      <c r="I1618" s="140">
        <v>0</v>
      </c>
    </row>
    <row r="1619" spans="1:9" x14ac:dyDescent="0.3">
      <c r="B1619" t="s">
        <v>4381</v>
      </c>
      <c r="C1619">
        <v>41619</v>
      </c>
      <c r="D1619" t="s">
        <v>4382</v>
      </c>
      <c r="E1619" s="140">
        <v>0</v>
      </c>
      <c r="F1619" s="140">
        <v>0</v>
      </c>
      <c r="G1619" s="140">
        <v>0</v>
      </c>
      <c r="H1619" s="140">
        <v>0</v>
      </c>
      <c r="I1619" s="140">
        <v>0</v>
      </c>
    </row>
    <row r="1620" spans="1:9" x14ac:dyDescent="0.3">
      <c r="B1620" t="s">
        <v>916</v>
      </c>
      <c r="C1620">
        <v>416110</v>
      </c>
      <c r="D1620" t="s">
        <v>231</v>
      </c>
      <c r="E1620" s="140">
        <v>0</v>
      </c>
      <c r="F1620" s="140">
        <v>0</v>
      </c>
      <c r="G1620" s="140">
        <v>0</v>
      </c>
      <c r="H1620" s="140">
        <v>0</v>
      </c>
      <c r="I1620" s="140">
        <v>0</v>
      </c>
    </row>
    <row r="1621" spans="1:9" x14ac:dyDescent="0.3">
      <c r="B1621" t="s">
        <v>4383</v>
      </c>
      <c r="C1621">
        <v>416111</v>
      </c>
      <c r="D1621" t="s">
        <v>62</v>
      </c>
      <c r="E1621" s="140">
        <v>0</v>
      </c>
      <c r="F1621" s="140">
        <v>0</v>
      </c>
      <c r="G1621" s="140">
        <v>0</v>
      </c>
      <c r="H1621" s="140">
        <v>0</v>
      </c>
      <c r="I1621" s="140">
        <v>0</v>
      </c>
    </row>
    <row r="1622" spans="1:9" x14ac:dyDescent="0.3">
      <c r="B1622" t="s">
        <v>1131</v>
      </c>
      <c r="C1622">
        <v>416112</v>
      </c>
      <c r="D1622" t="s">
        <v>917</v>
      </c>
      <c r="E1622" s="140">
        <v>0</v>
      </c>
      <c r="F1622" s="140">
        <v>1</v>
      </c>
      <c r="G1622" s="140">
        <v>0</v>
      </c>
      <c r="H1622" s="140">
        <v>1</v>
      </c>
      <c r="I1622" s="140">
        <v>1</v>
      </c>
    </row>
    <row r="1623" spans="1:9" x14ac:dyDescent="0.3">
      <c r="B1623" t="s">
        <v>4384</v>
      </c>
      <c r="C1623">
        <v>416113</v>
      </c>
      <c r="D1623" t="s">
        <v>4385</v>
      </c>
      <c r="E1623" s="140">
        <v>0</v>
      </c>
      <c r="F1623" s="140">
        <v>0</v>
      </c>
      <c r="G1623" s="140">
        <v>0</v>
      </c>
      <c r="H1623" s="140">
        <v>0</v>
      </c>
      <c r="I1623" s="140">
        <v>0</v>
      </c>
    </row>
    <row r="1624" spans="1:9" x14ac:dyDescent="0.3">
      <c r="B1624" t="s">
        <v>1132</v>
      </c>
      <c r="C1624">
        <v>416114</v>
      </c>
      <c r="D1624" t="s">
        <v>232</v>
      </c>
      <c r="E1624" s="140">
        <v>0</v>
      </c>
      <c r="F1624" s="140">
        <v>110</v>
      </c>
      <c r="G1624" s="140">
        <v>0</v>
      </c>
      <c r="H1624" s="140">
        <v>110</v>
      </c>
      <c r="I1624" s="140">
        <v>110</v>
      </c>
    </row>
    <row r="1625" spans="1:9" x14ac:dyDescent="0.3">
      <c r="B1625" t="s">
        <v>1133</v>
      </c>
      <c r="C1625">
        <v>416115</v>
      </c>
      <c r="D1625" t="s">
        <v>257</v>
      </c>
      <c r="E1625" s="140">
        <v>0</v>
      </c>
      <c r="F1625" s="140">
        <v>71</v>
      </c>
      <c r="G1625" s="140">
        <v>0</v>
      </c>
      <c r="H1625" s="140">
        <v>71</v>
      </c>
      <c r="I1625" s="140">
        <v>71</v>
      </c>
    </row>
    <row r="1626" spans="1:9" x14ac:dyDescent="0.3">
      <c r="B1626" t="s">
        <v>1134</v>
      </c>
      <c r="C1626">
        <v>416116</v>
      </c>
      <c r="D1626" t="s">
        <v>233</v>
      </c>
      <c r="E1626" s="140">
        <v>0</v>
      </c>
      <c r="F1626" s="140">
        <v>227</v>
      </c>
      <c r="G1626" s="140">
        <v>0</v>
      </c>
      <c r="H1626" s="140">
        <v>227</v>
      </c>
      <c r="I1626" s="140">
        <v>227</v>
      </c>
    </row>
    <row r="1627" spans="1:9" x14ac:dyDescent="0.3">
      <c r="B1627" t="s">
        <v>4386</v>
      </c>
      <c r="C1627">
        <v>4161998</v>
      </c>
      <c r="D1627" t="s">
        <v>4345</v>
      </c>
      <c r="E1627" s="140">
        <v>0</v>
      </c>
      <c r="F1627" s="140">
        <v>0</v>
      </c>
      <c r="G1627" s="140">
        <v>0</v>
      </c>
      <c r="H1627" s="140">
        <v>0</v>
      </c>
      <c r="I1627" s="140">
        <v>0</v>
      </c>
    </row>
    <row r="1628" spans="1:9" x14ac:dyDescent="0.3">
      <c r="B1628" t="s">
        <v>4387</v>
      </c>
      <c r="C1628">
        <v>4161999</v>
      </c>
      <c r="D1628" t="s">
        <v>4388</v>
      </c>
      <c r="E1628" s="140">
        <v>0</v>
      </c>
      <c r="F1628" s="140">
        <v>0</v>
      </c>
      <c r="G1628" s="140">
        <v>0</v>
      </c>
      <c r="H1628" s="140">
        <v>0</v>
      </c>
      <c r="I1628" s="140">
        <v>0</v>
      </c>
    </row>
    <row r="1629" spans="1:9" s="184" customFormat="1" x14ac:dyDescent="0.3">
      <c r="A1629" s="274"/>
      <c r="B1629" s="228" t="s">
        <v>1135</v>
      </c>
      <c r="C1629" s="228">
        <v>4162</v>
      </c>
      <c r="D1629" s="228" t="s">
        <v>234</v>
      </c>
      <c r="E1629" s="282">
        <v>0</v>
      </c>
      <c r="F1629" s="282">
        <v>686</v>
      </c>
      <c r="G1629" s="282">
        <v>-1</v>
      </c>
      <c r="H1629" s="282">
        <v>686</v>
      </c>
      <c r="I1629" s="282">
        <v>686</v>
      </c>
    </row>
    <row r="1630" spans="1:9" x14ac:dyDescent="0.3">
      <c r="B1630" t="s">
        <v>1136</v>
      </c>
      <c r="C1630">
        <v>41621</v>
      </c>
      <c r="D1630" t="s">
        <v>235</v>
      </c>
      <c r="E1630" s="140">
        <v>0</v>
      </c>
      <c r="F1630" s="140">
        <v>132</v>
      </c>
      <c r="G1630" s="140">
        <v>0</v>
      </c>
      <c r="H1630" s="140">
        <v>132</v>
      </c>
      <c r="I1630" s="140">
        <v>132</v>
      </c>
    </row>
    <row r="1631" spans="1:9" x14ac:dyDescent="0.3">
      <c r="B1631" t="s">
        <v>1728</v>
      </c>
      <c r="C1631">
        <v>41622</v>
      </c>
      <c r="D1631" t="s">
        <v>918</v>
      </c>
      <c r="E1631" s="140">
        <v>0</v>
      </c>
      <c r="F1631" s="140">
        <v>0</v>
      </c>
      <c r="G1631" s="140">
        <v>0</v>
      </c>
      <c r="H1631" s="140">
        <v>0</v>
      </c>
      <c r="I1631" s="140">
        <v>0</v>
      </c>
    </row>
    <row r="1632" spans="1:9" x14ac:dyDescent="0.3">
      <c r="B1632" t="s">
        <v>4389</v>
      </c>
      <c r="C1632">
        <v>41623</v>
      </c>
      <c r="D1632" t="s">
        <v>4390</v>
      </c>
      <c r="E1632" s="140">
        <v>0</v>
      </c>
      <c r="F1632" s="140">
        <v>0</v>
      </c>
      <c r="G1632" s="140">
        <v>0</v>
      </c>
      <c r="H1632" s="140">
        <v>0</v>
      </c>
      <c r="I1632" s="140">
        <v>0</v>
      </c>
    </row>
    <row r="1633" spans="2:9" x14ac:dyDescent="0.3">
      <c r="B1633" t="s">
        <v>1137</v>
      </c>
      <c r="C1633">
        <v>41624</v>
      </c>
      <c r="D1633" t="s">
        <v>919</v>
      </c>
      <c r="E1633" s="140">
        <v>0</v>
      </c>
      <c r="F1633" s="140">
        <v>87</v>
      </c>
      <c r="G1633" s="140">
        <v>0</v>
      </c>
      <c r="H1633" s="140">
        <v>87</v>
      </c>
      <c r="I1633" s="140">
        <v>87</v>
      </c>
    </row>
    <row r="1634" spans="2:9" x14ac:dyDescent="0.3">
      <c r="B1634" t="s">
        <v>1138</v>
      </c>
      <c r="C1634">
        <v>41625</v>
      </c>
      <c r="D1634" t="s">
        <v>236</v>
      </c>
      <c r="E1634" s="140">
        <v>0</v>
      </c>
      <c r="F1634" s="140">
        <v>0</v>
      </c>
      <c r="G1634" s="140">
        <v>0</v>
      </c>
      <c r="H1634" s="140">
        <v>0</v>
      </c>
      <c r="I1634" s="140">
        <v>0</v>
      </c>
    </row>
    <row r="1635" spans="2:9" x14ac:dyDescent="0.3">
      <c r="B1635" t="s">
        <v>1139</v>
      </c>
      <c r="C1635">
        <v>41626</v>
      </c>
      <c r="D1635" t="s">
        <v>237</v>
      </c>
      <c r="E1635" s="140">
        <v>0</v>
      </c>
      <c r="F1635" s="140">
        <v>38</v>
      </c>
      <c r="G1635" s="140">
        <v>-1</v>
      </c>
      <c r="H1635" s="140">
        <v>37</v>
      </c>
      <c r="I1635" s="140">
        <v>37</v>
      </c>
    </row>
    <row r="1636" spans="2:9" x14ac:dyDescent="0.3">
      <c r="B1636" t="s">
        <v>1140</v>
      </c>
      <c r="C1636">
        <v>41627</v>
      </c>
      <c r="D1636" t="s">
        <v>920</v>
      </c>
      <c r="E1636" s="140">
        <v>0</v>
      </c>
      <c r="F1636" s="140">
        <v>367</v>
      </c>
      <c r="G1636" s="140">
        <v>0</v>
      </c>
      <c r="H1636" s="140">
        <v>367</v>
      </c>
      <c r="I1636" s="140">
        <v>367</v>
      </c>
    </row>
    <row r="1637" spans="2:9" x14ac:dyDescent="0.3">
      <c r="B1637" t="s">
        <v>4391</v>
      </c>
      <c r="C1637">
        <v>41628</v>
      </c>
      <c r="D1637" t="s">
        <v>4392</v>
      </c>
      <c r="E1637" s="140">
        <v>0</v>
      </c>
      <c r="F1637" s="140">
        <v>0</v>
      </c>
      <c r="G1637" s="140">
        <v>0</v>
      </c>
      <c r="H1637" s="140">
        <v>0</v>
      </c>
      <c r="I1637" s="140">
        <v>0</v>
      </c>
    </row>
    <row r="1638" spans="2:9" x14ac:dyDescent="0.3">
      <c r="B1638" t="s">
        <v>4393</v>
      </c>
      <c r="C1638">
        <v>41629</v>
      </c>
      <c r="D1638" t="s">
        <v>4394</v>
      </c>
      <c r="E1638" s="140">
        <v>0</v>
      </c>
      <c r="F1638" s="140">
        <v>0</v>
      </c>
      <c r="G1638" s="140">
        <v>0</v>
      </c>
      <c r="H1638" s="140">
        <v>0</v>
      </c>
      <c r="I1638" s="140">
        <v>0</v>
      </c>
    </row>
    <row r="1639" spans="2:9" x14ac:dyDescent="0.3">
      <c r="B1639" t="s">
        <v>1141</v>
      </c>
      <c r="C1639">
        <v>416210</v>
      </c>
      <c r="D1639" t="s">
        <v>238</v>
      </c>
      <c r="E1639" s="140">
        <v>0</v>
      </c>
      <c r="F1639" s="140">
        <v>63</v>
      </c>
      <c r="G1639" s="140">
        <v>0</v>
      </c>
      <c r="H1639" s="140">
        <v>63</v>
      </c>
      <c r="I1639" s="140">
        <v>63</v>
      </c>
    </row>
    <row r="1640" spans="2:9" x14ac:dyDescent="0.3">
      <c r="B1640" t="s">
        <v>4395</v>
      </c>
      <c r="C1640">
        <v>416211</v>
      </c>
      <c r="D1640" t="s">
        <v>262</v>
      </c>
      <c r="E1640" s="140">
        <v>0</v>
      </c>
      <c r="F1640" s="140">
        <v>0</v>
      </c>
      <c r="G1640" s="140">
        <v>0</v>
      </c>
      <c r="H1640" s="140">
        <v>0</v>
      </c>
      <c r="I1640" s="140">
        <v>0</v>
      </c>
    </row>
    <row r="1641" spans="2:9" x14ac:dyDescent="0.3">
      <c r="B1641" t="s">
        <v>4396</v>
      </c>
      <c r="C1641">
        <v>4162998</v>
      </c>
      <c r="D1641" t="s">
        <v>4345</v>
      </c>
      <c r="E1641" s="140">
        <v>0</v>
      </c>
      <c r="F1641" s="140">
        <v>0</v>
      </c>
      <c r="G1641" s="140">
        <v>0</v>
      </c>
      <c r="H1641" s="140">
        <v>0</v>
      </c>
      <c r="I1641" s="140">
        <v>0</v>
      </c>
    </row>
    <row r="1642" spans="2:9" x14ac:dyDescent="0.3">
      <c r="B1642" t="s">
        <v>4397</v>
      </c>
      <c r="C1642">
        <v>4162999</v>
      </c>
      <c r="D1642" t="s">
        <v>4398</v>
      </c>
      <c r="E1642" s="140">
        <v>0</v>
      </c>
      <c r="F1642" s="140">
        <v>0</v>
      </c>
      <c r="G1642" s="140">
        <v>0</v>
      </c>
      <c r="H1642" s="140">
        <v>0</v>
      </c>
      <c r="I1642" s="140">
        <v>0</v>
      </c>
    </row>
    <row r="1643" spans="2:9" x14ac:dyDescent="0.3">
      <c r="B1643" t="s">
        <v>4399</v>
      </c>
      <c r="C1643">
        <v>4163</v>
      </c>
      <c r="D1643" t="s">
        <v>902</v>
      </c>
      <c r="E1643" s="140">
        <v>0</v>
      </c>
      <c r="F1643" s="140">
        <v>0</v>
      </c>
      <c r="G1643" s="140">
        <v>0</v>
      </c>
      <c r="H1643" s="140">
        <v>0</v>
      </c>
      <c r="I1643" s="140">
        <v>0</v>
      </c>
    </row>
    <row r="1644" spans="2:9" x14ac:dyDescent="0.3">
      <c r="B1644" t="s">
        <v>4400</v>
      </c>
      <c r="C1644">
        <v>416031</v>
      </c>
      <c r="D1644" t="s">
        <v>4401</v>
      </c>
      <c r="E1644" s="140">
        <v>0</v>
      </c>
      <c r="F1644" s="140">
        <v>0</v>
      </c>
      <c r="G1644" s="140">
        <v>0</v>
      </c>
      <c r="H1644" s="140">
        <v>0</v>
      </c>
      <c r="I1644" s="140">
        <v>0</v>
      </c>
    </row>
    <row r="1645" spans="2:9" x14ac:dyDescent="0.3">
      <c r="B1645" t="s">
        <v>4402</v>
      </c>
      <c r="C1645">
        <v>417</v>
      </c>
      <c r="D1645" t="s">
        <v>4299</v>
      </c>
      <c r="E1645" s="140">
        <v>0</v>
      </c>
      <c r="F1645" s="140">
        <v>0</v>
      </c>
      <c r="G1645" s="140">
        <v>0</v>
      </c>
      <c r="H1645" s="140">
        <v>0</v>
      </c>
      <c r="I1645" s="140">
        <v>0</v>
      </c>
    </row>
    <row r="1646" spans="2:9" x14ac:dyDescent="0.3">
      <c r="B1646" t="s">
        <v>4403</v>
      </c>
      <c r="C1646">
        <v>41701</v>
      </c>
      <c r="D1646" t="s">
        <v>4404</v>
      </c>
      <c r="E1646" s="140">
        <v>0</v>
      </c>
      <c r="F1646" s="140">
        <v>0</v>
      </c>
      <c r="G1646" s="140">
        <v>0</v>
      </c>
      <c r="H1646" s="140">
        <v>0</v>
      </c>
      <c r="I1646" s="140">
        <v>0</v>
      </c>
    </row>
    <row r="1647" spans="2:9" x14ac:dyDescent="0.3">
      <c r="B1647" t="s">
        <v>4405</v>
      </c>
      <c r="C1647">
        <v>41711</v>
      </c>
      <c r="D1647" t="s">
        <v>4404</v>
      </c>
      <c r="E1647" s="140">
        <v>0</v>
      </c>
      <c r="F1647" s="140">
        <v>0</v>
      </c>
      <c r="G1647" s="140">
        <v>0</v>
      </c>
      <c r="H1647" s="140">
        <v>0</v>
      </c>
      <c r="I1647" s="140">
        <v>0</v>
      </c>
    </row>
    <row r="1648" spans="2:9" x14ac:dyDescent="0.3">
      <c r="B1648" t="s">
        <v>4406</v>
      </c>
      <c r="C1648">
        <v>419</v>
      </c>
      <c r="D1648" t="s">
        <v>4407</v>
      </c>
      <c r="E1648" s="140">
        <v>0</v>
      </c>
      <c r="F1648" s="140">
        <v>0</v>
      </c>
      <c r="G1648" s="140">
        <v>0</v>
      </c>
      <c r="H1648" s="140">
        <v>0</v>
      </c>
      <c r="I1648" s="140">
        <v>0</v>
      </c>
    </row>
    <row r="1649" spans="1:9" x14ac:dyDescent="0.3">
      <c r="B1649" t="s">
        <v>4408</v>
      </c>
      <c r="C1649">
        <v>4191</v>
      </c>
      <c r="D1649" t="s">
        <v>4407</v>
      </c>
      <c r="E1649" s="140">
        <v>0</v>
      </c>
      <c r="F1649" s="140">
        <v>0</v>
      </c>
      <c r="G1649" s="140">
        <v>0</v>
      </c>
      <c r="H1649" s="140">
        <v>0</v>
      </c>
      <c r="I1649" s="140">
        <v>0</v>
      </c>
    </row>
    <row r="1650" spans="1:9" x14ac:dyDescent="0.3">
      <c r="B1650" t="s">
        <v>4409</v>
      </c>
      <c r="C1650">
        <v>41911</v>
      </c>
      <c r="D1650" t="s">
        <v>4407</v>
      </c>
      <c r="E1650" s="140">
        <v>0</v>
      </c>
      <c r="F1650" s="140">
        <v>0</v>
      </c>
      <c r="G1650" s="140">
        <v>0</v>
      </c>
      <c r="H1650" s="140">
        <v>0</v>
      </c>
      <c r="I1650" s="140">
        <v>0</v>
      </c>
    </row>
    <row r="1651" spans="1:9" s="184" customFormat="1" x14ac:dyDescent="0.3">
      <c r="A1651" s="274"/>
      <c r="B1651" s="228" t="s">
        <v>1142</v>
      </c>
      <c r="C1651" s="228">
        <v>42</v>
      </c>
      <c r="D1651" s="228" t="s">
        <v>239</v>
      </c>
      <c r="E1651" s="282">
        <v>0</v>
      </c>
      <c r="F1651" s="282">
        <v>12443</v>
      </c>
      <c r="G1651" s="282">
        <v>-168</v>
      </c>
      <c r="H1651" s="282">
        <v>12275</v>
      </c>
      <c r="I1651" s="282">
        <v>12275</v>
      </c>
    </row>
    <row r="1652" spans="1:9" s="184" customFormat="1" x14ac:dyDescent="0.3">
      <c r="A1652" s="274"/>
      <c r="B1652" s="228" t="s">
        <v>1143</v>
      </c>
      <c r="C1652" s="228">
        <v>421</v>
      </c>
      <c r="D1652" s="228" t="s">
        <v>240</v>
      </c>
      <c r="E1652" s="282">
        <v>0</v>
      </c>
      <c r="F1652" s="282">
        <v>6381</v>
      </c>
      <c r="G1652" s="282">
        <v>-129</v>
      </c>
      <c r="H1652" s="282">
        <v>6252</v>
      </c>
      <c r="I1652" s="282">
        <v>6252</v>
      </c>
    </row>
    <row r="1653" spans="1:9" s="184" customFormat="1" x14ac:dyDescent="0.3">
      <c r="A1653" s="274"/>
      <c r="B1653" s="228" t="s">
        <v>1144</v>
      </c>
      <c r="C1653" s="228">
        <v>4211</v>
      </c>
      <c r="D1653" s="228" t="s">
        <v>31</v>
      </c>
      <c r="E1653" s="282">
        <v>0</v>
      </c>
      <c r="F1653" s="282">
        <v>4501</v>
      </c>
      <c r="G1653" s="282">
        <v>-89</v>
      </c>
      <c r="H1653" s="282">
        <v>4412</v>
      </c>
      <c r="I1653" s="282">
        <v>4412</v>
      </c>
    </row>
    <row r="1654" spans="1:9" x14ac:dyDescent="0.3">
      <c r="B1654" t="s">
        <v>1145</v>
      </c>
      <c r="C1654">
        <v>42111</v>
      </c>
      <c r="D1654" t="s">
        <v>207</v>
      </c>
      <c r="E1654" s="140">
        <v>0</v>
      </c>
      <c r="F1654" s="140">
        <v>3568</v>
      </c>
      <c r="G1654" s="140">
        <v>-4</v>
      </c>
      <c r="H1654" s="140">
        <v>3564</v>
      </c>
      <c r="I1654" s="140">
        <v>3564</v>
      </c>
    </row>
    <row r="1655" spans="1:9" x14ac:dyDescent="0.3">
      <c r="B1655" t="s">
        <v>4410</v>
      </c>
      <c r="C1655">
        <v>42112</v>
      </c>
      <c r="D1655" t="s">
        <v>4271</v>
      </c>
      <c r="E1655" s="140">
        <v>0</v>
      </c>
      <c r="F1655" s="140">
        <v>0</v>
      </c>
      <c r="G1655" s="140">
        <v>0</v>
      </c>
      <c r="H1655" s="140">
        <v>0</v>
      </c>
      <c r="I1655" s="140">
        <v>0</v>
      </c>
    </row>
    <row r="1656" spans="1:9" x14ac:dyDescent="0.3">
      <c r="B1656" t="s">
        <v>4411</v>
      </c>
      <c r="C1656">
        <v>42113</v>
      </c>
      <c r="D1656" t="s">
        <v>4273</v>
      </c>
      <c r="E1656" s="140">
        <v>0</v>
      </c>
      <c r="F1656" s="140">
        <v>0</v>
      </c>
      <c r="G1656" s="140">
        <v>0</v>
      </c>
      <c r="H1656" s="140">
        <v>0</v>
      </c>
      <c r="I1656" s="140">
        <v>0</v>
      </c>
    </row>
    <row r="1657" spans="1:9" x14ac:dyDescent="0.3">
      <c r="B1657" t="s">
        <v>4412</v>
      </c>
      <c r="C1657">
        <v>42114</v>
      </c>
      <c r="D1657" t="s">
        <v>4275</v>
      </c>
      <c r="E1657" s="140">
        <v>0</v>
      </c>
      <c r="F1657" s="140">
        <v>0</v>
      </c>
      <c r="G1657" s="140">
        <v>0</v>
      </c>
      <c r="H1657" s="140">
        <v>0</v>
      </c>
      <c r="I1657" s="140">
        <v>0</v>
      </c>
    </row>
    <row r="1658" spans="1:9" x14ac:dyDescent="0.3">
      <c r="B1658" t="s">
        <v>4413</v>
      </c>
      <c r="C1658">
        <v>42115</v>
      </c>
      <c r="D1658" t="s">
        <v>4277</v>
      </c>
      <c r="E1658" s="140">
        <v>0</v>
      </c>
      <c r="F1658" s="140">
        <v>0</v>
      </c>
      <c r="G1658" s="140">
        <v>0</v>
      </c>
      <c r="H1658" s="140">
        <v>0</v>
      </c>
      <c r="I1658" s="140">
        <v>0</v>
      </c>
    </row>
    <row r="1659" spans="1:9" x14ac:dyDescent="0.3">
      <c r="B1659" t="s">
        <v>4414</v>
      </c>
      <c r="C1659">
        <v>42116</v>
      </c>
      <c r="D1659" t="s">
        <v>4279</v>
      </c>
      <c r="E1659" s="140">
        <v>0</v>
      </c>
      <c r="F1659" s="140">
        <v>0</v>
      </c>
      <c r="G1659" s="140">
        <v>0</v>
      </c>
      <c r="H1659" s="140">
        <v>0</v>
      </c>
      <c r="I1659" s="140">
        <v>0</v>
      </c>
    </row>
    <row r="1660" spans="1:9" x14ac:dyDescent="0.3">
      <c r="B1660" t="s">
        <v>1146</v>
      </c>
      <c r="C1660">
        <v>42117</v>
      </c>
      <c r="D1660" t="s">
        <v>893</v>
      </c>
      <c r="E1660" s="140">
        <v>0</v>
      </c>
      <c r="F1660" s="140">
        <v>483</v>
      </c>
      <c r="G1660" s="140">
        <v>-85</v>
      </c>
      <c r="H1660" s="140">
        <v>398</v>
      </c>
      <c r="I1660" s="140">
        <v>398</v>
      </c>
    </row>
    <row r="1661" spans="1:9" x14ac:dyDescent="0.3">
      <c r="B1661" t="s">
        <v>1147</v>
      </c>
      <c r="C1661">
        <v>42118</v>
      </c>
      <c r="D1661" t="s">
        <v>208</v>
      </c>
      <c r="E1661" s="140">
        <v>0</v>
      </c>
      <c r="F1661" s="140">
        <v>81</v>
      </c>
      <c r="G1661" s="140">
        <v>0</v>
      </c>
      <c r="H1661" s="140">
        <v>81</v>
      </c>
      <c r="I1661" s="140">
        <v>81</v>
      </c>
    </row>
    <row r="1662" spans="1:9" x14ac:dyDescent="0.3">
      <c r="B1662" t="s">
        <v>1148</v>
      </c>
      <c r="C1662">
        <v>42119</v>
      </c>
      <c r="D1662" t="s">
        <v>921</v>
      </c>
      <c r="E1662" s="140">
        <v>0</v>
      </c>
      <c r="F1662" s="140">
        <v>338</v>
      </c>
      <c r="G1662" s="140">
        <v>0</v>
      </c>
      <c r="H1662" s="140">
        <v>338</v>
      </c>
      <c r="I1662" s="140">
        <v>338</v>
      </c>
    </row>
    <row r="1663" spans="1:9" x14ac:dyDescent="0.3">
      <c r="B1663" t="s">
        <v>922</v>
      </c>
      <c r="C1663">
        <v>421110</v>
      </c>
      <c r="D1663" t="s">
        <v>895</v>
      </c>
      <c r="E1663" s="140">
        <v>0</v>
      </c>
      <c r="F1663" s="140">
        <v>23</v>
      </c>
      <c r="G1663" s="140">
        <v>0</v>
      </c>
      <c r="H1663" s="140">
        <v>23</v>
      </c>
      <c r="I1663" s="140">
        <v>23</v>
      </c>
    </row>
    <row r="1664" spans="1:9" x14ac:dyDescent="0.3">
      <c r="B1664" t="s">
        <v>4415</v>
      </c>
      <c r="C1664">
        <v>421112</v>
      </c>
      <c r="D1664" t="s">
        <v>897</v>
      </c>
      <c r="E1664" s="140">
        <v>0</v>
      </c>
      <c r="F1664" s="140">
        <v>8</v>
      </c>
      <c r="G1664" s="140">
        <v>0</v>
      </c>
      <c r="H1664" s="140">
        <v>8</v>
      </c>
      <c r="I1664" s="140">
        <v>8</v>
      </c>
    </row>
    <row r="1665" spans="2:9" x14ac:dyDescent="0.3">
      <c r="B1665" t="s">
        <v>4416</v>
      </c>
      <c r="C1665">
        <v>4211998</v>
      </c>
      <c r="D1665" t="s">
        <v>4417</v>
      </c>
      <c r="E1665" s="140">
        <v>0</v>
      </c>
      <c r="F1665" s="140">
        <v>0</v>
      </c>
      <c r="G1665" s="140">
        <v>0</v>
      </c>
      <c r="H1665" s="140">
        <v>0</v>
      </c>
      <c r="I1665" s="140">
        <v>0</v>
      </c>
    </row>
    <row r="1666" spans="2:9" x14ac:dyDescent="0.3">
      <c r="B1666" t="s">
        <v>4418</v>
      </c>
      <c r="C1666">
        <v>4211999</v>
      </c>
      <c r="D1666" t="s">
        <v>4282</v>
      </c>
      <c r="E1666" s="140">
        <v>0</v>
      </c>
      <c r="F1666" s="140">
        <v>0</v>
      </c>
      <c r="G1666" s="140">
        <v>0</v>
      </c>
      <c r="H1666" s="140">
        <v>0</v>
      </c>
      <c r="I1666" s="140">
        <v>0</v>
      </c>
    </row>
    <row r="1667" spans="2:9" x14ac:dyDescent="0.3">
      <c r="B1667" t="s">
        <v>1149</v>
      </c>
      <c r="C1667">
        <v>4212</v>
      </c>
      <c r="D1667" t="s">
        <v>32</v>
      </c>
      <c r="E1667" s="140">
        <v>0</v>
      </c>
      <c r="F1667" s="140">
        <v>1308</v>
      </c>
      <c r="G1667" s="140">
        <v>-30</v>
      </c>
      <c r="H1667" s="140">
        <v>1278</v>
      </c>
      <c r="I1667" s="140">
        <v>1278</v>
      </c>
    </row>
    <row r="1668" spans="2:9" x14ac:dyDescent="0.3">
      <c r="B1668" t="s">
        <v>1150</v>
      </c>
      <c r="C1668">
        <v>42121</v>
      </c>
      <c r="D1668" t="s">
        <v>166</v>
      </c>
      <c r="E1668" s="140">
        <v>0</v>
      </c>
      <c r="F1668" s="140">
        <v>779</v>
      </c>
      <c r="G1668" s="140">
        <v>-2</v>
      </c>
      <c r="H1668" s="140">
        <v>777</v>
      </c>
      <c r="I1668" s="140">
        <v>777</v>
      </c>
    </row>
    <row r="1669" spans="2:9" x14ac:dyDescent="0.3">
      <c r="B1669" t="s">
        <v>1151</v>
      </c>
      <c r="C1669">
        <v>42122</v>
      </c>
      <c r="D1669" t="s">
        <v>70</v>
      </c>
      <c r="E1669" s="140">
        <v>0</v>
      </c>
      <c r="F1669" s="140">
        <v>295</v>
      </c>
      <c r="G1669" s="140">
        <v>0</v>
      </c>
      <c r="H1669" s="140">
        <v>295</v>
      </c>
      <c r="I1669" s="140">
        <v>295</v>
      </c>
    </row>
    <row r="1670" spans="2:9" x14ac:dyDescent="0.3">
      <c r="B1670" t="s">
        <v>4419</v>
      </c>
      <c r="C1670">
        <v>42123</v>
      </c>
      <c r="D1670" t="s">
        <v>4284</v>
      </c>
      <c r="E1670" s="140">
        <v>0</v>
      </c>
      <c r="F1670" s="140">
        <v>0</v>
      </c>
      <c r="G1670" s="140">
        <v>0</v>
      </c>
      <c r="H1670" s="140">
        <v>0</v>
      </c>
      <c r="I1670" s="140">
        <v>0</v>
      </c>
    </row>
    <row r="1671" spans="2:9" x14ac:dyDescent="0.3">
      <c r="B1671" t="s">
        <v>1152</v>
      </c>
      <c r="C1671">
        <v>42124</v>
      </c>
      <c r="D1671" t="s">
        <v>209</v>
      </c>
      <c r="E1671" s="140">
        <v>0</v>
      </c>
      <c r="F1671" s="140">
        <v>70</v>
      </c>
      <c r="G1671" s="140">
        <v>0</v>
      </c>
      <c r="H1671" s="140">
        <v>70</v>
      </c>
      <c r="I1671" s="140">
        <v>70</v>
      </c>
    </row>
    <row r="1672" spans="2:9" x14ac:dyDescent="0.3">
      <c r="B1672" t="s">
        <v>1153</v>
      </c>
      <c r="C1672">
        <v>42125</v>
      </c>
      <c r="D1672" t="s">
        <v>210</v>
      </c>
      <c r="E1672" s="140">
        <v>0</v>
      </c>
      <c r="F1672" s="140">
        <v>100</v>
      </c>
      <c r="G1672" s="140">
        <v>-20</v>
      </c>
      <c r="H1672" s="140">
        <v>80</v>
      </c>
      <c r="I1672" s="140">
        <v>80</v>
      </c>
    </row>
    <row r="1673" spans="2:9" x14ac:dyDescent="0.3">
      <c r="B1673" t="s">
        <v>1154</v>
      </c>
      <c r="C1673">
        <v>42126</v>
      </c>
      <c r="D1673" t="s">
        <v>211</v>
      </c>
      <c r="E1673" s="140">
        <v>0</v>
      </c>
      <c r="F1673" s="140">
        <v>38</v>
      </c>
      <c r="G1673" s="140">
        <v>-7</v>
      </c>
      <c r="H1673" s="140">
        <v>31</v>
      </c>
      <c r="I1673" s="140">
        <v>31</v>
      </c>
    </row>
    <row r="1674" spans="2:9" x14ac:dyDescent="0.3">
      <c r="B1674" t="s">
        <v>1155</v>
      </c>
      <c r="C1674">
        <v>42127</v>
      </c>
      <c r="D1674" t="s">
        <v>212</v>
      </c>
      <c r="E1674" s="140">
        <v>0</v>
      </c>
      <c r="F1674" s="140">
        <v>27</v>
      </c>
      <c r="G1674" s="140">
        <v>-1</v>
      </c>
      <c r="H1674" s="140">
        <v>25</v>
      </c>
      <c r="I1674" s="140">
        <v>25</v>
      </c>
    </row>
    <row r="1675" spans="2:9" x14ac:dyDescent="0.3">
      <c r="B1675" t="s">
        <v>4420</v>
      </c>
      <c r="C1675">
        <v>4212999</v>
      </c>
      <c r="D1675" t="s">
        <v>4286</v>
      </c>
      <c r="E1675" s="140">
        <v>0</v>
      </c>
      <c r="F1675" s="140">
        <v>0</v>
      </c>
      <c r="G1675" s="140">
        <v>0</v>
      </c>
      <c r="H1675" s="140">
        <v>0</v>
      </c>
      <c r="I1675" s="140">
        <v>0</v>
      </c>
    </row>
    <row r="1676" spans="2:9" x14ac:dyDescent="0.3">
      <c r="B1676" t="s">
        <v>1156</v>
      </c>
      <c r="C1676">
        <v>4213</v>
      </c>
      <c r="D1676" t="s">
        <v>33</v>
      </c>
      <c r="E1676" s="140">
        <v>0</v>
      </c>
      <c r="F1676" s="140">
        <v>572</v>
      </c>
      <c r="G1676" s="140">
        <v>-9</v>
      </c>
      <c r="H1676" s="140">
        <v>562</v>
      </c>
      <c r="I1676" s="140">
        <v>562</v>
      </c>
    </row>
    <row r="1677" spans="2:9" x14ac:dyDescent="0.3">
      <c r="B1677" t="s">
        <v>1157</v>
      </c>
      <c r="C1677">
        <v>42131</v>
      </c>
      <c r="D1677" t="s">
        <v>177</v>
      </c>
      <c r="E1677" s="140">
        <v>0</v>
      </c>
      <c r="F1677" s="140">
        <v>292</v>
      </c>
      <c r="G1677" s="140">
        <v>0</v>
      </c>
      <c r="H1677" s="140">
        <v>292</v>
      </c>
      <c r="I1677" s="140">
        <v>292</v>
      </c>
    </row>
    <row r="1678" spans="2:9" x14ac:dyDescent="0.3">
      <c r="B1678" t="s">
        <v>1158</v>
      </c>
      <c r="C1678">
        <v>42132</v>
      </c>
      <c r="D1678" t="s">
        <v>213</v>
      </c>
      <c r="E1678" s="140">
        <v>0</v>
      </c>
      <c r="F1678" s="140">
        <v>78</v>
      </c>
      <c r="G1678" s="140">
        <v>-1</v>
      </c>
      <c r="H1678" s="140">
        <v>78</v>
      </c>
      <c r="I1678" s="140">
        <v>78</v>
      </c>
    </row>
    <row r="1679" spans="2:9" x14ac:dyDescent="0.3">
      <c r="B1679" t="s">
        <v>923</v>
      </c>
      <c r="C1679">
        <v>42133</v>
      </c>
      <c r="D1679" t="s">
        <v>899</v>
      </c>
      <c r="E1679" s="140">
        <v>0</v>
      </c>
      <c r="F1679" s="140">
        <v>9</v>
      </c>
      <c r="G1679" s="140">
        <v>-7</v>
      </c>
      <c r="H1679" s="140">
        <v>2</v>
      </c>
      <c r="I1679" s="140">
        <v>2</v>
      </c>
    </row>
    <row r="1680" spans="2:9" x14ac:dyDescent="0.3">
      <c r="B1680" t="s">
        <v>1159</v>
      </c>
      <c r="C1680">
        <v>42134</v>
      </c>
      <c r="D1680" t="s">
        <v>241</v>
      </c>
      <c r="E1680" s="140">
        <v>0</v>
      </c>
      <c r="F1680" s="140">
        <v>12</v>
      </c>
      <c r="G1680" s="140">
        <v>0</v>
      </c>
      <c r="H1680" s="140">
        <v>12</v>
      </c>
      <c r="I1680" s="140">
        <v>12</v>
      </c>
    </row>
    <row r="1681" spans="2:9" x14ac:dyDescent="0.3">
      <c r="B1681" t="s">
        <v>1160</v>
      </c>
      <c r="C1681">
        <v>42135</v>
      </c>
      <c r="D1681" t="s">
        <v>214</v>
      </c>
      <c r="E1681" s="140">
        <v>0</v>
      </c>
      <c r="F1681" s="140">
        <v>40</v>
      </c>
      <c r="G1681" s="140">
        <v>0</v>
      </c>
      <c r="H1681" s="140">
        <v>40</v>
      </c>
      <c r="I1681" s="140">
        <v>40</v>
      </c>
    </row>
    <row r="1682" spans="2:9" x14ac:dyDescent="0.3">
      <c r="B1682" t="s">
        <v>1161</v>
      </c>
      <c r="C1682">
        <v>42136</v>
      </c>
      <c r="D1682" t="s">
        <v>900</v>
      </c>
      <c r="E1682" s="140">
        <v>0</v>
      </c>
      <c r="F1682" s="140">
        <v>121</v>
      </c>
      <c r="G1682" s="140">
        <v>0</v>
      </c>
      <c r="H1682" s="140">
        <v>121</v>
      </c>
      <c r="I1682" s="140">
        <v>121</v>
      </c>
    </row>
    <row r="1683" spans="2:9" x14ac:dyDescent="0.3">
      <c r="B1683" t="s">
        <v>4421</v>
      </c>
      <c r="C1683">
        <v>42137</v>
      </c>
      <c r="D1683" t="s">
        <v>4289</v>
      </c>
      <c r="E1683" s="140">
        <v>0</v>
      </c>
      <c r="F1683" s="140">
        <v>0</v>
      </c>
      <c r="G1683" s="140">
        <v>0</v>
      </c>
      <c r="H1683" s="140">
        <v>0</v>
      </c>
      <c r="I1683" s="140">
        <v>0</v>
      </c>
    </row>
    <row r="1684" spans="2:9" x14ac:dyDescent="0.3">
      <c r="B1684" t="s">
        <v>4422</v>
      </c>
      <c r="C1684">
        <v>42138</v>
      </c>
      <c r="D1684" t="s">
        <v>4291</v>
      </c>
      <c r="E1684" s="140">
        <v>0</v>
      </c>
      <c r="F1684" s="140">
        <v>0</v>
      </c>
      <c r="G1684" s="140">
        <v>0</v>
      </c>
      <c r="H1684" s="140">
        <v>0</v>
      </c>
      <c r="I1684" s="140">
        <v>0</v>
      </c>
    </row>
    <row r="1685" spans="2:9" x14ac:dyDescent="0.3">
      <c r="B1685" t="s">
        <v>4423</v>
      </c>
      <c r="C1685">
        <v>42139</v>
      </c>
      <c r="D1685" t="s">
        <v>4293</v>
      </c>
      <c r="E1685" s="140">
        <v>0</v>
      </c>
      <c r="F1685" s="140">
        <v>0</v>
      </c>
      <c r="G1685" s="140">
        <v>0</v>
      </c>
      <c r="H1685" s="140">
        <v>0</v>
      </c>
      <c r="I1685" s="140">
        <v>0</v>
      </c>
    </row>
    <row r="1686" spans="2:9" x14ac:dyDescent="0.3">
      <c r="B1686" t="s">
        <v>1162</v>
      </c>
      <c r="C1686">
        <v>421310</v>
      </c>
      <c r="D1686" t="s">
        <v>215</v>
      </c>
      <c r="E1686" s="140">
        <v>0</v>
      </c>
      <c r="F1686" s="140">
        <v>2</v>
      </c>
      <c r="G1686" s="140">
        <v>-1</v>
      </c>
      <c r="H1686" s="140">
        <v>2</v>
      </c>
      <c r="I1686" s="140">
        <v>2</v>
      </c>
    </row>
    <row r="1687" spans="2:9" x14ac:dyDescent="0.3">
      <c r="B1687" t="s">
        <v>1163</v>
      </c>
      <c r="C1687">
        <v>421311</v>
      </c>
      <c r="D1687" t="s">
        <v>216</v>
      </c>
      <c r="E1687" s="140">
        <v>0</v>
      </c>
      <c r="F1687" s="140">
        <v>17</v>
      </c>
      <c r="G1687" s="140">
        <v>0</v>
      </c>
      <c r="H1687" s="140">
        <v>17</v>
      </c>
      <c r="I1687" s="140">
        <v>17</v>
      </c>
    </row>
    <row r="1688" spans="2:9" x14ac:dyDescent="0.3">
      <c r="B1688" t="s">
        <v>4424</v>
      </c>
      <c r="C1688">
        <v>4213999</v>
      </c>
      <c r="D1688" t="s">
        <v>4295</v>
      </c>
      <c r="E1688" s="140">
        <v>0</v>
      </c>
      <c r="F1688" s="140">
        <v>0</v>
      </c>
      <c r="G1688" s="140">
        <v>0</v>
      </c>
      <c r="H1688" s="140">
        <v>0</v>
      </c>
      <c r="I1688" s="140">
        <v>0</v>
      </c>
    </row>
    <row r="1689" spans="2:9" x14ac:dyDescent="0.3">
      <c r="B1689" t="s">
        <v>4425</v>
      </c>
      <c r="C1689">
        <v>4214</v>
      </c>
      <c r="D1689" t="s">
        <v>4297</v>
      </c>
      <c r="E1689" s="140">
        <v>0</v>
      </c>
      <c r="F1689" s="140">
        <v>0</v>
      </c>
      <c r="G1689" s="140">
        <v>0</v>
      </c>
      <c r="H1689" s="140">
        <v>0</v>
      </c>
      <c r="I1689" s="140">
        <v>0</v>
      </c>
    </row>
    <row r="1690" spans="2:9" x14ac:dyDescent="0.3">
      <c r="B1690" t="s">
        <v>4426</v>
      </c>
      <c r="C1690">
        <v>4214999</v>
      </c>
      <c r="D1690" t="s">
        <v>258</v>
      </c>
      <c r="E1690" s="140">
        <v>0</v>
      </c>
      <c r="F1690" s="140">
        <v>0</v>
      </c>
      <c r="G1690" s="140">
        <v>0</v>
      </c>
      <c r="H1690" s="140">
        <v>0</v>
      </c>
      <c r="I1690" s="140">
        <v>0</v>
      </c>
    </row>
    <row r="1691" spans="2:9" x14ac:dyDescent="0.3">
      <c r="B1691" t="s">
        <v>4427</v>
      </c>
      <c r="C1691">
        <v>4215</v>
      </c>
      <c r="D1691" t="s">
        <v>902</v>
      </c>
      <c r="E1691" s="140">
        <v>0</v>
      </c>
      <c r="F1691" s="140">
        <v>0</v>
      </c>
      <c r="G1691" s="140">
        <v>0</v>
      </c>
      <c r="H1691" s="140">
        <v>0</v>
      </c>
      <c r="I1691" s="140">
        <v>0</v>
      </c>
    </row>
    <row r="1692" spans="2:9" x14ac:dyDescent="0.3">
      <c r="B1692" t="s">
        <v>4428</v>
      </c>
      <c r="C1692">
        <v>42151</v>
      </c>
      <c r="D1692" t="s">
        <v>902</v>
      </c>
      <c r="E1692" s="140">
        <v>0</v>
      </c>
      <c r="F1692" s="140">
        <v>0</v>
      </c>
      <c r="G1692" s="140">
        <v>0</v>
      </c>
      <c r="H1692" s="140">
        <v>0</v>
      </c>
      <c r="I1692" s="140">
        <v>0</v>
      </c>
    </row>
    <row r="1693" spans="2:9" x14ac:dyDescent="0.3">
      <c r="B1693" t="s">
        <v>1164</v>
      </c>
      <c r="C1693">
        <v>422</v>
      </c>
      <c r="D1693" t="s">
        <v>242</v>
      </c>
      <c r="E1693" s="140">
        <v>0</v>
      </c>
      <c r="F1693" s="140">
        <v>12</v>
      </c>
      <c r="G1693" s="140">
        <v>0</v>
      </c>
      <c r="H1693" s="140">
        <v>12</v>
      </c>
      <c r="I1693" s="140">
        <v>12</v>
      </c>
    </row>
    <row r="1694" spans="2:9" x14ac:dyDescent="0.3">
      <c r="B1694" t="s">
        <v>1165</v>
      </c>
      <c r="C1694">
        <v>4221</v>
      </c>
      <c r="D1694" t="s">
        <v>243</v>
      </c>
      <c r="E1694" s="140">
        <v>0</v>
      </c>
      <c r="F1694" s="140">
        <v>12</v>
      </c>
      <c r="G1694" s="140">
        <v>0</v>
      </c>
      <c r="H1694" s="140">
        <v>12</v>
      </c>
      <c r="I1694" s="140">
        <v>12</v>
      </c>
    </row>
    <row r="1695" spans="2:9" x14ac:dyDescent="0.3">
      <c r="B1695" t="s">
        <v>1166</v>
      </c>
      <c r="C1695">
        <v>42211</v>
      </c>
      <c r="D1695" t="s">
        <v>217</v>
      </c>
      <c r="E1695" s="140">
        <v>0</v>
      </c>
      <c r="F1695" s="140">
        <v>12</v>
      </c>
      <c r="G1695" s="140">
        <v>0</v>
      </c>
      <c r="H1695" s="140">
        <v>12</v>
      </c>
      <c r="I1695" s="140">
        <v>12</v>
      </c>
    </row>
    <row r="1696" spans="2:9" x14ac:dyDescent="0.3">
      <c r="B1696" t="s">
        <v>4429</v>
      </c>
      <c r="C1696">
        <v>42212</v>
      </c>
      <c r="D1696" t="s">
        <v>4310</v>
      </c>
      <c r="E1696" s="140">
        <v>0</v>
      </c>
      <c r="F1696" s="140">
        <v>0</v>
      </c>
      <c r="G1696" s="140">
        <v>0</v>
      </c>
      <c r="H1696" s="140">
        <v>0</v>
      </c>
      <c r="I1696" s="140">
        <v>0</v>
      </c>
    </row>
    <row r="1697" spans="2:9" x14ac:dyDescent="0.3">
      <c r="B1697" t="s">
        <v>1167</v>
      </c>
      <c r="C1697">
        <v>42213</v>
      </c>
      <c r="D1697" t="s">
        <v>244</v>
      </c>
      <c r="E1697" s="140">
        <v>0</v>
      </c>
      <c r="F1697" s="140">
        <v>0</v>
      </c>
      <c r="G1697" s="140">
        <v>0</v>
      </c>
      <c r="H1697" s="140">
        <v>0</v>
      </c>
      <c r="I1697" s="140">
        <v>0</v>
      </c>
    </row>
    <row r="1698" spans="2:9" x14ac:dyDescent="0.3">
      <c r="B1698" t="s">
        <v>4430</v>
      </c>
      <c r="C1698">
        <v>42214</v>
      </c>
      <c r="D1698" t="s">
        <v>4315</v>
      </c>
      <c r="E1698" s="140">
        <v>0</v>
      </c>
      <c r="F1698" s="140">
        <v>0</v>
      </c>
      <c r="G1698" s="140">
        <v>0</v>
      </c>
      <c r="H1698" s="140">
        <v>0</v>
      </c>
      <c r="I1698" s="140">
        <v>0</v>
      </c>
    </row>
    <row r="1699" spans="2:9" x14ac:dyDescent="0.3">
      <c r="B1699" t="s">
        <v>4431</v>
      </c>
      <c r="C1699">
        <v>422198</v>
      </c>
      <c r="D1699" t="s">
        <v>4432</v>
      </c>
      <c r="E1699" s="140">
        <v>0</v>
      </c>
      <c r="F1699" s="140">
        <v>0</v>
      </c>
      <c r="G1699" s="140">
        <v>0</v>
      </c>
      <c r="H1699" s="140">
        <v>0</v>
      </c>
      <c r="I1699" s="140">
        <v>0</v>
      </c>
    </row>
    <row r="1700" spans="2:9" x14ac:dyDescent="0.3">
      <c r="B1700" t="s">
        <v>4433</v>
      </c>
      <c r="C1700">
        <v>4222</v>
      </c>
      <c r="D1700" t="s">
        <v>4434</v>
      </c>
      <c r="E1700" s="140">
        <v>0</v>
      </c>
      <c r="F1700" s="140">
        <v>0</v>
      </c>
      <c r="G1700" s="140">
        <v>0</v>
      </c>
      <c r="H1700" s="140">
        <v>0</v>
      </c>
      <c r="I1700" s="140">
        <v>0</v>
      </c>
    </row>
    <row r="1701" spans="2:9" x14ac:dyDescent="0.3">
      <c r="B1701" t="s">
        <v>4435</v>
      </c>
      <c r="C1701">
        <v>42221</v>
      </c>
      <c r="D1701" t="s">
        <v>244</v>
      </c>
      <c r="E1701" s="140">
        <v>0</v>
      </c>
      <c r="F1701" s="140">
        <v>0</v>
      </c>
      <c r="G1701" s="140">
        <v>0</v>
      </c>
      <c r="H1701" s="140">
        <v>0</v>
      </c>
      <c r="I1701" s="140">
        <v>0</v>
      </c>
    </row>
    <row r="1702" spans="2:9" x14ac:dyDescent="0.3">
      <c r="B1702" t="s">
        <v>4436</v>
      </c>
      <c r="C1702">
        <v>4222999</v>
      </c>
      <c r="D1702" t="s">
        <v>4320</v>
      </c>
      <c r="E1702" s="140">
        <v>0</v>
      </c>
      <c r="F1702" s="140">
        <v>0</v>
      </c>
      <c r="G1702" s="140">
        <v>0</v>
      </c>
      <c r="H1702" s="140">
        <v>0</v>
      </c>
      <c r="I1702" s="140">
        <v>0</v>
      </c>
    </row>
    <row r="1703" spans="2:9" x14ac:dyDescent="0.3">
      <c r="B1703" t="s">
        <v>1168</v>
      </c>
      <c r="C1703">
        <v>423</v>
      </c>
      <c r="D1703" t="s">
        <v>245</v>
      </c>
      <c r="E1703" s="140">
        <v>0</v>
      </c>
      <c r="F1703" s="140">
        <v>1131</v>
      </c>
      <c r="G1703" s="140">
        <v>-19</v>
      </c>
      <c r="H1703" s="140">
        <v>1112</v>
      </c>
      <c r="I1703" s="140">
        <v>1112</v>
      </c>
    </row>
    <row r="1704" spans="2:9" x14ac:dyDescent="0.3">
      <c r="B1704" t="s">
        <v>1169</v>
      </c>
      <c r="C1704">
        <v>4231</v>
      </c>
      <c r="D1704" t="s">
        <v>245</v>
      </c>
      <c r="E1704" s="140">
        <v>0</v>
      </c>
      <c r="F1704" s="140">
        <v>1131</v>
      </c>
      <c r="G1704" s="140">
        <v>-19</v>
      </c>
      <c r="H1704" s="140">
        <v>1112</v>
      </c>
      <c r="I1704" s="140">
        <v>1112</v>
      </c>
    </row>
    <row r="1705" spans="2:9" x14ac:dyDescent="0.3">
      <c r="B1705" t="s">
        <v>1170</v>
      </c>
      <c r="C1705">
        <v>42311</v>
      </c>
      <c r="D1705" t="s">
        <v>218</v>
      </c>
      <c r="E1705" s="140">
        <v>0</v>
      </c>
      <c r="F1705" s="140">
        <v>0</v>
      </c>
      <c r="G1705" s="140">
        <v>0</v>
      </c>
      <c r="H1705" s="140">
        <v>0</v>
      </c>
      <c r="I1705" s="140">
        <v>0</v>
      </c>
    </row>
    <row r="1706" spans="2:9" x14ac:dyDescent="0.3">
      <c r="B1706" t="s">
        <v>1171</v>
      </c>
      <c r="C1706">
        <v>42312</v>
      </c>
      <c r="D1706" t="s">
        <v>906</v>
      </c>
      <c r="E1706" s="140">
        <v>0</v>
      </c>
      <c r="F1706" s="140">
        <v>365</v>
      </c>
      <c r="G1706" s="140">
        <v>0</v>
      </c>
      <c r="H1706" s="140">
        <v>365</v>
      </c>
      <c r="I1706" s="140">
        <v>365</v>
      </c>
    </row>
    <row r="1707" spans="2:9" x14ac:dyDescent="0.3">
      <c r="B1707" t="s">
        <v>1172</v>
      </c>
      <c r="C1707">
        <v>42313</v>
      </c>
      <c r="D1707" t="s">
        <v>219</v>
      </c>
      <c r="E1707" s="140">
        <v>0</v>
      </c>
      <c r="F1707" s="140">
        <v>82</v>
      </c>
      <c r="G1707" s="140">
        <v>0</v>
      </c>
      <c r="H1707" s="140">
        <v>82</v>
      </c>
      <c r="I1707" s="140">
        <v>82</v>
      </c>
    </row>
    <row r="1708" spans="2:9" x14ac:dyDescent="0.3">
      <c r="B1708" t="s">
        <v>4437</v>
      </c>
      <c r="C1708">
        <v>42314</v>
      </c>
      <c r="D1708" t="s">
        <v>4326</v>
      </c>
      <c r="E1708" s="140">
        <v>0</v>
      </c>
      <c r="F1708" s="140">
        <v>0</v>
      </c>
      <c r="G1708" s="140">
        <v>0</v>
      </c>
      <c r="H1708" s="140">
        <v>0</v>
      </c>
      <c r="I1708" s="140">
        <v>0</v>
      </c>
    </row>
    <row r="1709" spans="2:9" x14ac:dyDescent="0.3">
      <c r="B1709" t="s">
        <v>1173</v>
      </c>
      <c r="C1709">
        <v>42315</v>
      </c>
      <c r="D1709" t="s">
        <v>220</v>
      </c>
      <c r="E1709" s="140">
        <v>0</v>
      </c>
      <c r="F1709" s="140">
        <v>142</v>
      </c>
      <c r="G1709" s="140">
        <v>-3</v>
      </c>
      <c r="H1709" s="140">
        <v>140</v>
      </c>
      <c r="I1709" s="140">
        <v>140</v>
      </c>
    </row>
    <row r="1710" spans="2:9" x14ac:dyDescent="0.3">
      <c r="B1710" t="s">
        <v>1174</v>
      </c>
      <c r="C1710">
        <v>42316</v>
      </c>
      <c r="D1710" t="s">
        <v>907</v>
      </c>
      <c r="E1710" s="140">
        <v>0</v>
      </c>
      <c r="F1710" s="140">
        <v>18</v>
      </c>
      <c r="G1710" s="140">
        <v>0</v>
      </c>
      <c r="H1710" s="140">
        <v>18</v>
      </c>
      <c r="I1710" s="140">
        <v>18</v>
      </c>
    </row>
    <row r="1711" spans="2:9" x14ac:dyDescent="0.3">
      <c r="B1711" t="s">
        <v>1175</v>
      </c>
      <c r="C1711">
        <v>42317</v>
      </c>
      <c r="D1711" t="s">
        <v>924</v>
      </c>
      <c r="E1711" s="140">
        <v>0</v>
      </c>
      <c r="F1711" s="140">
        <v>60</v>
      </c>
      <c r="G1711" s="140">
        <v>-14</v>
      </c>
      <c r="H1711" s="140">
        <v>46</v>
      </c>
      <c r="I1711" s="140">
        <v>46</v>
      </c>
    </row>
    <row r="1712" spans="2:9" x14ac:dyDescent="0.3">
      <c r="B1712" t="s">
        <v>1176</v>
      </c>
      <c r="C1712">
        <v>42318</v>
      </c>
      <c r="D1712" t="s">
        <v>246</v>
      </c>
      <c r="E1712" s="140">
        <v>0</v>
      </c>
      <c r="F1712" s="140">
        <v>53</v>
      </c>
      <c r="G1712" s="140">
        <v>0</v>
      </c>
      <c r="H1712" s="140">
        <v>53</v>
      </c>
      <c r="I1712" s="140">
        <v>53</v>
      </c>
    </row>
    <row r="1713" spans="2:9" x14ac:dyDescent="0.3">
      <c r="B1713" t="s">
        <v>4438</v>
      </c>
      <c r="C1713">
        <v>42319</v>
      </c>
      <c r="D1713" t="s">
        <v>4333</v>
      </c>
      <c r="E1713" s="140">
        <v>0</v>
      </c>
      <c r="F1713" s="140">
        <v>0</v>
      </c>
      <c r="G1713" s="140">
        <v>0</v>
      </c>
      <c r="H1713" s="140">
        <v>0</v>
      </c>
      <c r="I1713" s="140">
        <v>0</v>
      </c>
    </row>
    <row r="1714" spans="2:9" x14ac:dyDescent="0.3">
      <c r="B1714" t="s">
        <v>4439</v>
      </c>
      <c r="C1714">
        <v>423110</v>
      </c>
      <c r="D1714" t="s">
        <v>4335</v>
      </c>
      <c r="E1714" s="140">
        <v>0</v>
      </c>
      <c r="F1714" s="140">
        <v>0</v>
      </c>
      <c r="G1714" s="140">
        <v>0</v>
      </c>
      <c r="H1714" s="140">
        <v>0</v>
      </c>
      <c r="I1714" s="140">
        <v>0</v>
      </c>
    </row>
    <row r="1715" spans="2:9" x14ac:dyDescent="0.3">
      <c r="B1715" t="s">
        <v>925</v>
      </c>
      <c r="C1715">
        <v>423111</v>
      </c>
      <c r="D1715" t="s">
        <v>926</v>
      </c>
      <c r="E1715" s="140">
        <v>0</v>
      </c>
      <c r="F1715" s="140">
        <v>0</v>
      </c>
      <c r="G1715" s="140">
        <v>0</v>
      </c>
      <c r="H1715" s="140">
        <v>0</v>
      </c>
      <c r="I1715" s="140">
        <v>0</v>
      </c>
    </row>
    <row r="1716" spans="2:9" x14ac:dyDescent="0.3">
      <c r="B1716" t="s">
        <v>4440</v>
      </c>
      <c r="C1716">
        <v>423112</v>
      </c>
      <c r="D1716" t="s">
        <v>4441</v>
      </c>
      <c r="E1716" s="140">
        <v>0</v>
      </c>
      <c r="F1716" s="140">
        <v>0</v>
      </c>
      <c r="G1716" s="140">
        <v>0</v>
      </c>
      <c r="H1716" s="140">
        <v>0</v>
      </c>
      <c r="I1716" s="140">
        <v>0</v>
      </c>
    </row>
    <row r="1717" spans="2:9" x14ac:dyDescent="0.3">
      <c r="B1717" t="s">
        <v>927</v>
      </c>
      <c r="C1717">
        <v>423113</v>
      </c>
      <c r="D1717" t="s">
        <v>908</v>
      </c>
      <c r="E1717" s="140">
        <v>0</v>
      </c>
      <c r="F1717" s="140">
        <v>54</v>
      </c>
      <c r="G1717" s="140">
        <v>0</v>
      </c>
      <c r="H1717" s="140">
        <v>54</v>
      </c>
      <c r="I1717" s="140">
        <v>54</v>
      </c>
    </row>
    <row r="1718" spans="2:9" x14ac:dyDescent="0.3">
      <c r="B1718" t="s">
        <v>1177</v>
      </c>
      <c r="C1718">
        <v>423114</v>
      </c>
      <c r="D1718" t="s">
        <v>928</v>
      </c>
      <c r="E1718" s="140">
        <v>0</v>
      </c>
      <c r="F1718" s="140">
        <v>253</v>
      </c>
      <c r="G1718" s="140">
        <v>-2</v>
      </c>
      <c r="H1718" s="140">
        <v>251</v>
      </c>
      <c r="I1718" s="140">
        <v>251</v>
      </c>
    </row>
    <row r="1719" spans="2:9" x14ac:dyDescent="0.3">
      <c r="B1719" t="s">
        <v>4442</v>
      </c>
      <c r="C1719">
        <v>423115</v>
      </c>
      <c r="D1719" t="s">
        <v>4443</v>
      </c>
      <c r="E1719" s="140">
        <v>0</v>
      </c>
      <c r="F1719" s="140">
        <v>18</v>
      </c>
      <c r="G1719" s="140">
        <v>0</v>
      </c>
      <c r="H1719" s="140">
        <v>18</v>
      </c>
      <c r="I1719" s="140">
        <v>18</v>
      </c>
    </row>
    <row r="1720" spans="2:9" x14ac:dyDescent="0.3">
      <c r="B1720" t="s">
        <v>1178</v>
      </c>
      <c r="C1720">
        <v>423117</v>
      </c>
      <c r="D1720" t="s">
        <v>247</v>
      </c>
      <c r="E1720" s="140">
        <v>0</v>
      </c>
      <c r="F1720" s="140">
        <v>75</v>
      </c>
      <c r="G1720" s="140">
        <v>0</v>
      </c>
      <c r="H1720" s="140">
        <v>75</v>
      </c>
      <c r="I1720" s="140">
        <v>75</v>
      </c>
    </row>
    <row r="1721" spans="2:9" x14ac:dyDescent="0.3">
      <c r="B1721" t="s">
        <v>4444</v>
      </c>
      <c r="C1721">
        <v>423118</v>
      </c>
      <c r="D1721" t="s">
        <v>4445</v>
      </c>
      <c r="E1721" s="140">
        <v>0</v>
      </c>
      <c r="F1721" s="140">
        <v>0</v>
      </c>
      <c r="G1721" s="140">
        <v>0</v>
      </c>
      <c r="H1721" s="140">
        <v>0</v>
      </c>
      <c r="I1721" s="140">
        <v>0</v>
      </c>
    </row>
    <row r="1722" spans="2:9" x14ac:dyDescent="0.3">
      <c r="B1722" t="s">
        <v>1179</v>
      </c>
      <c r="C1722">
        <v>423119</v>
      </c>
      <c r="D1722" t="s">
        <v>248</v>
      </c>
      <c r="E1722" s="140">
        <v>0</v>
      </c>
      <c r="F1722" s="140">
        <v>10</v>
      </c>
      <c r="G1722" s="140">
        <v>0</v>
      </c>
      <c r="H1722" s="140">
        <v>10</v>
      </c>
      <c r="I1722" s="140">
        <v>10</v>
      </c>
    </row>
    <row r="1723" spans="2:9" x14ac:dyDescent="0.3">
      <c r="B1723" t="s">
        <v>4446</v>
      </c>
      <c r="C1723">
        <v>4231997</v>
      </c>
      <c r="D1723" t="s">
        <v>222</v>
      </c>
      <c r="E1723" s="140">
        <v>0</v>
      </c>
      <c r="F1723" s="140">
        <v>0</v>
      </c>
      <c r="G1723" s="140">
        <v>0</v>
      </c>
      <c r="H1723" s="140">
        <v>0</v>
      </c>
      <c r="I1723" s="140">
        <v>0</v>
      </c>
    </row>
    <row r="1724" spans="2:9" x14ac:dyDescent="0.3">
      <c r="B1724" t="s">
        <v>4447</v>
      </c>
      <c r="C1724">
        <v>4231998</v>
      </c>
      <c r="D1724" t="s">
        <v>4448</v>
      </c>
      <c r="E1724" s="140">
        <v>0</v>
      </c>
      <c r="F1724" s="140">
        <v>0</v>
      </c>
      <c r="G1724" s="140">
        <v>0</v>
      </c>
      <c r="H1724" s="140">
        <v>0</v>
      </c>
      <c r="I1724" s="140">
        <v>0</v>
      </c>
    </row>
    <row r="1725" spans="2:9" x14ac:dyDescent="0.3">
      <c r="B1725" t="s">
        <v>4449</v>
      </c>
      <c r="C1725">
        <v>4231999</v>
      </c>
      <c r="D1725" t="s">
        <v>4347</v>
      </c>
      <c r="E1725" s="140">
        <v>0</v>
      </c>
      <c r="F1725" s="140">
        <v>0</v>
      </c>
      <c r="G1725" s="140">
        <v>0</v>
      </c>
      <c r="H1725" s="140">
        <v>0</v>
      </c>
      <c r="I1725" s="140">
        <v>0</v>
      </c>
    </row>
    <row r="1726" spans="2:9" x14ac:dyDescent="0.3">
      <c r="B1726" t="s">
        <v>4450</v>
      </c>
      <c r="C1726">
        <v>4232</v>
      </c>
      <c r="D1726" t="s">
        <v>4451</v>
      </c>
      <c r="E1726" s="140">
        <v>0</v>
      </c>
      <c r="F1726" s="140">
        <v>0</v>
      </c>
      <c r="G1726" s="140">
        <v>0</v>
      </c>
      <c r="H1726" s="140">
        <v>0</v>
      </c>
      <c r="I1726" s="140">
        <v>0</v>
      </c>
    </row>
    <row r="1727" spans="2:9" x14ac:dyDescent="0.3">
      <c r="B1727" t="s">
        <v>4452</v>
      </c>
      <c r="C1727">
        <v>42321</v>
      </c>
      <c r="D1727" t="s">
        <v>218</v>
      </c>
      <c r="E1727" s="140">
        <v>0</v>
      </c>
      <c r="F1727" s="140">
        <v>0</v>
      </c>
      <c r="G1727" s="140">
        <v>0</v>
      </c>
      <c r="H1727" s="140">
        <v>0</v>
      </c>
      <c r="I1727" s="140">
        <v>0</v>
      </c>
    </row>
    <row r="1728" spans="2:9" x14ac:dyDescent="0.3">
      <c r="B1728" t="s">
        <v>4453</v>
      </c>
      <c r="C1728">
        <v>42322</v>
      </c>
      <c r="D1728" t="s">
        <v>928</v>
      </c>
      <c r="E1728" s="140">
        <v>0</v>
      </c>
      <c r="F1728" s="140">
        <v>0</v>
      </c>
      <c r="G1728" s="140">
        <v>0</v>
      </c>
      <c r="H1728" s="140">
        <v>0</v>
      </c>
      <c r="I1728" s="140">
        <v>0</v>
      </c>
    </row>
    <row r="1729" spans="2:9" x14ac:dyDescent="0.3">
      <c r="B1729" t="s">
        <v>4454</v>
      </c>
      <c r="C1729">
        <v>4232999</v>
      </c>
      <c r="D1729" t="s">
        <v>4347</v>
      </c>
      <c r="E1729" s="140">
        <v>0</v>
      </c>
      <c r="F1729" s="140">
        <v>0</v>
      </c>
      <c r="G1729" s="140">
        <v>0</v>
      </c>
      <c r="H1729" s="140">
        <v>0</v>
      </c>
      <c r="I1729" s="140">
        <v>0</v>
      </c>
    </row>
    <row r="1730" spans="2:9" x14ac:dyDescent="0.3">
      <c r="B1730" t="s">
        <v>1180</v>
      </c>
      <c r="C1730">
        <v>424</v>
      </c>
      <c r="D1730" t="s">
        <v>249</v>
      </c>
      <c r="E1730" s="140">
        <v>0</v>
      </c>
      <c r="F1730" s="140">
        <v>225</v>
      </c>
      <c r="G1730" s="140">
        <v>0</v>
      </c>
      <c r="H1730" s="140">
        <v>225</v>
      </c>
      <c r="I1730" s="140">
        <v>225</v>
      </c>
    </row>
    <row r="1731" spans="2:9" x14ac:dyDescent="0.3">
      <c r="B1731" t="s">
        <v>1181</v>
      </c>
      <c r="C1731">
        <v>4241</v>
      </c>
      <c r="D1731" t="s">
        <v>929</v>
      </c>
      <c r="E1731" s="140">
        <v>0</v>
      </c>
      <c r="F1731" s="140">
        <v>225</v>
      </c>
      <c r="G1731" s="140">
        <v>0</v>
      </c>
      <c r="H1731" s="140">
        <v>225</v>
      </c>
      <c r="I1731" s="140">
        <v>225</v>
      </c>
    </row>
    <row r="1732" spans="2:9" x14ac:dyDescent="0.3">
      <c r="B1732" t="s">
        <v>4455</v>
      </c>
      <c r="C1732">
        <v>42411</v>
      </c>
      <c r="D1732" t="s">
        <v>4354</v>
      </c>
      <c r="E1732" s="140">
        <v>0</v>
      </c>
      <c r="F1732" s="140">
        <v>0</v>
      </c>
      <c r="G1732" s="140">
        <v>0</v>
      </c>
      <c r="H1732" s="140">
        <v>0</v>
      </c>
      <c r="I1732" s="140">
        <v>0</v>
      </c>
    </row>
    <row r="1733" spans="2:9" x14ac:dyDescent="0.3">
      <c r="B1733" t="s">
        <v>1182</v>
      </c>
      <c r="C1733">
        <v>42412</v>
      </c>
      <c r="D1733" t="s">
        <v>224</v>
      </c>
      <c r="E1733" s="140">
        <v>0</v>
      </c>
      <c r="F1733" s="140">
        <v>32</v>
      </c>
      <c r="G1733" s="140">
        <v>0</v>
      </c>
      <c r="H1733" s="140">
        <v>32</v>
      </c>
      <c r="I1733" s="140">
        <v>32</v>
      </c>
    </row>
    <row r="1734" spans="2:9" x14ac:dyDescent="0.3">
      <c r="B1734" t="s">
        <v>4456</v>
      </c>
      <c r="C1734">
        <v>42413</v>
      </c>
      <c r="D1734" t="s">
        <v>4356</v>
      </c>
      <c r="E1734" s="140">
        <v>0</v>
      </c>
      <c r="F1734" s="140">
        <v>0</v>
      </c>
      <c r="G1734" s="140">
        <v>0</v>
      </c>
      <c r="H1734" s="140">
        <v>0</v>
      </c>
      <c r="I1734" s="140">
        <v>0</v>
      </c>
    </row>
    <row r="1735" spans="2:9" x14ac:dyDescent="0.3">
      <c r="B1735" t="s">
        <v>4457</v>
      </c>
      <c r="C1735">
        <v>42414</v>
      </c>
      <c r="D1735" t="s">
        <v>4358</v>
      </c>
      <c r="E1735" s="140">
        <v>0</v>
      </c>
      <c r="F1735" s="140">
        <v>0</v>
      </c>
      <c r="G1735" s="140">
        <v>0</v>
      </c>
      <c r="H1735" s="140">
        <v>0</v>
      </c>
      <c r="I1735" s="140">
        <v>0</v>
      </c>
    </row>
    <row r="1736" spans="2:9" x14ac:dyDescent="0.3">
      <c r="B1736" t="s">
        <v>1183</v>
      </c>
      <c r="C1736">
        <v>42415</v>
      </c>
      <c r="D1736" t="s">
        <v>250</v>
      </c>
      <c r="E1736" s="140">
        <v>0</v>
      </c>
      <c r="F1736" s="140">
        <v>33</v>
      </c>
      <c r="G1736" s="140">
        <v>0</v>
      </c>
      <c r="H1736" s="140">
        <v>33</v>
      </c>
      <c r="I1736" s="140">
        <v>33</v>
      </c>
    </row>
    <row r="1737" spans="2:9" x14ac:dyDescent="0.3">
      <c r="B1737" t="s">
        <v>1184</v>
      </c>
      <c r="C1737">
        <v>42416</v>
      </c>
      <c r="D1737" t="s">
        <v>251</v>
      </c>
      <c r="E1737" s="140">
        <v>0</v>
      </c>
      <c r="F1737" s="140">
        <v>153</v>
      </c>
      <c r="G1737" s="140">
        <v>0</v>
      </c>
      <c r="H1737" s="140">
        <v>153</v>
      </c>
      <c r="I1737" s="140">
        <v>153</v>
      </c>
    </row>
    <row r="1738" spans="2:9" x14ac:dyDescent="0.3">
      <c r="B1738" t="s">
        <v>4458</v>
      </c>
      <c r="C1738">
        <v>42417</v>
      </c>
      <c r="D1738" t="s">
        <v>4459</v>
      </c>
      <c r="E1738" s="140">
        <v>0</v>
      </c>
      <c r="F1738" s="140">
        <v>0</v>
      </c>
      <c r="G1738" s="140">
        <v>0</v>
      </c>
      <c r="H1738" s="140">
        <v>0</v>
      </c>
      <c r="I1738" s="140">
        <v>0</v>
      </c>
    </row>
    <row r="1739" spans="2:9" x14ac:dyDescent="0.3">
      <c r="B1739" t="s">
        <v>930</v>
      </c>
      <c r="C1739">
        <v>42418</v>
      </c>
      <c r="D1739" t="s">
        <v>910</v>
      </c>
      <c r="E1739" s="140">
        <v>0</v>
      </c>
      <c r="F1739" s="140">
        <v>0</v>
      </c>
      <c r="G1739" s="140">
        <v>0</v>
      </c>
      <c r="H1739" s="140">
        <v>0</v>
      </c>
      <c r="I1739" s="140">
        <v>0</v>
      </c>
    </row>
    <row r="1740" spans="2:9" x14ac:dyDescent="0.3">
      <c r="B1740" t="s">
        <v>4460</v>
      </c>
      <c r="C1740">
        <v>42419</v>
      </c>
      <c r="D1740" t="s">
        <v>4461</v>
      </c>
      <c r="E1740" s="140">
        <v>0</v>
      </c>
      <c r="F1740" s="140">
        <v>0</v>
      </c>
      <c r="G1740" s="140">
        <v>0</v>
      </c>
      <c r="H1740" s="140">
        <v>0</v>
      </c>
      <c r="I1740" s="140">
        <v>0</v>
      </c>
    </row>
    <row r="1741" spans="2:9" x14ac:dyDescent="0.3">
      <c r="B1741" t="s">
        <v>4462</v>
      </c>
      <c r="C1741">
        <v>424110</v>
      </c>
      <c r="D1741" t="s">
        <v>4463</v>
      </c>
      <c r="E1741" s="140">
        <v>0</v>
      </c>
      <c r="F1741" s="140">
        <v>0</v>
      </c>
      <c r="G1741" s="140">
        <v>0</v>
      </c>
      <c r="H1741" s="140">
        <v>0</v>
      </c>
      <c r="I1741" s="140">
        <v>0</v>
      </c>
    </row>
    <row r="1742" spans="2:9" x14ac:dyDescent="0.3">
      <c r="B1742" t="s">
        <v>4464</v>
      </c>
      <c r="C1742">
        <v>424111</v>
      </c>
      <c r="D1742" t="s">
        <v>4465</v>
      </c>
      <c r="E1742" s="140">
        <v>0</v>
      </c>
      <c r="F1742" s="140">
        <v>0</v>
      </c>
      <c r="G1742" s="140">
        <v>0</v>
      </c>
      <c r="H1742" s="140">
        <v>0</v>
      </c>
      <c r="I1742" s="140">
        <v>0</v>
      </c>
    </row>
    <row r="1743" spans="2:9" x14ac:dyDescent="0.3">
      <c r="B1743" t="s">
        <v>1185</v>
      </c>
      <c r="C1743">
        <v>424112</v>
      </c>
      <c r="D1743" t="s">
        <v>225</v>
      </c>
      <c r="E1743" s="140">
        <v>0</v>
      </c>
      <c r="F1743" s="140">
        <v>6</v>
      </c>
      <c r="G1743" s="140">
        <v>0</v>
      </c>
      <c r="H1743" s="140">
        <v>6</v>
      </c>
      <c r="I1743" s="140">
        <v>6</v>
      </c>
    </row>
    <row r="1744" spans="2:9" x14ac:dyDescent="0.3">
      <c r="B1744" t="s">
        <v>4466</v>
      </c>
      <c r="C1744">
        <v>424113</v>
      </c>
      <c r="D1744" t="s">
        <v>4467</v>
      </c>
      <c r="E1744" s="140">
        <v>0</v>
      </c>
      <c r="F1744" s="140">
        <v>0</v>
      </c>
      <c r="G1744" s="140">
        <v>0</v>
      </c>
      <c r="H1744" s="140">
        <v>0</v>
      </c>
      <c r="I1744" s="140">
        <v>0</v>
      </c>
    </row>
    <row r="1745" spans="2:9" x14ac:dyDescent="0.3">
      <c r="B1745" t="s">
        <v>1186</v>
      </c>
      <c r="C1745">
        <v>425</v>
      </c>
      <c r="D1745" t="s">
        <v>252</v>
      </c>
      <c r="E1745" s="140">
        <v>0</v>
      </c>
      <c r="F1745" s="140">
        <v>1063</v>
      </c>
      <c r="G1745" s="140">
        <v>0</v>
      </c>
      <c r="H1745" s="140">
        <v>1063</v>
      </c>
      <c r="I1745" s="140">
        <v>1063</v>
      </c>
    </row>
    <row r="1746" spans="2:9" x14ac:dyDescent="0.3">
      <c r="B1746" t="s">
        <v>1187</v>
      </c>
      <c r="C1746">
        <v>4251</v>
      </c>
      <c r="D1746" t="s">
        <v>253</v>
      </c>
      <c r="E1746" s="140">
        <v>0</v>
      </c>
      <c r="F1746" s="140">
        <v>765</v>
      </c>
      <c r="G1746" s="140">
        <v>0</v>
      </c>
      <c r="H1746" s="140">
        <v>765</v>
      </c>
      <c r="I1746" s="140">
        <v>765</v>
      </c>
    </row>
    <row r="1747" spans="2:9" x14ac:dyDescent="0.3">
      <c r="B1747" t="s">
        <v>1188</v>
      </c>
      <c r="C1747">
        <v>42511</v>
      </c>
      <c r="D1747" t="s">
        <v>254</v>
      </c>
      <c r="E1747" s="140">
        <v>0</v>
      </c>
      <c r="F1747" s="140">
        <v>765</v>
      </c>
      <c r="G1747" s="140">
        <v>0</v>
      </c>
      <c r="H1747" s="140">
        <v>765</v>
      </c>
      <c r="I1747" s="140">
        <v>765</v>
      </c>
    </row>
    <row r="1748" spans="2:9" x14ac:dyDescent="0.3">
      <c r="B1748" t="s">
        <v>4468</v>
      </c>
      <c r="C1748">
        <v>42512</v>
      </c>
      <c r="D1748" t="s">
        <v>4469</v>
      </c>
      <c r="E1748" s="140">
        <v>0</v>
      </c>
      <c r="F1748" s="140">
        <v>0</v>
      </c>
      <c r="G1748" s="140">
        <v>0</v>
      </c>
      <c r="H1748" s="140">
        <v>0</v>
      </c>
      <c r="I1748" s="140">
        <v>0</v>
      </c>
    </row>
    <row r="1749" spans="2:9" x14ac:dyDescent="0.3">
      <c r="B1749" t="s">
        <v>1189</v>
      </c>
      <c r="C1749">
        <v>4252</v>
      </c>
      <c r="D1749" t="s">
        <v>931</v>
      </c>
      <c r="E1749" s="140">
        <v>0</v>
      </c>
      <c r="F1749" s="140">
        <v>298</v>
      </c>
      <c r="G1749" s="140">
        <v>0</v>
      </c>
      <c r="H1749" s="140">
        <v>298</v>
      </c>
      <c r="I1749" s="140">
        <v>298</v>
      </c>
    </row>
    <row r="1750" spans="2:9" x14ac:dyDescent="0.3">
      <c r="B1750" t="s">
        <v>1190</v>
      </c>
      <c r="C1750">
        <v>42521</v>
      </c>
      <c r="D1750" t="s">
        <v>255</v>
      </c>
      <c r="E1750" s="140">
        <v>0</v>
      </c>
      <c r="F1750" s="140">
        <v>298</v>
      </c>
      <c r="G1750" s="140">
        <v>0</v>
      </c>
      <c r="H1750" s="140">
        <v>298</v>
      </c>
      <c r="I1750" s="140">
        <v>298</v>
      </c>
    </row>
    <row r="1751" spans="2:9" x14ac:dyDescent="0.3">
      <c r="B1751" t="s">
        <v>4470</v>
      </c>
      <c r="C1751">
        <v>42522</v>
      </c>
      <c r="D1751" t="s">
        <v>4471</v>
      </c>
      <c r="E1751" s="140">
        <v>0</v>
      </c>
      <c r="F1751" s="140">
        <v>0</v>
      </c>
      <c r="G1751" s="140">
        <v>0</v>
      </c>
      <c r="H1751" s="140">
        <v>0</v>
      </c>
      <c r="I1751" s="140">
        <v>0</v>
      </c>
    </row>
    <row r="1752" spans="2:9" x14ac:dyDescent="0.3">
      <c r="B1752" t="s">
        <v>4472</v>
      </c>
      <c r="C1752">
        <v>4253</v>
      </c>
      <c r="D1752" t="s">
        <v>4473</v>
      </c>
      <c r="E1752" s="140">
        <v>0</v>
      </c>
      <c r="F1752" s="140">
        <v>0</v>
      </c>
      <c r="G1752" s="140">
        <v>0</v>
      </c>
      <c r="H1752" s="140">
        <v>0</v>
      </c>
      <c r="I1752" s="140">
        <v>0</v>
      </c>
    </row>
    <row r="1753" spans="2:9" x14ac:dyDescent="0.3">
      <c r="B1753" t="s">
        <v>4474</v>
      </c>
      <c r="C1753">
        <v>42531</v>
      </c>
      <c r="D1753" t="s">
        <v>4475</v>
      </c>
      <c r="E1753" s="140">
        <v>0</v>
      </c>
      <c r="F1753" s="140">
        <v>0</v>
      </c>
      <c r="G1753" s="140">
        <v>0</v>
      </c>
      <c r="H1753" s="140">
        <v>0</v>
      </c>
      <c r="I1753" s="140">
        <v>0</v>
      </c>
    </row>
    <row r="1754" spans="2:9" x14ac:dyDescent="0.3">
      <c r="B1754" t="s">
        <v>4476</v>
      </c>
      <c r="C1754">
        <v>42532</v>
      </c>
      <c r="D1754" t="s">
        <v>4477</v>
      </c>
      <c r="E1754" s="140">
        <v>0</v>
      </c>
      <c r="F1754" s="140">
        <v>0</v>
      </c>
      <c r="G1754" s="140">
        <v>0</v>
      </c>
      <c r="H1754" s="140">
        <v>0</v>
      </c>
      <c r="I1754" s="140">
        <v>0</v>
      </c>
    </row>
    <row r="1755" spans="2:9" x14ac:dyDescent="0.3">
      <c r="B1755" t="s">
        <v>1191</v>
      </c>
      <c r="C1755">
        <v>4254</v>
      </c>
      <c r="D1755" t="s">
        <v>932</v>
      </c>
      <c r="E1755" s="140">
        <v>0</v>
      </c>
      <c r="F1755" s="140">
        <v>0</v>
      </c>
      <c r="G1755" s="140">
        <v>0</v>
      </c>
      <c r="H1755" s="140">
        <v>0</v>
      </c>
      <c r="I1755" s="140">
        <v>0</v>
      </c>
    </row>
    <row r="1756" spans="2:9" x14ac:dyDescent="0.3">
      <c r="B1756" t="s">
        <v>1192</v>
      </c>
      <c r="C1756">
        <v>42541</v>
      </c>
      <c r="D1756" t="s">
        <v>911</v>
      </c>
      <c r="E1756" s="140">
        <v>0</v>
      </c>
      <c r="F1756" s="140">
        <v>0</v>
      </c>
      <c r="G1756" s="140">
        <v>0</v>
      </c>
      <c r="H1756" s="140">
        <v>0</v>
      </c>
      <c r="I1756" s="140">
        <v>0</v>
      </c>
    </row>
    <row r="1757" spans="2:9" x14ac:dyDescent="0.3">
      <c r="B1757" t="s">
        <v>4478</v>
      </c>
      <c r="C1757">
        <v>42542</v>
      </c>
      <c r="D1757" t="s">
        <v>4370</v>
      </c>
      <c r="E1757" s="140">
        <v>0</v>
      </c>
      <c r="F1757" s="140">
        <v>0</v>
      </c>
      <c r="G1757" s="140">
        <v>0</v>
      </c>
      <c r="H1757" s="140">
        <v>0</v>
      </c>
      <c r="I1757" s="140">
        <v>0</v>
      </c>
    </row>
    <row r="1758" spans="2:9" x14ac:dyDescent="0.3">
      <c r="B1758" t="s">
        <v>933</v>
      </c>
      <c r="C1758">
        <v>42543</v>
      </c>
      <c r="D1758" t="s">
        <v>912</v>
      </c>
      <c r="E1758" s="140">
        <v>0</v>
      </c>
      <c r="F1758" s="140">
        <v>0</v>
      </c>
      <c r="G1758" s="140">
        <v>0</v>
      </c>
      <c r="H1758" s="140">
        <v>0</v>
      </c>
      <c r="I1758" s="140">
        <v>0</v>
      </c>
    </row>
    <row r="1759" spans="2:9" x14ac:dyDescent="0.3">
      <c r="B1759" t="s">
        <v>1283</v>
      </c>
      <c r="C1759">
        <v>42544</v>
      </c>
      <c r="D1759" t="s">
        <v>1284</v>
      </c>
      <c r="E1759" s="140">
        <v>0</v>
      </c>
      <c r="F1759" s="140">
        <v>0</v>
      </c>
      <c r="G1759" s="140">
        <v>0</v>
      </c>
      <c r="H1759" s="140">
        <v>0</v>
      </c>
      <c r="I1759" s="140">
        <v>0</v>
      </c>
    </row>
    <row r="1760" spans="2:9" x14ac:dyDescent="0.3">
      <c r="B1760" t="s">
        <v>4479</v>
      </c>
      <c r="C1760">
        <v>4254999</v>
      </c>
      <c r="D1760" t="s">
        <v>4373</v>
      </c>
      <c r="E1760" s="140">
        <v>0</v>
      </c>
      <c r="F1760" s="140">
        <v>0</v>
      </c>
      <c r="G1760" s="140">
        <v>0</v>
      </c>
      <c r="H1760" s="140">
        <v>0</v>
      </c>
      <c r="I1760" s="140">
        <v>0</v>
      </c>
    </row>
    <row r="1761" spans="2:9" x14ac:dyDescent="0.3">
      <c r="B1761" t="s">
        <v>1193</v>
      </c>
      <c r="C1761">
        <v>426</v>
      </c>
      <c r="D1761" t="s">
        <v>256</v>
      </c>
      <c r="E1761" s="140">
        <v>0</v>
      </c>
      <c r="F1761" s="140">
        <v>2110</v>
      </c>
      <c r="G1761" s="140">
        <v>-21</v>
      </c>
      <c r="H1761" s="140">
        <v>2089</v>
      </c>
      <c r="I1761" s="140">
        <v>2089</v>
      </c>
    </row>
    <row r="1762" spans="2:9" x14ac:dyDescent="0.3">
      <c r="B1762" t="s">
        <v>1194</v>
      </c>
      <c r="C1762">
        <v>4261</v>
      </c>
      <c r="D1762" t="s">
        <v>934</v>
      </c>
      <c r="E1762" s="140">
        <v>0</v>
      </c>
      <c r="F1762" s="140">
        <v>1310</v>
      </c>
      <c r="G1762" s="140">
        <v>0</v>
      </c>
      <c r="H1762" s="140">
        <v>1309</v>
      </c>
      <c r="I1762" s="140">
        <v>1309</v>
      </c>
    </row>
    <row r="1763" spans="2:9" x14ac:dyDescent="0.3">
      <c r="B1763" t="s">
        <v>1195</v>
      </c>
      <c r="C1763">
        <v>42611</v>
      </c>
      <c r="D1763" t="s">
        <v>227</v>
      </c>
      <c r="E1763" s="140">
        <v>0</v>
      </c>
      <c r="F1763" s="140">
        <v>243</v>
      </c>
      <c r="G1763" s="140">
        <v>0</v>
      </c>
      <c r="H1763" s="140">
        <v>243</v>
      </c>
      <c r="I1763" s="140">
        <v>243</v>
      </c>
    </row>
    <row r="1764" spans="2:9" x14ac:dyDescent="0.3">
      <c r="B1764" t="s">
        <v>4480</v>
      </c>
      <c r="C1764">
        <v>42612</v>
      </c>
      <c r="D1764" t="s">
        <v>4375</v>
      </c>
      <c r="E1764" s="140">
        <v>0</v>
      </c>
      <c r="F1764" s="140">
        <v>0</v>
      </c>
      <c r="G1764" s="140">
        <v>0</v>
      </c>
      <c r="H1764" s="140">
        <v>0</v>
      </c>
      <c r="I1764" s="140">
        <v>0</v>
      </c>
    </row>
    <row r="1765" spans="2:9" x14ac:dyDescent="0.3">
      <c r="B1765" t="s">
        <v>1196</v>
      </c>
      <c r="C1765">
        <v>42613</v>
      </c>
      <c r="D1765" t="s">
        <v>914</v>
      </c>
      <c r="E1765" s="140">
        <v>0</v>
      </c>
      <c r="F1765" s="140">
        <v>11</v>
      </c>
      <c r="G1765" s="140">
        <v>0</v>
      </c>
      <c r="H1765" s="140">
        <v>11</v>
      </c>
      <c r="I1765" s="140">
        <v>11</v>
      </c>
    </row>
    <row r="1766" spans="2:9" x14ac:dyDescent="0.3">
      <c r="B1766" t="s">
        <v>1197</v>
      </c>
      <c r="C1766">
        <v>42614</v>
      </c>
      <c r="D1766" t="s">
        <v>228</v>
      </c>
      <c r="E1766" s="140">
        <v>0</v>
      </c>
      <c r="F1766" s="140">
        <v>70</v>
      </c>
      <c r="G1766" s="140">
        <v>0</v>
      </c>
      <c r="H1766" s="140">
        <v>70</v>
      </c>
      <c r="I1766" s="140">
        <v>70</v>
      </c>
    </row>
    <row r="1767" spans="2:9" x14ac:dyDescent="0.3">
      <c r="B1767" t="s">
        <v>4481</v>
      </c>
      <c r="C1767">
        <v>42615</v>
      </c>
      <c r="D1767" t="s">
        <v>4378</v>
      </c>
      <c r="E1767" s="140">
        <v>0</v>
      </c>
      <c r="F1767" s="140">
        <v>0</v>
      </c>
      <c r="G1767" s="140">
        <v>0</v>
      </c>
      <c r="H1767" s="140">
        <v>0</v>
      </c>
      <c r="I1767" s="140">
        <v>0</v>
      </c>
    </row>
    <row r="1768" spans="2:9" x14ac:dyDescent="0.3">
      <c r="B1768" t="s">
        <v>1198</v>
      </c>
      <c r="C1768">
        <v>42616</v>
      </c>
      <c r="D1768" t="s">
        <v>229</v>
      </c>
      <c r="E1768" s="140">
        <v>0</v>
      </c>
      <c r="F1768" s="140">
        <v>2</v>
      </c>
      <c r="G1768" s="140">
        <v>0</v>
      </c>
      <c r="H1768" s="140">
        <v>2</v>
      </c>
      <c r="I1768" s="140">
        <v>2</v>
      </c>
    </row>
    <row r="1769" spans="2:9" x14ac:dyDescent="0.3">
      <c r="B1769" t="s">
        <v>1199</v>
      </c>
      <c r="C1769">
        <v>42617</v>
      </c>
      <c r="D1769" t="s">
        <v>230</v>
      </c>
      <c r="E1769" s="140">
        <v>0</v>
      </c>
      <c r="F1769" s="140">
        <v>0</v>
      </c>
      <c r="G1769" s="140">
        <v>0</v>
      </c>
      <c r="H1769" s="140">
        <v>0</v>
      </c>
      <c r="I1769" s="140">
        <v>0</v>
      </c>
    </row>
    <row r="1770" spans="2:9" x14ac:dyDescent="0.3">
      <c r="B1770" t="s">
        <v>1200</v>
      </c>
      <c r="C1770">
        <v>42618</v>
      </c>
      <c r="D1770" t="s">
        <v>915</v>
      </c>
      <c r="E1770" s="140">
        <v>0</v>
      </c>
      <c r="F1770" s="140">
        <v>0</v>
      </c>
      <c r="G1770" s="140">
        <v>0</v>
      </c>
      <c r="H1770" s="140">
        <v>0</v>
      </c>
      <c r="I1770" s="140">
        <v>0</v>
      </c>
    </row>
    <row r="1771" spans="2:9" x14ac:dyDescent="0.3">
      <c r="B1771" t="s">
        <v>4482</v>
      </c>
      <c r="C1771">
        <v>42619</v>
      </c>
      <c r="D1771" t="s">
        <v>4382</v>
      </c>
      <c r="E1771" s="140">
        <v>0</v>
      </c>
      <c r="F1771" s="140">
        <v>0</v>
      </c>
      <c r="G1771" s="140">
        <v>0</v>
      </c>
      <c r="H1771" s="140">
        <v>0</v>
      </c>
      <c r="I1771" s="140">
        <v>0</v>
      </c>
    </row>
    <row r="1772" spans="2:9" x14ac:dyDescent="0.3">
      <c r="B1772" t="s">
        <v>4483</v>
      </c>
      <c r="C1772">
        <v>426110</v>
      </c>
      <c r="D1772" t="s">
        <v>231</v>
      </c>
      <c r="E1772" s="140">
        <v>0</v>
      </c>
      <c r="F1772" s="140">
        <v>0</v>
      </c>
      <c r="G1772" s="140">
        <v>0</v>
      </c>
      <c r="H1772" s="140">
        <v>0</v>
      </c>
      <c r="I1772" s="140">
        <v>0</v>
      </c>
    </row>
    <row r="1773" spans="2:9" x14ac:dyDescent="0.3">
      <c r="B1773" t="s">
        <v>1201</v>
      </c>
      <c r="C1773">
        <v>426111</v>
      </c>
      <c r="D1773" t="s">
        <v>62</v>
      </c>
      <c r="E1773" s="140">
        <v>0</v>
      </c>
      <c r="F1773" s="140">
        <v>807</v>
      </c>
      <c r="G1773" s="140">
        <v>0</v>
      </c>
      <c r="H1773" s="140">
        <v>807</v>
      </c>
      <c r="I1773" s="140">
        <v>807</v>
      </c>
    </row>
    <row r="1774" spans="2:9" x14ac:dyDescent="0.3">
      <c r="B1774" t="s">
        <v>935</v>
      </c>
      <c r="C1774">
        <v>426112</v>
      </c>
      <c r="D1774" t="s">
        <v>917</v>
      </c>
      <c r="E1774" s="140">
        <v>0</v>
      </c>
      <c r="F1774" s="140">
        <v>8</v>
      </c>
      <c r="G1774" s="140">
        <v>0</v>
      </c>
      <c r="H1774" s="140">
        <v>8</v>
      </c>
      <c r="I1774" s="140">
        <v>8</v>
      </c>
    </row>
    <row r="1775" spans="2:9" x14ac:dyDescent="0.3">
      <c r="B1775" t="s">
        <v>4484</v>
      </c>
      <c r="C1775">
        <v>426113</v>
      </c>
      <c r="D1775" t="s">
        <v>4385</v>
      </c>
      <c r="E1775" s="140">
        <v>0</v>
      </c>
      <c r="F1775" s="140">
        <v>0</v>
      </c>
      <c r="G1775" s="140">
        <v>0</v>
      </c>
      <c r="H1775" s="140">
        <v>0</v>
      </c>
      <c r="I1775" s="140">
        <v>0</v>
      </c>
    </row>
    <row r="1776" spans="2:9" x14ac:dyDescent="0.3">
      <c r="B1776" t="s">
        <v>1202</v>
      </c>
      <c r="C1776">
        <v>426114</v>
      </c>
      <c r="D1776" t="s">
        <v>232</v>
      </c>
      <c r="E1776" s="140">
        <v>0</v>
      </c>
      <c r="F1776" s="140">
        <v>46</v>
      </c>
      <c r="G1776" s="140">
        <v>0</v>
      </c>
      <c r="H1776" s="140">
        <v>46</v>
      </c>
      <c r="I1776" s="140">
        <v>46</v>
      </c>
    </row>
    <row r="1777" spans="2:9" x14ac:dyDescent="0.3">
      <c r="B1777" t="s">
        <v>4485</v>
      </c>
      <c r="C1777">
        <v>426115</v>
      </c>
      <c r="D1777" t="s">
        <v>4486</v>
      </c>
      <c r="E1777" s="140">
        <v>0</v>
      </c>
      <c r="F1777" s="140">
        <v>0</v>
      </c>
      <c r="G1777" s="140">
        <v>0</v>
      </c>
      <c r="H1777" s="140">
        <v>0</v>
      </c>
      <c r="I1777" s="140">
        <v>0</v>
      </c>
    </row>
    <row r="1778" spans="2:9" x14ac:dyDescent="0.3">
      <c r="B1778" t="s">
        <v>1203</v>
      </c>
      <c r="C1778">
        <v>426116</v>
      </c>
      <c r="D1778" t="s">
        <v>233</v>
      </c>
      <c r="E1778" s="140">
        <v>0</v>
      </c>
      <c r="F1778" s="140">
        <v>94</v>
      </c>
      <c r="G1778" s="140">
        <v>0</v>
      </c>
      <c r="H1778" s="140">
        <v>94</v>
      </c>
      <c r="I1778" s="140">
        <v>94</v>
      </c>
    </row>
    <row r="1779" spans="2:9" x14ac:dyDescent="0.3">
      <c r="B1779" t="s">
        <v>1204</v>
      </c>
      <c r="C1779">
        <v>426117</v>
      </c>
      <c r="D1779" t="s">
        <v>257</v>
      </c>
      <c r="E1779" s="140">
        <v>0</v>
      </c>
      <c r="F1779" s="140">
        <v>29</v>
      </c>
      <c r="G1779" s="140">
        <v>0</v>
      </c>
      <c r="H1779" s="140">
        <v>29</v>
      </c>
      <c r="I1779" s="140">
        <v>29</v>
      </c>
    </row>
    <row r="1780" spans="2:9" x14ac:dyDescent="0.3">
      <c r="B1780" t="s">
        <v>4487</v>
      </c>
      <c r="C1780">
        <v>4261998</v>
      </c>
      <c r="D1780" t="s">
        <v>4488</v>
      </c>
      <c r="E1780" s="140">
        <v>0</v>
      </c>
      <c r="F1780" s="140">
        <v>0</v>
      </c>
      <c r="G1780" s="140">
        <v>0</v>
      </c>
      <c r="H1780" s="140">
        <v>0</v>
      </c>
      <c r="I1780" s="140">
        <v>0</v>
      </c>
    </row>
    <row r="1781" spans="2:9" x14ac:dyDescent="0.3">
      <c r="B1781" t="s">
        <v>4489</v>
      </c>
      <c r="C1781">
        <v>4261999</v>
      </c>
      <c r="D1781" t="s">
        <v>258</v>
      </c>
      <c r="E1781" s="140">
        <v>0</v>
      </c>
      <c r="F1781" s="140">
        <v>0</v>
      </c>
      <c r="G1781" s="140">
        <v>0</v>
      </c>
      <c r="H1781" s="140">
        <v>0</v>
      </c>
      <c r="I1781" s="140">
        <v>0</v>
      </c>
    </row>
    <row r="1782" spans="2:9" x14ac:dyDescent="0.3">
      <c r="B1782" t="s">
        <v>1205</v>
      </c>
      <c r="C1782">
        <v>4262</v>
      </c>
      <c r="D1782" t="s">
        <v>259</v>
      </c>
      <c r="E1782" s="140">
        <v>0</v>
      </c>
      <c r="F1782" s="140">
        <v>800</v>
      </c>
      <c r="G1782" s="140">
        <v>-20</v>
      </c>
      <c r="H1782" s="140">
        <v>780</v>
      </c>
      <c r="I1782" s="140">
        <v>780</v>
      </c>
    </row>
    <row r="1783" spans="2:9" x14ac:dyDescent="0.3">
      <c r="B1783" t="s">
        <v>1206</v>
      </c>
      <c r="C1783">
        <v>42621</v>
      </c>
      <c r="D1783" t="s">
        <v>235</v>
      </c>
      <c r="E1783" s="140">
        <v>0</v>
      </c>
      <c r="F1783" s="140">
        <v>146</v>
      </c>
      <c r="G1783" s="140">
        <v>0</v>
      </c>
      <c r="H1783" s="140">
        <v>146</v>
      </c>
      <c r="I1783" s="140">
        <v>146</v>
      </c>
    </row>
    <row r="1784" spans="2:9" x14ac:dyDescent="0.3">
      <c r="B1784" t="s">
        <v>1207</v>
      </c>
      <c r="C1784">
        <v>42622</v>
      </c>
      <c r="D1784" t="s">
        <v>918</v>
      </c>
      <c r="E1784" s="140">
        <v>0</v>
      </c>
      <c r="F1784" s="140">
        <v>83</v>
      </c>
      <c r="G1784" s="140">
        <v>0</v>
      </c>
      <c r="H1784" s="140">
        <v>83</v>
      </c>
      <c r="I1784" s="140">
        <v>83</v>
      </c>
    </row>
    <row r="1785" spans="2:9" x14ac:dyDescent="0.3">
      <c r="B1785" t="s">
        <v>4490</v>
      </c>
      <c r="C1785">
        <v>42623</v>
      </c>
      <c r="D1785" t="s">
        <v>4491</v>
      </c>
      <c r="E1785" s="140">
        <v>0</v>
      </c>
      <c r="F1785" s="140">
        <v>0</v>
      </c>
      <c r="G1785" s="140">
        <v>0</v>
      </c>
      <c r="H1785" s="140">
        <v>0</v>
      </c>
      <c r="I1785" s="140">
        <v>0</v>
      </c>
    </row>
    <row r="1786" spans="2:9" x14ac:dyDescent="0.3">
      <c r="B1786" t="s">
        <v>1208</v>
      </c>
      <c r="C1786">
        <v>42624</v>
      </c>
      <c r="D1786" t="s">
        <v>936</v>
      </c>
      <c r="E1786" s="140">
        <v>0</v>
      </c>
      <c r="F1786" s="140">
        <v>52</v>
      </c>
      <c r="G1786" s="140">
        <v>0</v>
      </c>
      <c r="H1786" s="140">
        <v>52</v>
      </c>
      <c r="I1786" s="140">
        <v>52</v>
      </c>
    </row>
    <row r="1787" spans="2:9" x14ac:dyDescent="0.3">
      <c r="B1787" t="s">
        <v>1209</v>
      </c>
      <c r="C1787">
        <v>42625</v>
      </c>
      <c r="D1787" t="s">
        <v>937</v>
      </c>
      <c r="E1787" s="140">
        <v>0</v>
      </c>
      <c r="F1787" s="140">
        <v>0</v>
      </c>
      <c r="G1787" s="140">
        <v>0</v>
      </c>
      <c r="H1787" s="140">
        <v>0</v>
      </c>
      <c r="I1787" s="140">
        <v>0</v>
      </c>
    </row>
    <row r="1788" spans="2:9" x14ac:dyDescent="0.3">
      <c r="B1788" t="s">
        <v>1210</v>
      </c>
      <c r="C1788">
        <v>42626</v>
      </c>
      <c r="D1788" t="s">
        <v>260</v>
      </c>
      <c r="E1788" s="140">
        <v>0</v>
      </c>
      <c r="F1788" s="140">
        <v>36</v>
      </c>
      <c r="G1788" s="140">
        <v>-15</v>
      </c>
      <c r="H1788" s="140">
        <v>21</v>
      </c>
      <c r="I1788" s="140">
        <v>21</v>
      </c>
    </row>
    <row r="1789" spans="2:9" x14ac:dyDescent="0.3">
      <c r="B1789" t="s">
        <v>1211</v>
      </c>
      <c r="C1789">
        <v>42627</v>
      </c>
      <c r="D1789" t="s">
        <v>938</v>
      </c>
      <c r="E1789" s="140">
        <v>0</v>
      </c>
      <c r="F1789" s="140">
        <v>392</v>
      </c>
      <c r="G1789" s="140">
        <v>0</v>
      </c>
      <c r="H1789" s="140">
        <v>392</v>
      </c>
      <c r="I1789" s="140">
        <v>392</v>
      </c>
    </row>
    <row r="1790" spans="2:9" x14ac:dyDescent="0.3">
      <c r="B1790" t="s">
        <v>4492</v>
      </c>
      <c r="C1790">
        <v>42628</v>
      </c>
      <c r="D1790" t="s">
        <v>4392</v>
      </c>
      <c r="E1790" s="140">
        <v>0</v>
      </c>
      <c r="F1790" s="140">
        <v>0</v>
      </c>
      <c r="G1790" s="140">
        <v>0</v>
      </c>
      <c r="H1790" s="140">
        <v>0</v>
      </c>
      <c r="I1790" s="140">
        <v>0</v>
      </c>
    </row>
    <row r="1791" spans="2:9" x14ac:dyDescent="0.3">
      <c r="B1791" t="s">
        <v>1212</v>
      </c>
      <c r="C1791">
        <v>42629</v>
      </c>
      <c r="D1791" t="s">
        <v>261</v>
      </c>
      <c r="E1791" s="140">
        <v>0</v>
      </c>
      <c r="F1791" s="140">
        <v>7</v>
      </c>
      <c r="G1791" s="140">
        <v>0</v>
      </c>
      <c r="H1791" s="140">
        <v>7</v>
      </c>
      <c r="I1791" s="140">
        <v>7</v>
      </c>
    </row>
    <row r="1792" spans="2:9" x14ac:dyDescent="0.3">
      <c r="B1792" t="s">
        <v>1213</v>
      </c>
      <c r="C1792">
        <v>426210</v>
      </c>
      <c r="D1792" t="s">
        <v>939</v>
      </c>
      <c r="E1792" s="140">
        <v>0</v>
      </c>
      <c r="F1792" s="140">
        <v>0</v>
      </c>
      <c r="G1792" s="140">
        <v>0</v>
      </c>
      <c r="H1792" s="140">
        <v>0</v>
      </c>
      <c r="I1792" s="140">
        <v>0</v>
      </c>
    </row>
    <row r="1793" spans="2:9" x14ac:dyDescent="0.3">
      <c r="B1793" t="s">
        <v>4493</v>
      </c>
      <c r="C1793">
        <v>426211</v>
      </c>
      <c r="D1793" t="s">
        <v>4494</v>
      </c>
      <c r="E1793" s="140">
        <v>0</v>
      </c>
      <c r="F1793" s="140">
        <v>0</v>
      </c>
      <c r="G1793" s="140">
        <v>0</v>
      </c>
      <c r="H1793" s="140">
        <v>0</v>
      </c>
      <c r="I1793" s="140">
        <v>0</v>
      </c>
    </row>
    <row r="1794" spans="2:9" x14ac:dyDescent="0.3">
      <c r="B1794" t="s">
        <v>4495</v>
      </c>
      <c r="C1794">
        <v>426212</v>
      </c>
      <c r="D1794" t="s">
        <v>4496</v>
      </c>
      <c r="E1794" s="140">
        <v>0</v>
      </c>
      <c r="F1794" s="140">
        <v>0</v>
      </c>
      <c r="G1794" s="140">
        <v>0</v>
      </c>
      <c r="H1794" s="140">
        <v>0</v>
      </c>
      <c r="I1794" s="140">
        <v>0</v>
      </c>
    </row>
    <row r="1795" spans="2:9" x14ac:dyDescent="0.3">
      <c r="B1795" t="s">
        <v>1214</v>
      </c>
      <c r="C1795">
        <v>426213</v>
      </c>
      <c r="D1795" t="s">
        <v>262</v>
      </c>
      <c r="E1795" s="140">
        <v>0</v>
      </c>
      <c r="F1795" s="140">
        <v>5</v>
      </c>
      <c r="G1795" s="140">
        <v>-5</v>
      </c>
      <c r="H1795" s="140">
        <v>0</v>
      </c>
      <c r="I1795" s="140">
        <v>0</v>
      </c>
    </row>
    <row r="1796" spans="2:9" x14ac:dyDescent="0.3">
      <c r="B1796" t="s">
        <v>1215</v>
      </c>
      <c r="C1796">
        <v>426214</v>
      </c>
      <c r="D1796" t="s">
        <v>940</v>
      </c>
      <c r="E1796" s="140">
        <v>0</v>
      </c>
      <c r="F1796" s="140">
        <v>32</v>
      </c>
      <c r="G1796" s="140">
        <v>0</v>
      </c>
      <c r="H1796" s="140">
        <v>32</v>
      </c>
      <c r="I1796" s="140">
        <v>32</v>
      </c>
    </row>
    <row r="1797" spans="2:9" x14ac:dyDescent="0.3">
      <c r="B1797" t="s">
        <v>1216</v>
      </c>
      <c r="C1797">
        <v>426215</v>
      </c>
      <c r="D1797" t="s">
        <v>263</v>
      </c>
      <c r="E1797" s="140">
        <v>0</v>
      </c>
      <c r="F1797" s="140">
        <v>48</v>
      </c>
      <c r="G1797" s="140">
        <v>0</v>
      </c>
      <c r="H1797" s="140">
        <v>48</v>
      </c>
      <c r="I1797" s="140">
        <v>48</v>
      </c>
    </row>
    <row r="1798" spans="2:9" x14ac:dyDescent="0.3">
      <c r="B1798" t="s">
        <v>4497</v>
      </c>
      <c r="C1798">
        <v>4262998</v>
      </c>
      <c r="D1798" t="s">
        <v>4498</v>
      </c>
      <c r="E1798" s="140">
        <v>0</v>
      </c>
      <c r="F1798" s="140">
        <v>0</v>
      </c>
      <c r="G1798" s="140">
        <v>0</v>
      </c>
      <c r="H1798" s="140">
        <v>0</v>
      </c>
      <c r="I1798" s="140">
        <v>0</v>
      </c>
    </row>
    <row r="1799" spans="2:9" x14ac:dyDescent="0.3">
      <c r="B1799" t="s">
        <v>4499</v>
      </c>
      <c r="C1799">
        <v>4262999</v>
      </c>
      <c r="D1799" t="s">
        <v>258</v>
      </c>
      <c r="E1799" s="140">
        <v>0</v>
      </c>
      <c r="F1799" s="140">
        <v>0</v>
      </c>
      <c r="G1799" s="140">
        <v>0</v>
      </c>
      <c r="H1799" s="140">
        <v>0</v>
      </c>
      <c r="I1799" s="140">
        <v>0</v>
      </c>
    </row>
    <row r="1800" spans="2:9" x14ac:dyDescent="0.3">
      <c r="B1800" t="s">
        <v>4500</v>
      </c>
      <c r="C1800">
        <v>4262101</v>
      </c>
      <c r="D1800" t="s">
        <v>4501</v>
      </c>
      <c r="E1800" s="140">
        <v>0</v>
      </c>
      <c r="F1800" s="140">
        <v>0</v>
      </c>
      <c r="G1800" s="140">
        <v>0</v>
      </c>
      <c r="H1800" s="140">
        <v>0</v>
      </c>
      <c r="I1800" s="140">
        <v>0</v>
      </c>
    </row>
    <row r="1801" spans="2:9" x14ac:dyDescent="0.3">
      <c r="B1801" t="s">
        <v>1217</v>
      </c>
      <c r="C1801">
        <v>427</v>
      </c>
      <c r="D1801" t="s">
        <v>45</v>
      </c>
      <c r="E1801" s="140">
        <v>0</v>
      </c>
      <c r="F1801" s="140">
        <v>1522</v>
      </c>
      <c r="G1801" s="140">
        <v>0</v>
      </c>
      <c r="H1801" s="140">
        <v>1522</v>
      </c>
      <c r="I1801" s="140">
        <v>1522</v>
      </c>
    </row>
    <row r="1802" spans="2:9" x14ac:dyDescent="0.3">
      <c r="B1802" t="s">
        <v>1218</v>
      </c>
      <c r="C1802">
        <v>42701</v>
      </c>
      <c r="D1802" t="s">
        <v>45</v>
      </c>
      <c r="E1802" s="140">
        <v>0</v>
      </c>
      <c r="F1802" s="140">
        <v>1522</v>
      </c>
      <c r="G1802" s="140">
        <v>0</v>
      </c>
      <c r="H1802" s="140">
        <v>1522</v>
      </c>
      <c r="I1802" s="140">
        <v>1522</v>
      </c>
    </row>
    <row r="1803" spans="2:9" x14ac:dyDescent="0.3">
      <c r="B1803" t="s">
        <v>1729</v>
      </c>
      <c r="C1803">
        <v>42711</v>
      </c>
      <c r="D1803" t="s">
        <v>264</v>
      </c>
      <c r="E1803" s="140">
        <v>0</v>
      </c>
      <c r="F1803" s="140">
        <v>0</v>
      </c>
      <c r="G1803" s="140">
        <v>0</v>
      </c>
      <c r="H1803" s="140">
        <v>0</v>
      </c>
      <c r="I1803" s="140">
        <v>0</v>
      </c>
    </row>
    <row r="1804" spans="2:9" x14ac:dyDescent="0.3">
      <c r="B1804" t="s">
        <v>4502</v>
      </c>
      <c r="C1804">
        <v>42712</v>
      </c>
      <c r="D1804" t="s">
        <v>4503</v>
      </c>
      <c r="E1804" s="140">
        <v>0</v>
      </c>
      <c r="F1804" s="140">
        <v>0</v>
      </c>
      <c r="G1804" s="140">
        <v>0</v>
      </c>
      <c r="H1804" s="140">
        <v>0</v>
      </c>
      <c r="I1804" s="140">
        <v>0</v>
      </c>
    </row>
    <row r="1805" spans="2:9" x14ac:dyDescent="0.3">
      <c r="B1805" t="s">
        <v>4504</v>
      </c>
      <c r="C1805">
        <v>42713</v>
      </c>
      <c r="D1805" t="s">
        <v>4505</v>
      </c>
      <c r="E1805" s="140">
        <v>0</v>
      </c>
      <c r="F1805" s="140">
        <v>0</v>
      </c>
      <c r="G1805" s="140">
        <v>0</v>
      </c>
      <c r="H1805" s="140">
        <v>0</v>
      </c>
      <c r="I1805" s="140">
        <v>0</v>
      </c>
    </row>
    <row r="1806" spans="2:9" x14ac:dyDescent="0.3">
      <c r="B1806" t="s">
        <v>4506</v>
      </c>
      <c r="C1806">
        <v>42714</v>
      </c>
      <c r="D1806" t="s">
        <v>265</v>
      </c>
      <c r="E1806" s="140">
        <v>0</v>
      </c>
      <c r="F1806" s="140">
        <v>0</v>
      </c>
      <c r="G1806" s="140">
        <v>0</v>
      </c>
      <c r="H1806" s="140">
        <v>0</v>
      </c>
      <c r="I1806" s="140">
        <v>0</v>
      </c>
    </row>
    <row r="1807" spans="2:9" x14ac:dyDescent="0.3">
      <c r="B1807" t="s">
        <v>4507</v>
      </c>
      <c r="C1807">
        <v>42715</v>
      </c>
      <c r="D1807" t="s">
        <v>4508</v>
      </c>
      <c r="E1807" s="140">
        <v>0</v>
      </c>
      <c r="F1807" s="140">
        <v>0</v>
      </c>
      <c r="G1807" s="140">
        <v>0</v>
      </c>
      <c r="H1807" s="140">
        <v>0</v>
      </c>
      <c r="I1807" s="140">
        <v>0</v>
      </c>
    </row>
    <row r="1808" spans="2:9" x14ac:dyDescent="0.3">
      <c r="B1808" t="s">
        <v>941</v>
      </c>
      <c r="C1808">
        <v>42716</v>
      </c>
      <c r="D1808" t="s">
        <v>942</v>
      </c>
      <c r="E1808" s="140">
        <v>0</v>
      </c>
      <c r="F1808" s="140">
        <v>0</v>
      </c>
      <c r="G1808" s="140">
        <v>0</v>
      </c>
      <c r="H1808" s="140">
        <v>0</v>
      </c>
      <c r="I1808" s="140">
        <v>0</v>
      </c>
    </row>
    <row r="1809" spans="2:9" x14ac:dyDescent="0.3">
      <c r="B1809" t="s">
        <v>4509</v>
      </c>
      <c r="C1809">
        <v>42717</v>
      </c>
      <c r="D1809" t="s">
        <v>4510</v>
      </c>
      <c r="E1809" s="140">
        <v>0</v>
      </c>
      <c r="F1809" s="140">
        <v>0</v>
      </c>
      <c r="G1809" s="140">
        <v>0</v>
      </c>
      <c r="H1809" s="140">
        <v>0</v>
      </c>
      <c r="I1809" s="140">
        <v>0</v>
      </c>
    </row>
    <row r="1810" spans="2:9" x14ac:dyDescent="0.3">
      <c r="B1810" t="s">
        <v>943</v>
      </c>
      <c r="C1810">
        <v>42718</v>
      </c>
      <c r="D1810" t="s">
        <v>944</v>
      </c>
      <c r="E1810" s="140">
        <v>0</v>
      </c>
      <c r="F1810" s="140">
        <v>0</v>
      </c>
      <c r="G1810" s="140">
        <v>0</v>
      </c>
      <c r="H1810" s="140">
        <v>0</v>
      </c>
      <c r="I1810" s="140">
        <v>0</v>
      </c>
    </row>
    <row r="1811" spans="2:9" x14ac:dyDescent="0.3">
      <c r="B1811" t="s">
        <v>4511</v>
      </c>
      <c r="C1811">
        <v>42719</v>
      </c>
      <c r="D1811" t="s">
        <v>4512</v>
      </c>
      <c r="E1811" s="140">
        <v>0</v>
      </c>
      <c r="F1811" s="140">
        <v>0</v>
      </c>
      <c r="G1811" s="140">
        <v>0</v>
      </c>
      <c r="H1811" s="140">
        <v>0</v>
      </c>
      <c r="I1811" s="140">
        <v>0</v>
      </c>
    </row>
    <row r="1812" spans="2:9" x14ac:dyDescent="0.3">
      <c r="B1812" t="s">
        <v>4513</v>
      </c>
      <c r="C1812">
        <v>427110</v>
      </c>
      <c r="D1812" t="s">
        <v>4514</v>
      </c>
      <c r="E1812" s="140">
        <v>0</v>
      </c>
      <c r="F1812" s="140">
        <v>0</v>
      </c>
      <c r="G1812" s="140">
        <v>0</v>
      </c>
      <c r="H1812" s="140">
        <v>0</v>
      </c>
      <c r="I1812" s="140">
        <v>0</v>
      </c>
    </row>
    <row r="1813" spans="2:9" x14ac:dyDescent="0.3">
      <c r="B1813" t="s">
        <v>1219</v>
      </c>
      <c r="C1813">
        <v>42720</v>
      </c>
      <c r="D1813" t="s">
        <v>945</v>
      </c>
      <c r="E1813" s="140">
        <v>0</v>
      </c>
      <c r="F1813" s="140">
        <v>1522</v>
      </c>
      <c r="G1813" s="140">
        <v>0</v>
      </c>
      <c r="H1813" s="140">
        <v>1522</v>
      </c>
      <c r="I1813" s="140">
        <v>1522</v>
      </c>
    </row>
    <row r="1814" spans="2:9" x14ac:dyDescent="0.3">
      <c r="B1814" t="s">
        <v>4515</v>
      </c>
      <c r="C1814">
        <v>427121</v>
      </c>
      <c r="D1814" t="s">
        <v>4516</v>
      </c>
      <c r="E1814" s="140">
        <v>0</v>
      </c>
      <c r="F1814" s="140">
        <v>0</v>
      </c>
      <c r="G1814" s="140">
        <v>0</v>
      </c>
      <c r="H1814" s="140">
        <v>0</v>
      </c>
      <c r="I1814" s="140">
        <v>0</v>
      </c>
    </row>
    <row r="1815" spans="2:9" x14ac:dyDescent="0.3">
      <c r="B1815" t="s">
        <v>4517</v>
      </c>
      <c r="C1815">
        <v>4271999</v>
      </c>
      <c r="D1815" t="s">
        <v>4518</v>
      </c>
      <c r="E1815" s="140">
        <v>0</v>
      </c>
      <c r="F1815" s="140">
        <v>0</v>
      </c>
      <c r="G1815" s="140">
        <v>0</v>
      </c>
      <c r="H1815" s="140">
        <v>0</v>
      </c>
      <c r="I1815" s="140">
        <v>0</v>
      </c>
    </row>
    <row r="1816" spans="2:9" x14ac:dyDescent="0.3">
      <c r="B1816" t="s">
        <v>4519</v>
      </c>
      <c r="C1816">
        <v>428</v>
      </c>
      <c r="D1816" t="s">
        <v>4520</v>
      </c>
      <c r="E1816" s="140">
        <v>0</v>
      </c>
      <c r="F1816" s="140">
        <v>0</v>
      </c>
      <c r="G1816" s="140">
        <v>0</v>
      </c>
      <c r="H1816" s="140">
        <v>0</v>
      </c>
      <c r="I1816" s="140">
        <v>0</v>
      </c>
    </row>
    <row r="1817" spans="2:9" x14ac:dyDescent="0.3">
      <c r="B1817" t="s">
        <v>4521</v>
      </c>
      <c r="C1817">
        <v>4281</v>
      </c>
      <c r="D1817" t="s">
        <v>902</v>
      </c>
      <c r="E1817" s="140">
        <v>0</v>
      </c>
      <c r="F1817" s="140">
        <v>0</v>
      </c>
      <c r="G1817" s="140">
        <v>0</v>
      </c>
      <c r="H1817" s="140">
        <v>0</v>
      </c>
      <c r="I1817" s="140">
        <v>0</v>
      </c>
    </row>
    <row r="1818" spans="2:9" x14ac:dyDescent="0.3">
      <c r="B1818" t="s">
        <v>4522</v>
      </c>
      <c r="C1818">
        <v>42811</v>
      </c>
      <c r="D1818" t="s">
        <v>904</v>
      </c>
      <c r="E1818" s="140">
        <v>0</v>
      </c>
      <c r="F1818" s="140">
        <v>0</v>
      </c>
      <c r="G1818" s="140">
        <v>0</v>
      </c>
      <c r="H1818" s="140">
        <v>0</v>
      </c>
      <c r="I1818" s="140">
        <v>0</v>
      </c>
    </row>
    <row r="1819" spans="2:9" x14ac:dyDescent="0.3">
      <c r="B1819" t="s">
        <v>4523</v>
      </c>
      <c r="C1819">
        <v>42812</v>
      </c>
      <c r="D1819" t="s">
        <v>4524</v>
      </c>
      <c r="E1819" s="140">
        <v>0</v>
      </c>
      <c r="F1819" s="140">
        <v>0</v>
      </c>
      <c r="G1819" s="140">
        <v>0</v>
      </c>
      <c r="H1819" s="140">
        <v>0</v>
      </c>
      <c r="I1819" s="140">
        <v>0</v>
      </c>
    </row>
    <row r="1820" spans="2:9" x14ac:dyDescent="0.3">
      <c r="B1820" t="s">
        <v>4525</v>
      </c>
      <c r="C1820">
        <v>42813</v>
      </c>
      <c r="D1820" t="s">
        <v>4526</v>
      </c>
      <c r="E1820" s="140">
        <v>0</v>
      </c>
      <c r="F1820" s="140">
        <v>0</v>
      </c>
      <c r="G1820" s="140">
        <v>0</v>
      </c>
      <c r="H1820" s="140">
        <v>0</v>
      </c>
      <c r="I1820" s="140">
        <v>0</v>
      </c>
    </row>
    <row r="1821" spans="2:9" x14ac:dyDescent="0.3">
      <c r="B1821" t="s">
        <v>1220</v>
      </c>
      <c r="C1821">
        <v>429</v>
      </c>
      <c r="D1821" t="s">
        <v>258</v>
      </c>
      <c r="E1821" s="140">
        <v>0</v>
      </c>
      <c r="F1821" s="140">
        <v>0</v>
      </c>
      <c r="G1821" s="140">
        <v>0</v>
      </c>
      <c r="H1821" s="140">
        <v>0</v>
      </c>
      <c r="I1821" s="140">
        <v>0</v>
      </c>
    </row>
    <row r="1822" spans="2:9" x14ac:dyDescent="0.3">
      <c r="B1822" t="s">
        <v>4527</v>
      </c>
      <c r="C1822">
        <v>4291</v>
      </c>
      <c r="D1822" t="s">
        <v>4528</v>
      </c>
      <c r="E1822" s="140">
        <v>0</v>
      </c>
      <c r="F1822" s="140">
        <v>0</v>
      </c>
      <c r="G1822" s="140">
        <v>0</v>
      </c>
      <c r="H1822" s="140">
        <v>0</v>
      </c>
      <c r="I1822" s="140">
        <v>0</v>
      </c>
    </row>
    <row r="1823" spans="2:9" x14ac:dyDescent="0.3">
      <c r="B1823" t="s">
        <v>4529</v>
      </c>
      <c r="C1823">
        <v>42911</v>
      </c>
      <c r="D1823" t="s">
        <v>4530</v>
      </c>
      <c r="E1823" s="140">
        <v>0</v>
      </c>
      <c r="F1823" s="140">
        <v>0</v>
      </c>
      <c r="G1823" s="140">
        <v>0</v>
      </c>
      <c r="H1823" s="140">
        <v>0</v>
      </c>
      <c r="I1823" s="140">
        <v>0</v>
      </c>
    </row>
    <row r="1824" spans="2:9" x14ac:dyDescent="0.3">
      <c r="B1824" t="s">
        <v>4531</v>
      </c>
      <c r="C1824">
        <v>4292</v>
      </c>
      <c r="D1824" t="s">
        <v>4532</v>
      </c>
      <c r="E1824" s="140">
        <v>0</v>
      </c>
      <c r="F1824" s="140">
        <v>0</v>
      </c>
      <c r="G1824" s="140">
        <v>0</v>
      </c>
      <c r="H1824" s="140">
        <v>0</v>
      </c>
      <c r="I1824" s="140">
        <v>0</v>
      </c>
    </row>
    <row r="1825" spans="2:9" x14ac:dyDescent="0.3">
      <c r="B1825" t="s">
        <v>4533</v>
      </c>
      <c r="C1825">
        <v>42921</v>
      </c>
      <c r="D1825" t="s">
        <v>4534</v>
      </c>
      <c r="E1825" s="140">
        <v>0</v>
      </c>
      <c r="F1825" s="140">
        <v>0</v>
      </c>
      <c r="G1825" s="140">
        <v>0</v>
      </c>
      <c r="H1825" s="140">
        <v>0</v>
      </c>
      <c r="I1825" s="140">
        <v>0</v>
      </c>
    </row>
    <row r="1826" spans="2:9" x14ac:dyDescent="0.3">
      <c r="B1826" t="s">
        <v>4535</v>
      </c>
      <c r="C1826">
        <v>4293</v>
      </c>
      <c r="D1826" t="s">
        <v>4536</v>
      </c>
      <c r="E1826" s="140">
        <v>0</v>
      </c>
      <c r="F1826" s="140">
        <v>0</v>
      </c>
      <c r="G1826" s="140">
        <v>0</v>
      </c>
      <c r="H1826" s="140">
        <v>0</v>
      </c>
      <c r="I1826" s="140">
        <v>0</v>
      </c>
    </row>
    <row r="1827" spans="2:9" x14ac:dyDescent="0.3">
      <c r="B1827" t="s">
        <v>4537</v>
      </c>
      <c r="C1827">
        <v>42931</v>
      </c>
      <c r="D1827" t="s">
        <v>4538</v>
      </c>
      <c r="E1827" s="140">
        <v>0</v>
      </c>
      <c r="F1827" s="140">
        <v>0</v>
      </c>
      <c r="G1827" s="140">
        <v>0</v>
      </c>
      <c r="H1827" s="140">
        <v>0</v>
      </c>
      <c r="I1827" s="140">
        <v>0</v>
      </c>
    </row>
    <row r="1828" spans="2:9" x14ac:dyDescent="0.3">
      <c r="B1828" t="s">
        <v>4539</v>
      </c>
      <c r="C1828">
        <v>42932</v>
      </c>
      <c r="D1828" t="s">
        <v>4540</v>
      </c>
      <c r="E1828" s="140">
        <v>0</v>
      </c>
      <c r="F1828" s="140">
        <v>0</v>
      </c>
      <c r="G1828" s="140">
        <v>0</v>
      </c>
      <c r="H1828" s="140">
        <v>0</v>
      </c>
      <c r="I1828" s="140">
        <v>0</v>
      </c>
    </row>
    <row r="1829" spans="2:9" x14ac:dyDescent="0.3">
      <c r="B1829" t="s">
        <v>4541</v>
      </c>
      <c r="C1829">
        <v>42933</v>
      </c>
      <c r="D1829" t="s">
        <v>4540</v>
      </c>
      <c r="E1829" s="140">
        <v>0</v>
      </c>
      <c r="F1829" s="140">
        <v>0</v>
      </c>
      <c r="G1829" s="140">
        <v>0</v>
      </c>
      <c r="H1829" s="140">
        <v>0</v>
      </c>
      <c r="I1829" s="140">
        <v>0</v>
      </c>
    </row>
    <row r="1830" spans="2:9" x14ac:dyDescent="0.3">
      <c r="B1830" t="s">
        <v>4542</v>
      </c>
      <c r="C1830">
        <v>4294</v>
      </c>
      <c r="D1830" t="s">
        <v>4543</v>
      </c>
      <c r="E1830" s="140">
        <v>0</v>
      </c>
      <c r="F1830" s="140">
        <v>0</v>
      </c>
      <c r="G1830" s="140">
        <v>0</v>
      </c>
      <c r="H1830" s="140">
        <v>0</v>
      </c>
      <c r="I1830" s="140">
        <v>0</v>
      </c>
    </row>
    <row r="1831" spans="2:9" x14ac:dyDescent="0.3">
      <c r="B1831" t="s">
        <v>4544</v>
      </c>
      <c r="C1831">
        <v>42941</v>
      </c>
      <c r="D1831" t="s">
        <v>4545</v>
      </c>
      <c r="E1831" s="140">
        <v>0</v>
      </c>
      <c r="F1831" s="140">
        <v>0</v>
      </c>
      <c r="G1831" s="140">
        <v>0</v>
      </c>
      <c r="H1831" s="140">
        <v>0</v>
      </c>
      <c r="I1831" s="140">
        <v>0</v>
      </c>
    </row>
    <row r="1832" spans="2:9" x14ac:dyDescent="0.3">
      <c r="B1832" t="s">
        <v>4546</v>
      </c>
      <c r="C1832">
        <v>4296</v>
      </c>
      <c r="D1832" t="s">
        <v>4547</v>
      </c>
      <c r="E1832" s="140">
        <v>0</v>
      </c>
      <c r="F1832" s="140">
        <v>0</v>
      </c>
      <c r="G1832" s="140">
        <v>0</v>
      </c>
      <c r="H1832" s="140">
        <v>0</v>
      </c>
      <c r="I1832" s="140">
        <v>0</v>
      </c>
    </row>
    <row r="1833" spans="2:9" x14ac:dyDescent="0.3">
      <c r="B1833" t="s">
        <v>4548</v>
      </c>
      <c r="C1833">
        <v>42961</v>
      </c>
      <c r="D1833" t="s">
        <v>4549</v>
      </c>
      <c r="E1833" s="140">
        <v>0</v>
      </c>
      <c r="F1833" s="140">
        <v>0</v>
      </c>
      <c r="G1833" s="140">
        <v>0</v>
      </c>
      <c r="H1833" s="140">
        <v>0</v>
      </c>
      <c r="I1833" s="140">
        <v>0</v>
      </c>
    </row>
    <row r="1834" spans="2:9" x14ac:dyDescent="0.3">
      <c r="B1834" t="s">
        <v>4550</v>
      </c>
      <c r="C1834">
        <v>42962</v>
      </c>
      <c r="D1834" t="s">
        <v>946</v>
      </c>
      <c r="E1834" s="140">
        <v>0</v>
      </c>
      <c r="F1834" s="140">
        <v>0</v>
      </c>
      <c r="G1834" s="140">
        <v>0</v>
      </c>
      <c r="H1834" s="140">
        <v>0</v>
      </c>
      <c r="I1834" s="140">
        <v>0</v>
      </c>
    </row>
    <row r="1835" spans="2:9" x14ac:dyDescent="0.3">
      <c r="B1835" t="s">
        <v>4551</v>
      </c>
      <c r="C1835">
        <v>4298</v>
      </c>
      <c r="D1835" t="s">
        <v>4552</v>
      </c>
      <c r="E1835" s="140">
        <v>0</v>
      </c>
      <c r="F1835" s="140">
        <v>0</v>
      </c>
      <c r="G1835" s="140">
        <v>0</v>
      </c>
      <c r="H1835" s="140">
        <v>0</v>
      </c>
      <c r="I1835" s="140">
        <v>0</v>
      </c>
    </row>
    <row r="1836" spans="2:9" x14ac:dyDescent="0.3">
      <c r="B1836" t="s">
        <v>4553</v>
      </c>
      <c r="C1836">
        <v>42981</v>
      </c>
      <c r="D1836" t="s">
        <v>4552</v>
      </c>
      <c r="E1836" s="140">
        <v>0</v>
      </c>
      <c r="F1836" s="140">
        <v>0</v>
      </c>
      <c r="G1836" s="140">
        <v>0</v>
      </c>
      <c r="H1836" s="140">
        <v>0</v>
      </c>
      <c r="I1836" s="140">
        <v>0</v>
      </c>
    </row>
    <row r="1837" spans="2:9" x14ac:dyDescent="0.3">
      <c r="B1837" t="s">
        <v>1730</v>
      </c>
      <c r="C1837">
        <v>4299</v>
      </c>
      <c r="D1837" t="s">
        <v>1731</v>
      </c>
      <c r="E1837" s="140">
        <v>0</v>
      </c>
      <c r="F1837" s="140">
        <v>0</v>
      </c>
      <c r="G1837" s="140">
        <v>0</v>
      </c>
      <c r="H1837" s="140">
        <v>0</v>
      </c>
      <c r="I1837" s="140">
        <v>0</v>
      </c>
    </row>
    <row r="1838" spans="2:9" x14ac:dyDescent="0.3">
      <c r="B1838" t="s">
        <v>4554</v>
      </c>
      <c r="C1838">
        <v>42991</v>
      </c>
      <c r="D1838" t="s">
        <v>4555</v>
      </c>
      <c r="E1838" s="140">
        <v>0</v>
      </c>
      <c r="F1838" s="140">
        <v>0</v>
      </c>
      <c r="G1838" s="140">
        <v>0</v>
      </c>
      <c r="H1838" s="140">
        <v>0</v>
      </c>
      <c r="I1838" s="140">
        <v>0</v>
      </c>
    </row>
    <row r="1839" spans="2:9" x14ac:dyDescent="0.3">
      <c r="B1839" t="s">
        <v>4556</v>
      </c>
      <c r="C1839">
        <v>42992</v>
      </c>
      <c r="D1839" t="s">
        <v>4557</v>
      </c>
      <c r="E1839" s="140">
        <v>0</v>
      </c>
      <c r="F1839" s="140">
        <v>0</v>
      </c>
      <c r="G1839" s="140">
        <v>0</v>
      </c>
      <c r="H1839" s="140">
        <v>0</v>
      </c>
      <c r="I1839" s="140">
        <v>0</v>
      </c>
    </row>
    <row r="1840" spans="2:9" x14ac:dyDescent="0.3">
      <c r="B1840" t="s">
        <v>4558</v>
      </c>
      <c r="C1840">
        <v>42993</v>
      </c>
      <c r="D1840" t="s">
        <v>4559</v>
      </c>
      <c r="E1840" s="140">
        <v>0</v>
      </c>
      <c r="F1840" s="140">
        <v>0</v>
      </c>
      <c r="G1840" s="140">
        <v>0</v>
      </c>
      <c r="H1840" s="140">
        <v>0</v>
      </c>
      <c r="I1840" s="140">
        <v>0</v>
      </c>
    </row>
    <row r="1841" spans="2:9" x14ac:dyDescent="0.3">
      <c r="B1841" t="s">
        <v>1732</v>
      </c>
      <c r="C1841">
        <v>42994</v>
      </c>
      <c r="D1841" t="s">
        <v>1733</v>
      </c>
      <c r="E1841" s="140">
        <v>0</v>
      </c>
      <c r="F1841" s="140">
        <v>0</v>
      </c>
      <c r="G1841" s="140">
        <v>0</v>
      </c>
      <c r="H1841" s="140">
        <v>0</v>
      </c>
      <c r="I1841" s="140">
        <v>0</v>
      </c>
    </row>
    <row r="1842" spans="2:9" x14ac:dyDescent="0.3">
      <c r="B1842" t="s">
        <v>4560</v>
      </c>
      <c r="C1842">
        <v>42995</v>
      </c>
      <c r="D1842" t="s">
        <v>4561</v>
      </c>
      <c r="E1842" s="140">
        <v>0</v>
      </c>
      <c r="F1842" s="140">
        <v>0</v>
      </c>
      <c r="G1842" s="140">
        <v>0</v>
      </c>
      <c r="H1842" s="140">
        <v>0</v>
      </c>
      <c r="I1842" s="140">
        <v>0</v>
      </c>
    </row>
    <row r="1843" spans="2:9" x14ac:dyDescent="0.3">
      <c r="B1843" t="s">
        <v>4562</v>
      </c>
      <c r="C1843">
        <v>42996</v>
      </c>
      <c r="D1843" t="s">
        <v>4563</v>
      </c>
      <c r="E1843" s="140">
        <v>0</v>
      </c>
      <c r="F1843" s="140">
        <v>0</v>
      </c>
      <c r="G1843" s="140">
        <v>0</v>
      </c>
      <c r="H1843" s="140">
        <v>0</v>
      </c>
      <c r="I1843" s="140">
        <v>0</v>
      </c>
    </row>
    <row r="1844" spans="2:9" x14ac:dyDescent="0.3">
      <c r="B1844" t="s">
        <v>4564</v>
      </c>
      <c r="C1844">
        <v>42934</v>
      </c>
      <c r="D1844" t="s">
        <v>4565</v>
      </c>
      <c r="E1844" s="140">
        <v>0</v>
      </c>
      <c r="F1844" s="140">
        <v>0</v>
      </c>
      <c r="G1844" s="140">
        <v>0</v>
      </c>
      <c r="H1844" s="140">
        <v>0</v>
      </c>
      <c r="I1844" s="140">
        <v>0</v>
      </c>
    </row>
    <row r="1845" spans="2:9" x14ac:dyDescent="0.3">
      <c r="B1845" t="s">
        <v>4566</v>
      </c>
      <c r="C1845">
        <v>42998</v>
      </c>
      <c r="D1845" t="s">
        <v>4404</v>
      </c>
      <c r="E1845" s="140">
        <v>0</v>
      </c>
      <c r="F1845" s="140">
        <v>0</v>
      </c>
      <c r="G1845" s="140">
        <v>0</v>
      </c>
      <c r="H1845" s="140">
        <v>0</v>
      </c>
      <c r="I1845" s="140">
        <v>0</v>
      </c>
    </row>
    <row r="1846" spans="2:9" x14ac:dyDescent="0.3">
      <c r="B1846" t="s">
        <v>1221</v>
      </c>
      <c r="C1846">
        <v>42910</v>
      </c>
      <c r="D1846" t="s">
        <v>947</v>
      </c>
      <c r="E1846" s="140">
        <v>0</v>
      </c>
      <c r="F1846" s="140">
        <v>0</v>
      </c>
      <c r="G1846" s="140">
        <v>0</v>
      </c>
      <c r="H1846" s="140">
        <v>0</v>
      </c>
      <c r="I1846" s="140">
        <v>0</v>
      </c>
    </row>
    <row r="1847" spans="2:9" x14ac:dyDescent="0.3">
      <c r="B1847" t="s">
        <v>1222</v>
      </c>
      <c r="C1847">
        <v>429101</v>
      </c>
      <c r="D1847" t="s">
        <v>948</v>
      </c>
      <c r="E1847" s="140">
        <v>0</v>
      </c>
      <c r="F1847" s="140">
        <v>0</v>
      </c>
      <c r="G1847" s="140">
        <v>0</v>
      </c>
      <c r="H1847" s="140">
        <v>0</v>
      </c>
      <c r="I1847" s="140">
        <v>0</v>
      </c>
    </row>
    <row r="1848" spans="2:9" x14ac:dyDescent="0.3">
      <c r="B1848">
        <v>5</v>
      </c>
      <c r="C1848">
        <v>5</v>
      </c>
      <c r="D1848" t="s">
        <v>266</v>
      </c>
      <c r="E1848" s="140">
        <v>0</v>
      </c>
      <c r="F1848" s="140">
        <v>3003</v>
      </c>
      <c r="G1848" s="140">
        <v>-903</v>
      </c>
      <c r="H1848" s="140">
        <v>2100</v>
      </c>
      <c r="I1848" s="140">
        <v>2100</v>
      </c>
    </row>
    <row r="1849" spans="2:9" x14ac:dyDescent="0.3">
      <c r="B1849" t="s">
        <v>1223</v>
      </c>
      <c r="C1849">
        <v>51</v>
      </c>
      <c r="D1849" t="s">
        <v>266</v>
      </c>
      <c r="E1849" s="140">
        <v>0</v>
      </c>
      <c r="F1849" s="140">
        <v>3003</v>
      </c>
      <c r="G1849" s="140">
        <v>-903</v>
      </c>
      <c r="H1849" s="140">
        <v>2100</v>
      </c>
      <c r="I1849" s="140">
        <v>2100</v>
      </c>
    </row>
    <row r="1850" spans="2:9" x14ac:dyDescent="0.3">
      <c r="B1850" t="s">
        <v>1224</v>
      </c>
      <c r="C1850">
        <v>511</v>
      </c>
      <c r="D1850" t="s">
        <v>267</v>
      </c>
      <c r="E1850" s="140">
        <v>0</v>
      </c>
      <c r="F1850" s="140">
        <v>3003</v>
      </c>
      <c r="G1850" s="140">
        <v>-903</v>
      </c>
      <c r="H1850" s="140">
        <v>2100</v>
      </c>
      <c r="I1850" s="140">
        <v>2100</v>
      </c>
    </row>
    <row r="1851" spans="2:9" x14ac:dyDescent="0.3">
      <c r="B1851" t="s">
        <v>1225</v>
      </c>
      <c r="C1851">
        <v>5111</v>
      </c>
      <c r="D1851" t="s">
        <v>268</v>
      </c>
      <c r="E1851" s="140">
        <v>0</v>
      </c>
      <c r="F1851" s="140">
        <v>1198</v>
      </c>
      <c r="G1851" s="140">
        <v>0</v>
      </c>
      <c r="H1851" s="140">
        <v>1198</v>
      </c>
      <c r="I1851" s="140">
        <v>1198</v>
      </c>
    </row>
    <row r="1852" spans="2:9" x14ac:dyDescent="0.3">
      <c r="B1852" t="s">
        <v>1226</v>
      </c>
      <c r="C1852">
        <v>5112</v>
      </c>
      <c r="D1852" t="s">
        <v>272</v>
      </c>
      <c r="E1852" s="140">
        <v>0</v>
      </c>
      <c r="F1852" s="140">
        <v>1805</v>
      </c>
      <c r="G1852" s="140">
        <v>0</v>
      </c>
      <c r="H1852" s="140">
        <v>1805</v>
      </c>
      <c r="I1852" s="140">
        <v>1805</v>
      </c>
    </row>
    <row r="1853" spans="2:9" x14ac:dyDescent="0.3">
      <c r="B1853" t="s">
        <v>4567</v>
      </c>
      <c r="C1853">
        <v>5113</v>
      </c>
      <c r="D1853" t="s">
        <v>273</v>
      </c>
      <c r="E1853" s="140">
        <v>0</v>
      </c>
      <c r="F1853" s="140">
        <v>0</v>
      </c>
      <c r="G1853" s="140">
        <v>-903</v>
      </c>
      <c r="H1853" s="140">
        <v>-903</v>
      </c>
      <c r="I1853" s="140">
        <v>-903</v>
      </c>
    </row>
    <row r="1854" spans="2:9" x14ac:dyDescent="0.3">
      <c r="B1854" t="s">
        <v>949</v>
      </c>
      <c r="C1854">
        <v>5114</v>
      </c>
      <c r="D1854" t="s">
        <v>274</v>
      </c>
      <c r="E1854" s="140">
        <v>0</v>
      </c>
      <c r="F1854" s="140">
        <v>0</v>
      </c>
      <c r="G1854" s="140">
        <v>0</v>
      </c>
      <c r="H1854" s="140">
        <v>0</v>
      </c>
      <c r="I1854" s="140">
        <v>0</v>
      </c>
    </row>
    <row r="1855" spans="2:9" x14ac:dyDescent="0.3">
      <c r="B1855" t="s">
        <v>4568</v>
      </c>
      <c r="C1855">
        <v>5115</v>
      </c>
      <c r="D1855" t="s">
        <v>275</v>
      </c>
      <c r="E1855" s="140">
        <v>0</v>
      </c>
      <c r="F1855" s="140">
        <v>0</v>
      </c>
      <c r="G1855" s="140">
        <v>0</v>
      </c>
      <c r="H1855" s="140">
        <v>0</v>
      </c>
      <c r="I1855" s="140">
        <v>0</v>
      </c>
    </row>
    <row r="1856" spans="2:9" x14ac:dyDescent="0.3">
      <c r="B1856" t="s">
        <v>4569</v>
      </c>
      <c r="C1856">
        <v>5116</v>
      </c>
      <c r="D1856" t="s">
        <v>276</v>
      </c>
      <c r="E1856" s="140">
        <v>0</v>
      </c>
      <c r="F1856" s="140">
        <v>0</v>
      </c>
      <c r="G1856" s="140">
        <v>0</v>
      </c>
      <c r="H1856" s="140">
        <v>0</v>
      </c>
      <c r="I1856" s="140">
        <v>0</v>
      </c>
    </row>
    <row r="1857" spans="2:9" x14ac:dyDescent="0.3">
      <c r="B1857" t="s">
        <v>950</v>
      </c>
      <c r="C1857">
        <v>5117</v>
      </c>
      <c r="D1857" t="s">
        <v>277</v>
      </c>
      <c r="E1857" s="140">
        <v>0</v>
      </c>
      <c r="F1857" s="140">
        <v>0</v>
      </c>
      <c r="G1857" s="140">
        <v>0</v>
      </c>
      <c r="H1857" s="140">
        <v>0</v>
      </c>
      <c r="I1857" s="140">
        <v>0</v>
      </c>
    </row>
    <row r="1858" spans="2:9" x14ac:dyDescent="0.3">
      <c r="B1858" t="s">
        <v>4570</v>
      </c>
      <c r="C1858">
        <v>5118</v>
      </c>
      <c r="D1858" t="s">
        <v>278</v>
      </c>
      <c r="E1858" s="140">
        <v>0</v>
      </c>
      <c r="F1858" s="140">
        <v>0</v>
      </c>
      <c r="G1858" s="140">
        <v>0</v>
      </c>
      <c r="H1858" s="140">
        <v>0</v>
      </c>
      <c r="I1858" s="140">
        <v>0</v>
      </c>
    </row>
    <row r="1859" spans="2:9" x14ac:dyDescent="0.3">
      <c r="B1859" t="s">
        <v>4571</v>
      </c>
      <c r="C1859">
        <v>5119</v>
      </c>
      <c r="D1859" t="s">
        <v>279</v>
      </c>
      <c r="E1859" s="140">
        <v>0</v>
      </c>
      <c r="F1859" s="140">
        <v>0</v>
      </c>
      <c r="G1859" s="140">
        <v>0</v>
      </c>
      <c r="H1859" s="140">
        <v>0</v>
      </c>
      <c r="I1859" s="140">
        <v>0</v>
      </c>
    </row>
    <row r="1860" spans="2:9" x14ac:dyDescent="0.3">
      <c r="B1860" t="s">
        <v>951</v>
      </c>
      <c r="C1860">
        <v>51110</v>
      </c>
      <c r="D1860" t="s">
        <v>269</v>
      </c>
      <c r="E1860" s="140">
        <v>0</v>
      </c>
      <c r="F1860" s="140">
        <v>0</v>
      </c>
      <c r="G1860" s="140">
        <v>0</v>
      </c>
      <c r="H1860" s="140">
        <v>0</v>
      </c>
      <c r="I1860" s="140">
        <v>0</v>
      </c>
    </row>
    <row r="1861" spans="2:9" x14ac:dyDescent="0.3">
      <c r="B1861" t="s">
        <v>4572</v>
      </c>
      <c r="C1861">
        <v>51111</v>
      </c>
      <c r="D1861" t="s">
        <v>270</v>
      </c>
      <c r="E1861" s="140">
        <v>0</v>
      </c>
      <c r="F1861" s="140">
        <v>0</v>
      </c>
      <c r="G1861" s="140">
        <v>0</v>
      </c>
      <c r="H1861" s="140">
        <v>0</v>
      </c>
      <c r="I1861" s="140">
        <v>0</v>
      </c>
    </row>
    <row r="1862" spans="2:9" x14ac:dyDescent="0.3">
      <c r="B1862" t="s">
        <v>4573</v>
      </c>
      <c r="C1862">
        <v>51112</v>
      </c>
      <c r="D1862" t="s">
        <v>280</v>
      </c>
      <c r="E1862" s="140">
        <v>0</v>
      </c>
      <c r="F1862" s="140">
        <v>0</v>
      </c>
      <c r="G1862" s="140">
        <v>0</v>
      </c>
      <c r="H1862" s="140">
        <v>0</v>
      </c>
      <c r="I1862" s="140">
        <v>0</v>
      </c>
    </row>
    <row r="1863" spans="2:9" x14ac:dyDescent="0.3">
      <c r="B1863" t="s">
        <v>1227</v>
      </c>
      <c r="C1863">
        <v>512</v>
      </c>
      <c r="D1863" t="s">
        <v>271</v>
      </c>
      <c r="E1863" s="140">
        <v>0</v>
      </c>
      <c r="F1863" s="140">
        <v>0</v>
      </c>
      <c r="G1863" s="140">
        <v>0</v>
      </c>
      <c r="H1863" s="140">
        <v>0</v>
      </c>
      <c r="I1863" s="140">
        <v>0</v>
      </c>
    </row>
    <row r="1864" spans="2:9" x14ac:dyDescent="0.3">
      <c r="B1864" t="s">
        <v>4574</v>
      </c>
      <c r="C1864">
        <v>5121</v>
      </c>
      <c r="D1864" t="s">
        <v>268</v>
      </c>
      <c r="E1864" s="140">
        <v>0</v>
      </c>
      <c r="F1864" s="140">
        <v>0</v>
      </c>
      <c r="G1864" s="140">
        <v>0</v>
      </c>
      <c r="H1864" s="140">
        <v>0</v>
      </c>
      <c r="I1864" s="140">
        <v>0</v>
      </c>
    </row>
    <row r="1865" spans="2:9" x14ac:dyDescent="0.3">
      <c r="B1865" t="s">
        <v>4575</v>
      </c>
      <c r="C1865">
        <v>5122</v>
      </c>
      <c r="D1865" t="s">
        <v>272</v>
      </c>
      <c r="E1865" s="140">
        <v>0</v>
      </c>
      <c r="F1865" s="140">
        <v>0</v>
      </c>
      <c r="G1865" s="140">
        <v>0</v>
      </c>
      <c r="H1865" s="140">
        <v>0</v>
      </c>
      <c r="I1865" s="140">
        <v>0</v>
      </c>
    </row>
    <row r="1866" spans="2:9" x14ac:dyDescent="0.3">
      <c r="B1866" t="s">
        <v>1228</v>
      </c>
      <c r="C1866">
        <v>5123</v>
      </c>
      <c r="D1866" t="s">
        <v>273</v>
      </c>
      <c r="E1866" s="140">
        <v>0</v>
      </c>
      <c r="F1866" s="140">
        <v>0</v>
      </c>
      <c r="G1866" s="140">
        <v>0</v>
      </c>
      <c r="H1866" s="140">
        <v>0</v>
      </c>
      <c r="I1866" s="140">
        <v>0</v>
      </c>
    </row>
    <row r="1867" spans="2:9" x14ac:dyDescent="0.3">
      <c r="B1867" t="s">
        <v>4576</v>
      </c>
      <c r="C1867">
        <v>5124</v>
      </c>
      <c r="D1867" t="s">
        <v>274</v>
      </c>
      <c r="E1867" s="140">
        <v>0</v>
      </c>
      <c r="F1867" s="140">
        <v>0</v>
      </c>
      <c r="G1867" s="140">
        <v>0</v>
      </c>
      <c r="H1867" s="140">
        <v>0</v>
      </c>
      <c r="I1867" s="140">
        <v>0</v>
      </c>
    </row>
    <row r="1868" spans="2:9" x14ac:dyDescent="0.3">
      <c r="B1868" t="s">
        <v>952</v>
      </c>
      <c r="C1868">
        <v>5125</v>
      </c>
      <c r="D1868" t="s">
        <v>275</v>
      </c>
      <c r="E1868" s="140">
        <v>0</v>
      </c>
      <c r="F1868" s="140">
        <v>0</v>
      </c>
      <c r="G1868" s="140">
        <v>0</v>
      </c>
      <c r="H1868" s="140">
        <v>0</v>
      </c>
      <c r="I1868" s="140">
        <v>0</v>
      </c>
    </row>
    <row r="1869" spans="2:9" x14ac:dyDescent="0.3">
      <c r="B1869" t="s">
        <v>953</v>
      </c>
      <c r="C1869">
        <v>5126</v>
      </c>
      <c r="D1869" t="s">
        <v>276</v>
      </c>
      <c r="E1869" s="140">
        <v>0</v>
      </c>
      <c r="F1869" s="140">
        <v>0</v>
      </c>
      <c r="G1869" s="140">
        <v>0</v>
      </c>
      <c r="H1869" s="140">
        <v>0</v>
      </c>
      <c r="I1869" s="140">
        <v>0</v>
      </c>
    </row>
    <row r="1870" spans="2:9" x14ac:dyDescent="0.3">
      <c r="B1870" t="s">
        <v>4577</v>
      </c>
      <c r="C1870">
        <v>5127</v>
      </c>
      <c r="D1870" t="s">
        <v>277</v>
      </c>
      <c r="E1870" s="140">
        <v>0</v>
      </c>
      <c r="F1870" s="140">
        <v>0</v>
      </c>
      <c r="G1870" s="140">
        <v>0</v>
      </c>
      <c r="H1870" s="140">
        <v>0</v>
      </c>
      <c r="I1870" s="140">
        <v>0</v>
      </c>
    </row>
    <row r="1871" spans="2:9" x14ac:dyDescent="0.3">
      <c r="B1871" t="s">
        <v>954</v>
      </c>
      <c r="C1871">
        <v>5128</v>
      </c>
      <c r="D1871" t="s">
        <v>278</v>
      </c>
      <c r="E1871" s="140">
        <v>0</v>
      </c>
      <c r="F1871" s="140">
        <v>0</v>
      </c>
      <c r="G1871" s="140">
        <v>0</v>
      </c>
      <c r="H1871" s="140">
        <v>0</v>
      </c>
      <c r="I1871" s="140">
        <v>0</v>
      </c>
    </row>
    <row r="1872" spans="2:9" x14ac:dyDescent="0.3">
      <c r="B1872" t="s">
        <v>955</v>
      </c>
      <c r="C1872">
        <v>5129</v>
      </c>
      <c r="D1872" t="s">
        <v>279</v>
      </c>
      <c r="E1872" s="140">
        <v>0</v>
      </c>
      <c r="F1872" s="140">
        <v>0</v>
      </c>
      <c r="G1872" s="140">
        <v>0</v>
      </c>
      <c r="H1872" s="140">
        <v>0</v>
      </c>
      <c r="I1872" s="140">
        <v>0</v>
      </c>
    </row>
    <row r="1873" spans="2:9" x14ac:dyDescent="0.3">
      <c r="B1873" t="s">
        <v>4578</v>
      </c>
      <c r="C1873">
        <v>51210</v>
      </c>
      <c r="D1873" t="s">
        <v>269</v>
      </c>
      <c r="E1873" s="140">
        <v>0</v>
      </c>
      <c r="F1873" s="140">
        <v>0</v>
      </c>
      <c r="G1873" s="140">
        <v>0</v>
      </c>
      <c r="H1873" s="140">
        <v>0</v>
      </c>
      <c r="I1873" s="140">
        <v>0</v>
      </c>
    </row>
    <row r="1874" spans="2:9" x14ac:dyDescent="0.3">
      <c r="B1874" t="s">
        <v>956</v>
      </c>
      <c r="C1874">
        <v>51211</v>
      </c>
      <c r="D1874" t="s">
        <v>270</v>
      </c>
      <c r="E1874" s="140">
        <v>0</v>
      </c>
      <c r="F1874" s="140">
        <v>0</v>
      </c>
      <c r="G1874" s="140">
        <v>0</v>
      </c>
      <c r="H1874" s="140">
        <v>0</v>
      </c>
      <c r="I1874" s="140">
        <v>0</v>
      </c>
    </row>
    <row r="1875" spans="2:9" x14ac:dyDescent="0.3">
      <c r="B1875" t="s">
        <v>957</v>
      </c>
      <c r="C1875">
        <v>51212</v>
      </c>
      <c r="D1875" t="s">
        <v>280</v>
      </c>
      <c r="E1875" s="140">
        <v>0</v>
      </c>
      <c r="F1875" s="140">
        <v>0</v>
      </c>
      <c r="G1875" s="140">
        <v>0</v>
      </c>
      <c r="H1875" s="140">
        <v>0</v>
      </c>
      <c r="I1875" s="140">
        <v>0</v>
      </c>
    </row>
    <row r="1876" spans="2:9" x14ac:dyDescent="0.3">
      <c r="B1876">
        <v>6</v>
      </c>
      <c r="C1876">
        <v>6</v>
      </c>
      <c r="D1876" t="s">
        <v>4579</v>
      </c>
      <c r="E1876" s="140">
        <v>0</v>
      </c>
      <c r="F1876" s="140">
        <v>0</v>
      </c>
      <c r="G1876" s="140">
        <v>0</v>
      </c>
      <c r="H1876" s="140">
        <v>0</v>
      </c>
      <c r="I1876" s="140">
        <v>0</v>
      </c>
    </row>
    <row r="1877" spans="2:9" x14ac:dyDescent="0.3">
      <c r="B1877" t="s">
        <v>4580</v>
      </c>
      <c r="C1877">
        <v>61</v>
      </c>
      <c r="D1877" t="s">
        <v>26</v>
      </c>
      <c r="E1877" s="140">
        <v>0</v>
      </c>
      <c r="F1877" s="140">
        <v>0</v>
      </c>
      <c r="G1877" s="140">
        <v>0</v>
      </c>
      <c r="H1877" s="140">
        <v>0</v>
      </c>
      <c r="I1877" s="140">
        <v>0</v>
      </c>
    </row>
    <row r="1878" spans="2:9" x14ac:dyDescent="0.3">
      <c r="E1878" s="110">
        <v>0</v>
      </c>
      <c r="F1878" s="110">
        <v>0</v>
      </c>
      <c r="G1878" s="110">
        <v>0</v>
      </c>
      <c r="H1878" s="164">
        <v>0</v>
      </c>
    </row>
    <row r="1879" spans="2:9" x14ac:dyDescent="0.3">
      <c r="E1879" s="110">
        <v>0</v>
      </c>
      <c r="F1879" s="110">
        <v>0</v>
      </c>
      <c r="G1879" s="110">
        <v>0</v>
      </c>
      <c r="H1879" s="164">
        <v>0</v>
      </c>
    </row>
    <row r="1880" spans="2:9" x14ac:dyDescent="0.3">
      <c r="E1880" s="110">
        <v>0</v>
      </c>
      <c r="F1880" s="110">
        <v>0</v>
      </c>
      <c r="G1880" s="110">
        <v>0</v>
      </c>
      <c r="H1880" s="164">
        <v>0</v>
      </c>
    </row>
    <row r="1881" spans="2:9" x14ac:dyDescent="0.3">
      <c r="E1881" s="110">
        <v>0</v>
      </c>
      <c r="F1881" s="110">
        <v>0</v>
      </c>
      <c r="G1881" s="110">
        <v>0</v>
      </c>
      <c r="H1881" s="164">
        <v>0</v>
      </c>
    </row>
    <row r="1882" spans="2:9" x14ac:dyDescent="0.3">
      <c r="E1882" s="110">
        <v>0</v>
      </c>
      <c r="F1882" s="110">
        <v>0</v>
      </c>
      <c r="G1882" s="110">
        <v>0</v>
      </c>
      <c r="H1882" s="164">
        <v>0</v>
      </c>
    </row>
    <row r="1883" spans="2:9" x14ac:dyDescent="0.3">
      <c r="E1883" s="110">
        <v>0</v>
      </c>
      <c r="F1883" s="110">
        <v>0</v>
      </c>
      <c r="G1883" s="110">
        <v>0</v>
      </c>
      <c r="H1883" s="164">
        <v>0</v>
      </c>
    </row>
    <row r="1884" spans="2:9" x14ac:dyDescent="0.3">
      <c r="E1884" s="110">
        <v>0</v>
      </c>
      <c r="F1884" s="110">
        <v>0</v>
      </c>
      <c r="G1884" s="110">
        <v>0</v>
      </c>
      <c r="H1884" s="164">
        <v>0</v>
      </c>
    </row>
    <row r="1885" spans="2:9" x14ac:dyDescent="0.3">
      <c r="E1885" s="110">
        <v>0</v>
      </c>
      <c r="F1885" s="110">
        <v>0</v>
      </c>
      <c r="G1885" s="110">
        <v>0</v>
      </c>
      <c r="H1885" s="164">
        <v>0</v>
      </c>
    </row>
    <row r="1886" spans="2:9" x14ac:dyDescent="0.3">
      <c r="E1886" s="110">
        <v>0</v>
      </c>
      <c r="F1886" s="110">
        <v>0</v>
      </c>
      <c r="G1886" s="110">
        <v>0</v>
      </c>
      <c r="H1886" s="164">
        <v>0</v>
      </c>
    </row>
    <row r="1887" spans="2:9" x14ac:dyDescent="0.3">
      <c r="E1887" s="110">
        <v>0</v>
      </c>
      <c r="F1887" s="110">
        <v>0</v>
      </c>
      <c r="G1887" s="110">
        <v>0</v>
      </c>
      <c r="H1887" s="164">
        <v>0</v>
      </c>
    </row>
    <row r="1888" spans="2:9" x14ac:dyDescent="0.3">
      <c r="E1888" s="110">
        <v>0</v>
      </c>
      <c r="F1888" s="110">
        <v>0</v>
      </c>
      <c r="G1888" s="110">
        <v>0</v>
      </c>
      <c r="H1888" s="164">
        <v>0</v>
      </c>
    </row>
    <row r="1889" spans="5:8" x14ac:dyDescent="0.3">
      <c r="E1889" s="110">
        <v>0</v>
      </c>
      <c r="F1889" s="110">
        <v>0</v>
      </c>
      <c r="G1889" s="110">
        <v>0</v>
      </c>
      <c r="H1889" s="164">
        <v>0</v>
      </c>
    </row>
    <row r="1890" spans="5:8" x14ac:dyDescent="0.3">
      <c r="E1890" s="110">
        <v>0</v>
      </c>
      <c r="F1890" s="110">
        <v>0</v>
      </c>
      <c r="G1890" s="110">
        <v>0</v>
      </c>
      <c r="H1890" s="164">
        <v>0</v>
      </c>
    </row>
    <row r="1891" spans="5:8" x14ac:dyDescent="0.3">
      <c r="E1891" s="110">
        <v>0</v>
      </c>
      <c r="F1891" s="110">
        <v>0</v>
      </c>
      <c r="G1891" s="110">
        <v>0</v>
      </c>
      <c r="H1891" s="164">
        <v>0</v>
      </c>
    </row>
    <row r="1892" spans="5:8" x14ac:dyDescent="0.3">
      <c r="E1892" s="110">
        <v>0</v>
      </c>
      <c r="F1892" s="110">
        <v>0</v>
      </c>
      <c r="G1892" s="110">
        <v>0</v>
      </c>
      <c r="H1892" s="164">
        <v>0</v>
      </c>
    </row>
    <row r="1893" spans="5:8" x14ac:dyDescent="0.3">
      <c r="E1893" s="110">
        <v>0</v>
      </c>
      <c r="F1893" s="110">
        <v>0</v>
      </c>
      <c r="G1893" s="110">
        <v>0</v>
      </c>
      <c r="H1893" s="164">
        <v>0</v>
      </c>
    </row>
    <row r="1894" spans="5:8" x14ac:dyDescent="0.3">
      <c r="E1894" s="110">
        <v>0</v>
      </c>
      <c r="F1894" s="110">
        <v>0</v>
      </c>
      <c r="G1894" s="110">
        <v>0</v>
      </c>
      <c r="H1894" s="164">
        <v>0</v>
      </c>
    </row>
    <row r="1895" spans="5:8" x14ac:dyDescent="0.3">
      <c r="E1895" s="110">
        <v>0</v>
      </c>
      <c r="F1895" s="110">
        <v>0</v>
      </c>
      <c r="G1895" s="110">
        <v>0</v>
      </c>
      <c r="H1895" s="164">
        <v>0</v>
      </c>
    </row>
    <row r="1896" spans="5:8" x14ac:dyDescent="0.3">
      <c r="E1896" s="110">
        <v>0</v>
      </c>
      <c r="F1896" s="110">
        <v>0</v>
      </c>
      <c r="G1896" s="110">
        <v>0</v>
      </c>
      <c r="H1896" s="164">
        <v>0</v>
      </c>
    </row>
    <row r="1897" spans="5:8" x14ac:dyDescent="0.3">
      <c r="E1897" s="110">
        <v>0</v>
      </c>
      <c r="F1897" s="110">
        <v>0</v>
      </c>
      <c r="G1897" s="110">
        <v>0</v>
      </c>
      <c r="H1897" s="164">
        <v>0</v>
      </c>
    </row>
  </sheetData>
  <autoFilter ref="A1:I1898"/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B1:O56"/>
  <sheetViews>
    <sheetView showGridLines="0" showZeros="0" tabSelected="1" zoomScaleNormal="100" workbookViewId="0">
      <selection activeCell="J46" sqref="J46"/>
    </sheetView>
  </sheetViews>
  <sheetFormatPr defaultColWidth="9.140625" defaultRowHeight="12.75" x14ac:dyDescent="0.2"/>
  <cols>
    <col min="1" max="1" width="2.140625" style="16" customWidth="1"/>
    <col min="2" max="2" width="37.28515625" style="15" customWidth="1"/>
    <col min="3" max="3" width="12.140625" style="15" customWidth="1"/>
    <col min="4" max="4" width="17.42578125" style="17" customWidth="1"/>
    <col min="5" max="5" width="2.7109375" style="17" customWidth="1"/>
    <col min="6" max="6" width="17.42578125" style="17" customWidth="1"/>
    <col min="7" max="7" width="9.140625" style="139"/>
    <col min="8" max="8" width="0" style="16" hidden="1" customWidth="1"/>
    <col min="9" max="9" width="9.140625" style="16"/>
    <col min="10" max="10" width="10.28515625" style="16" bestFit="1" customWidth="1"/>
    <col min="11" max="11" width="11.42578125" style="271" bestFit="1" customWidth="1"/>
    <col min="12" max="12" width="10.42578125" style="271" bestFit="1" customWidth="1"/>
    <col min="13" max="13" width="9.140625" style="271"/>
    <col min="14" max="14" width="10.28515625" style="271" bestFit="1" customWidth="1"/>
    <col min="15" max="16384" width="9.140625" style="16"/>
  </cols>
  <sheetData>
    <row r="1" spans="2:15" x14ac:dyDescent="0.2">
      <c r="B1" s="711"/>
      <c r="C1" s="711"/>
      <c r="D1" s="711"/>
      <c r="E1" s="711"/>
      <c r="F1" s="711"/>
    </row>
    <row r="2" spans="2:15" x14ac:dyDescent="0.2">
      <c r="B2" s="711" t="s">
        <v>0</v>
      </c>
      <c r="C2" s="711"/>
      <c r="D2" s="711"/>
      <c r="E2" s="711"/>
      <c r="F2" s="711"/>
    </row>
    <row r="3" spans="2:15" x14ac:dyDescent="0.2">
      <c r="B3" s="712" t="s">
        <v>1</v>
      </c>
      <c r="C3" s="712"/>
      <c r="D3" s="712"/>
      <c r="E3" s="712"/>
      <c r="F3" s="712"/>
    </row>
    <row r="4" spans="2:15" x14ac:dyDescent="0.2">
      <c r="B4" s="711" t="s">
        <v>2</v>
      </c>
      <c r="C4" s="711"/>
      <c r="D4" s="711"/>
      <c r="E4" s="711"/>
      <c r="F4" s="711"/>
    </row>
    <row r="5" spans="2:15" x14ac:dyDescent="0.2">
      <c r="B5" s="713" t="s">
        <v>962</v>
      </c>
      <c r="C5" s="713"/>
      <c r="D5" s="713"/>
      <c r="E5" s="713"/>
      <c r="F5" s="713"/>
    </row>
    <row r="6" spans="2:15" ht="13.5" thickBot="1" x14ac:dyDescent="0.25">
      <c r="C6" s="124" t="s">
        <v>319</v>
      </c>
      <c r="D6" s="44">
        <v>45016</v>
      </c>
      <c r="E6" s="45"/>
      <c r="F6" s="44">
        <v>44926</v>
      </c>
    </row>
    <row r="7" spans="2:15" x14ac:dyDescent="0.2">
      <c r="B7" s="29" t="s">
        <v>3</v>
      </c>
    </row>
    <row r="8" spans="2:15" x14ac:dyDescent="0.2">
      <c r="O8" s="271"/>
    </row>
    <row r="9" spans="2:15" x14ac:dyDescent="0.2">
      <c r="B9" s="29" t="s">
        <v>4</v>
      </c>
      <c r="O9" s="271"/>
    </row>
    <row r="10" spans="2:15" x14ac:dyDescent="0.2">
      <c r="B10" s="30" t="s">
        <v>5</v>
      </c>
      <c r="C10" s="126">
        <v>5</v>
      </c>
      <c r="D10" s="8">
        <f>SUMIF('Balancete 03.2023'!C:C,1112,'Balancete 03.2023'!I:I)</f>
        <v>34003</v>
      </c>
      <c r="E10" s="8"/>
      <c r="F10" s="36">
        <v>30622</v>
      </c>
      <c r="G10" s="36"/>
      <c r="H10" s="36">
        <f>F10-D10</f>
        <v>-3381</v>
      </c>
      <c r="J10" s="36"/>
      <c r="O10" s="271"/>
    </row>
    <row r="11" spans="2:15" x14ac:dyDescent="0.2">
      <c r="B11" s="30" t="s">
        <v>7</v>
      </c>
      <c r="C11" s="126">
        <v>6</v>
      </c>
      <c r="D11" s="8">
        <f>SUMIF('Balancete 03.2023'!C:C,1123,'Balancete 03.2023'!I:I)</f>
        <v>1411</v>
      </c>
      <c r="E11" s="8"/>
      <c r="F11" s="36">
        <v>1526</v>
      </c>
      <c r="G11" s="36"/>
      <c r="H11" s="354">
        <f t="shared" ref="H11:H13" si="0">F11-D11</f>
        <v>115</v>
      </c>
      <c r="J11" s="36"/>
      <c r="O11" s="271"/>
    </row>
    <row r="12" spans="2:15" x14ac:dyDescent="0.2">
      <c r="B12" s="30" t="s">
        <v>8</v>
      </c>
      <c r="C12" s="126">
        <v>7</v>
      </c>
      <c r="D12" s="8">
        <f>SUM(SUMIF('Balancete 03.2023'!C:C,1124,'Balancete 03.2023'!I:I),SUMIF('Balancete 03.2023'!C:C,1129,'Balancete 03.2023'!I:I))</f>
        <v>1081</v>
      </c>
      <c r="E12" s="8"/>
      <c r="F12" s="36">
        <v>792</v>
      </c>
      <c r="G12" s="36"/>
      <c r="H12" s="36">
        <f t="shared" si="0"/>
        <v>-289</v>
      </c>
      <c r="J12" s="36"/>
      <c r="O12" s="271"/>
    </row>
    <row r="13" spans="2:15" x14ac:dyDescent="0.2">
      <c r="B13" s="30" t="s">
        <v>87</v>
      </c>
      <c r="C13" s="126">
        <v>8</v>
      </c>
      <c r="D13" s="8">
        <f>SUMIF('Balancete 03.2023'!C:C,113,'Balancete 03.2023'!I:I)</f>
        <v>4402</v>
      </c>
      <c r="E13" s="8"/>
      <c r="F13" s="36">
        <v>2579</v>
      </c>
      <c r="G13" s="36"/>
      <c r="H13" s="36">
        <f t="shared" si="0"/>
        <v>-1823</v>
      </c>
      <c r="J13" s="36"/>
      <c r="O13" s="271"/>
    </row>
    <row r="14" spans="2:15" hidden="1" x14ac:dyDescent="0.2">
      <c r="B14" s="30" t="s">
        <v>9</v>
      </c>
      <c r="C14" s="31"/>
      <c r="D14" s="8">
        <v>0</v>
      </c>
      <c r="E14" s="8"/>
      <c r="F14" s="8">
        <v>0</v>
      </c>
      <c r="G14" s="36"/>
      <c r="H14" s="139"/>
      <c r="J14" s="271"/>
      <c r="O14" s="271"/>
    </row>
    <row r="15" spans="2:15" x14ac:dyDescent="0.2">
      <c r="C15" s="32"/>
      <c r="D15" s="25">
        <f>SUM(D10:D14)</f>
        <v>40897</v>
      </c>
      <c r="E15" s="8"/>
      <c r="F15" s="25">
        <f>SUM(F10:F14)</f>
        <v>35519</v>
      </c>
      <c r="G15" s="36"/>
      <c r="H15" s="139"/>
      <c r="O15" s="271"/>
    </row>
    <row r="16" spans="2:15" x14ac:dyDescent="0.2">
      <c r="C16" s="32"/>
      <c r="D16" s="7"/>
      <c r="E16" s="8"/>
      <c r="F16" s="7"/>
      <c r="G16" s="36"/>
      <c r="H16" s="139"/>
      <c r="O16" s="271"/>
    </row>
    <row r="17" spans="2:15" x14ac:dyDescent="0.2">
      <c r="B17" s="29" t="s">
        <v>10</v>
      </c>
      <c r="C17" s="32"/>
      <c r="D17" s="6"/>
      <c r="E17" s="8"/>
      <c r="F17" s="6"/>
      <c r="G17" s="36"/>
      <c r="H17" s="139"/>
      <c r="O17" s="271"/>
    </row>
    <row r="18" spans="2:15" s="33" customFormat="1" x14ac:dyDescent="0.2">
      <c r="B18" s="34" t="s">
        <v>1773</v>
      </c>
      <c r="C18" s="35"/>
      <c r="D18" s="8"/>
      <c r="E18" s="36"/>
      <c r="F18" s="8"/>
      <c r="G18" s="36"/>
      <c r="K18" s="271"/>
      <c r="L18" s="271"/>
      <c r="M18" s="271"/>
      <c r="N18" s="271"/>
      <c r="O18" s="271"/>
    </row>
    <row r="19" spans="2:15" s="33" customFormat="1" x14ac:dyDescent="0.2">
      <c r="B19" s="30" t="s">
        <v>7</v>
      </c>
      <c r="C19" s="126">
        <v>6</v>
      </c>
      <c r="D19" s="8">
        <f>SUMIF('Balancete 03.2023'!C:C,1213,'Balancete 03.2023'!I:I)</f>
        <v>168</v>
      </c>
      <c r="E19" s="36"/>
      <c r="F19" s="36">
        <v>164</v>
      </c>
      <c r="G19" s="36"/>
      <c r="H19" s="354">
        <f t="shared" ref="H19:H23" si="1">F19-D19</f>
        <v>-4</v>
      </c>
      <c r="J19" s="36"/>
      <c r="K19" s="271"/>
      <c r="L19" s="271"/>
      <c r="M19" s="271"/>
      <c r="N19" s="271"/>
      <c r="O19" s="271"/>
    </row>
    <row r="20" spans="2:15" x14ac:dyDescent="0.2">
      <c r="B20" s="30" t="s">
        <v>11</v>
      </c>
      <c r="C20" s="126">
        <v>9</v>
      </c>
      <c r="D20" s="8">
        <f>SUMIF('Balancete 03.2023'!C:C,1218,'Balancete 03.2023'!I:I)</f>
        <v>4540</v>
      </c>
      <c r="E20" s="8"/>
      <c r="F20" s="36">
        <v>4399</v>
      </c>
      <c r="G20" s="36"/>
      <c r="H20" s="354">
        <f t="shared" si="1"/>
        <v>-141</v>
      </c>
      <c r="J20" s="36"/>
      <c r="O20" s="271"/>
    </row>
    <row r="21" spans="2:15" x14ac:dyDescent="0.2">
      <c r="B21" s="30" t="s">
        <v>299</v>
      </c>
      <c r="C21" s="126">
        <v>8</v>
      </c>
      <c r="D21" s="8">
        <f>SUMIF('Balancete 03.2023'!C:C,1216,'Balancete 03.2023'!I:I)</f>
        <v>0</v>
      </c>
      <c r="E21" s="8"/>
      <c r="F21" s="36">
        <v>281</v>
      </c>
      <c r="G21" s="36"/>
      <c r="H21" s="36">
        <f t="shared" si="1"/>
        <v>281</v>
      </c>
      <c r="J21" s="36"/>
      <c r="K21" s="384"/>
      <c r="O21" s="271"/>
    </row>
    <row r="22" spans="2:15" x14ac:dyDescent="0.2">
      <c r="B22" s="34" t="s">
        <v>12</v>
      </c>
      <c r="C22" s="126">
        <v>10</v>
      </c>
      <c r="D22" s="8">
        <f>SUMIF('Balancete 03.2023'!C:C,123,'Balancete 03.2023'!I:I)</f>
        <v>6449</v>
      </c>
      <c r="E22" s="8"/>
      <c r="F22" s="36">
        <v>6831</v>
      </c>
      <c r="G22" s="36"/>
      <c r="H22" s="36">
        <f t="shared" si="1"/>
        <v>382</v>
      </c>
      <c r="J22" s="36"/>
      <c r="O22" s="271"/>
    </row>
    <row r="23" spans="2:15" x14ac:dyDescent="0.2">
      <c r="B23" s="34" t="s">
        <v>13</v>
      </c>
      <c r="C23" s="126">
        <v>11</v>
      </c>
      <c r="D23" s="8">
        <f>SUMIF('Balancete 03.2023'!C:C,124,'Balancete 03.2023'!I:I)</f>
        <v>3800</v>
      </c>
      <c r="E23" s="8"/>
      <c r="F23" s="36">
        <v>4179</v>
      </c>
      <c r="G23" s="36"/>
      <c r="H23" s="36">
        <f t="shared" si="1"/>
        <v>379</v>
      </c>
      <c r="J23" s="36"/>
      <c r="O23" s="271"/>
    </row>
    <row r="24" spans="2:15" x14ac:dyDescent="0.2">
      <c r="C24" s="32"/>
      <c r="D24" s="25">
        <f>SUM(D19:D23)</f>
        <v>14957</v>
      </c>
      <c r="E24" s="8"/>
      <c r="F24" s="25">
        <f>SUM(F19:F23)</f>
        <v>15854</v>
      </c>
      <c r="G24" s="36"/>
      <c r="H24" s="139"/>
    </row>
    <row r="25" spans="2:15" x14ac:dyDescent="0.2">
      <c r="C25" s="32"/>
      <c r="D25" s="7"/>
      <c r="E25" s="8"/>
      <c r="F25" s="7"/>
      <c r="G25" s="36"/>
      <c r="H25" s="139"/>
    </row>
    <row r="26" spans="2:15" x14ac:dyDescent="0.2">
      <c r="C26" s="32"/>
      <c r="D26" s="7"/>
      <c r="E26" s="8"/>
      <c r="F26" s="7"/>
      <c r="G26" s="36"/>
      <c r="H26" s="139"/>
    </row>
    <row r="27" spans="2:15" ht="13.5" thickBot="1" x14ac:dyDescent="0.25">
      <c r="B27" s="37" t="s">
        <v>14</v>
      </c>
      <c r="C27" s="38"/>
      <c r="D27" s="5">
        <f>D15+D24</f>
        <v>55854</v>
      </c>
      <c r="E27" s="7"/>
      <c r="F27" s="5">
        <f>F15+F24</f>
        <v>51373</v>
      </c>
      <c r="G27" s="36"/>
      <c r="H27" s="139"/>
    </row>
    <row r="28" spans="2:15" s="15" customFormat="1" ht="13.5" thickTop="1" x14ac:dyDescent="0.2">
      <c r="C28" s="32"/>
      <c r="D28" s="7"/>
      <c r="E28" s="39"/>
      <c r="F28" s="7"/>
      <c r="G28" s="36"/>
      <c r="H28" s="138"/>
      <c r="K28" s="41"/>
      <c r="L28" s="41"/>
      <c r="M28" s="41"/>
      <c r="N28" s="41"/>
    </row>
    <row r="29" spans="2:15" s="15" customFormat="1" x14ac:dyDescent="0.2">
      <c r="B29" s="29" t="s">
        <v>15</v>
      </c>
      <c r="C29" s="32"/>
      <c r="D29" s="13"/>
      <c r="E29" s="13"/>
      <c r="F29" s="13"/>
      <c r="G29" s="36"/>
      <c r="H29" s="138"/>
      <c r="K29" s="41"/>
      <c r="L29" s="41"/>
      <c r="M29" s="41"/>
      <c r="N29" s="41"/>
    </row>
    <row r="30" spans="2:15" s="15" customFormat="1" x14ac:dyDescent="0.2">
      <c r="B30" s="40" t="s">
        <v>4</v>
      </c>
      <c r="C30" s="32"/>
      <c r="D30" s="13"/>
      <c r="E30" s="13"/>
      <c r="F30" s="13"/>
      <c r="G30" s="36"/>
      <c r="H30" s="139"/>
      <c r="K30" s="41"/>
      <c r="L30" s="41"/>
      <c r="M30" s="41"/>
      <c r="N30" s="41"/>
    </row>
    <row r="31" spans="2:15" s="15" customFormat="1" x14ac:dyDescent="0.2">
      <c r="B31" s="30" t="s">
        <v>16</v>
      </c>
      <c r="C31" s="126">
        <v>12</v>
      </c>
      <c r="D31" s="8">
        <f>-SUMIF('Balancete 03.2023'!C:C,2114,'Balancete 03.2023'!I:I)</f>
        <v>555</v>
      </c>
      <c r="E31" s="8"/>
      <c r="F31" s="36">
        <v>305</v>
      </c>
      <c r="G31" s="36"/>
      <c r="H31" s="36">
        <f>D31-F31</f>
        <v>250</v>
      </c>
      <c r="K31" s="41"/>
      <c r="L31" s="41"/>
      <c r="M31" s="41"/>
      <c r="N31" s="41"/>
    </row>
    <row r="32" spans="2:15" s="15" customFormat="1" x14ac:dyDescent="0.2">
      <c r="B32" s="30" t="s">
        <v>17</v>
      </c>
      <c r="C32" s="126">
        <v>13</v>
      </c>
      <c r="D32" s="8">
        <f>-SUM(SUMIF('Balancete 03.2023'!C:C,2116,'Balancete 03.2023'!I:I),SUMIF('Balancete 03.2023'!C:C,2117,'Balancete 03.2023'!I:I))</f>
        <v>1091</v>
      </c>
      <c r="E32" s="8"/>
      <c r="F32" s="36">
        <v>986</v>
      </c>
      <c r="G32" s="36"/>
      <c r="H32" s="36">
        <f t="shared" ref="H32:H36" si="2">D32-F32</f>
        <v>105</v>
      </c>
      <c r="K32" s="41"/>
      <c r="L32" s="41"/>
      <c r="M32" s="41"/>
      <c r="N32" s="41"/>
    </row>
    <row r="33" spans="2:14" s="15" customFormat="1" x14ac:dyDescent="0.2">
      <c r="B33" s="30" t="s">
        <v>18</v>
      </c>
      <c r="C33" s="126">
        <v>14</v>
      </c>
      <c r="D33" s="8">
        <f>-SUM(SUMIF('Balancete 03.2023'!C:C,2118,'Balancete 03.2023'!I:I),-SUMIF('Balancete 03.2023'!C:C,21189,'Balancete 03.2023'!I:I))</f>
        <v>14809</v>
      </c>
      <c r="E33" s="8"/>
      <c r="F33" s="36">
        <v>14314</v>
      </c>
      <c r="G33" s="36"/>
      <c r="H33" s="36">
        <f t="shared" si="2"/>
        <v>495</v>
      </c>
      <c r="K33" s="41"/>
      <c r="L33" s="41"/>
      <c r="M33" s="41"/>
      <c r="N33" s="41"/>
    </row>
    <row r="34" spans="2:14" s="15" customFormat="1" x14ac:dyDescent="0.2">
      <c r="B34" s="30" t="s">
        <v>22</v>
      </c>
      <c r="C34" s="126">
        <v>15</v>
      </c>
      <c r="D34" s="8">
        <f>-SUMIF('Balancete 03.2023'!C:C,211110,'Balancete 03.2023'!I:I)</f>
        <v>0</v>
      </c>
      <c r="E34" s="8"/>
      <c r="F34" s="36">
        <v>2825</v>
      </c>
      <c r="G34" s="36"/>
      <c r="H34" s="36">
        <f t="shared" si="2"/>
        <v>-2825</v>
      </c>
      <c r="K34" s="41"/>
      <c r="L34" s="41"/>
      <c r="M34" s="41"/>
      <c r="N34" s="41"/>
    </row>
    <row r="35" spans="2:14" s="15" customFormat="1" x14ac:dyDescent="0.2">
      <c r="B35" s="30" t="s">
        <v>20</v>
      </c>
      <c r="C35" s="126"/>
      <c r="D35" s="8">
        <f>-SUMIF('Balancete 03.2023'!C:C,21114,'Balancete 03.2023'!I:I)</f>
        <v>26</v>
      </c>
      <c r="E35" s="8"/>
      <c r="F35" s="36">
        <v>26</v>
      </c>
      <c r="G35" s="36"/>
      <c r="H35" s="36">
        <f t="shared" si="2"/>
        <v>0</v>
      </c>
      <c r="K35" s="41"/>
      <c r="L35" s="41"/>
      <c r="M35" s="41"/>
      <c r="N35" s="41"/>
    </row>
    <row r="36" spans="2:14" s="15" customFormat="1" x14ac:dyDescent="0.2">
      <c r="B36" s="30" t="s">
        <v>21</v>
      </c>
      <c r="C36" s="126">
        <v>16</v>
      </c>
      <c r="D36" s="8">
        <f>-SUM(SUMIF('Balancete 03.2023'!C:C,21115,'Balancete 03.2023'!I:I),SUMIF('Balancete 03.2023'!C:C,21189,'Balancete 03.2023'!I:I))</f>
        <v>661</v>
      </c>
      <c r="E36" s="8"/>
      <c r="F36" s="36">
        <v>668</v>
      </c>
      <c r="G36" s="36"/>
      <c r="H36" s="36">
        <f t="shared" si="2"/>
        <v>-7</v>
      </c>
      <c r="K36" s="41"/>
      <c r="L36" s="41"/>
      <c r="M36" s="41"/>
      <c r="N36" s="41"/>
    </row>
    <row r="37" spans="2:14" s="15" customFormat="1" x14ac:dyDescent="0.2">
      <c r="C37" s="32"/>
      <c r="D37" s="25">
        <f>SUM(D31:D36)</f>
        <v>17142</v>
      </c>
      <c r="E37" s="6"/>
      <c r="F37" s="25">
        <f>SUM(F31:F36)</f>
        <v>19124</v>
      </c>
      <c r="G37" s="36"/>
      <c r="H37" s="139"/>
      <c r="K37" s="41"/>
      <c r="L37" s="41"/>
      <c r="M37" s="41"/>
      <c r="N37" s="41"/>
    </row>
    <row r="38" spans="2:14" s="15" customFormat="1" x14ac:dyDescent="0.2">
      <c r="C38" s="35"/>
      <c r="D38" s="7"/>
      <c r="E38" s="8"/>
      <c r="F38" s="7"/>
      <c r="G38" s="36"/>
      <c r="H38" s="139"/>
      <c r="K38" s="41"/>
      <c r="L38" s="41"/>
      <c r="M38" s="41"/>
      <c r="N38" s="41"/>
    </row>
    <row r="39" spans="2:14" s="15" customFormat="1" x14ac:dyDescent="0.2">
      <c r="B39" s="40" t="s">
        <v>10</v>
      </c>
      <c r="C39" s="35"/>
      <c r="D39" s="7"/>
      <c r="E39" s="8"/>
      <c r="F39" s="7"/>
      <c r="G39" s="36"/>
      <c r="H39" s="138"/>
      <c r="K39" s="41"/>
      <c r="L39" s="41"/>
      <c r="M39" s="41"/>
      <c r="N39" s="41"/>
    </row>
    <row r="40" spans="2:14" s="15" customFormat="1" x14ac:dyDescent="0.2">
      <c r="B40" s="30" t="s">
        <v>22</v>
      </c>
      <c r="C40" s="126">
        <v>15</v>
      </c>
      <c r="D40" s="8">
        <f>-SUMIF('Balancete 03.2023'!C:C,2215,'Balancete 03.2023'!I:I)</f>
        <v>11387</v>
      </c>
      <c r="E40" s="8"/>
      <c r="F40" s="36">
        <v>7040</v>
      </c>
      <c r="G40" s="36"/>
      <c r="H40" s="36">
        <f t="shared" ref="H40" si="3">D40-F40</f>
        <v>4347</v>
      </c>
      <c r="J40" s="36"/>
      <c r="K40" s="41"/>
      <c r="L40" s="41"/>
      <c r="M40" s="41"/>
      <c r="N40" s="41"/>
    </row>
    <row r="41" spans="2:14" s="33" customFormat="1" x14ac:dyDescent="0.2">
      <c r="B41" s="30"/>
      <c r="C41" s="127"/>
      <c r="D41" s="25">
        <f>SUM(D40)</f>
        <v>11387</v>
      </c>
      <c r="E41" s="6"/>
      <c r="F41" s="25">
        <f>SUM(F40)</f>
        <v>7040</v>
      </c>
      <c r="G41" s="36"/>
      <c r="K41" s="271"/>
      <c r="L41" s="271"/>
      <c r="M41" s="271"/>
      <c r="N41" s="271"/>
    </row>
    <row r="42" spans="2:14" s="15" customFormat="1" x14ac:dyDescent="0.2">
      <c r="C42" s="128"/>
      <c r="D42" s="7"/>
      <c r="E42" s="8"/>
      <c r="F42" s="7"/>
      <c r="G42" s="36"/>
      <c r="H42" s="138"/>
      <c r="K42" s="41"/>
      <c r="L42" s="41"/>
      <c r="M42" s="41"/>
      <c r="N42" s="41"/>
    </row>
    <row r="43" spans="2:14" s="15" customFormat="1" x14ac:dyDescent="0.2">
      <c r="B43" s="40" t="s">
        <v>23</v>
      </c>
      <c r="C43" s="128"/>
      <c r="D43" s="7"/>
      <c r="E43" s="8"/>
      <c r="F43" s="7"/>
      <c r="G43" s="36"/>
      <c r="H43" s="138"/>
      <c r="K43" s="41"/>
      <c r="L43" s="41"/>
      <c r="M43" s="41"/>
      <c r="N43" s="41"/>
    </row>
    <row r="44" spans="2:14" s="15" customFormat="1" x14ac:dyDescent="0.2">
      <c r="B44" s="30" t="s">
        <v>48</v>
      </c>
      <c r="C44" s="126">
        <v>17</v>
      </c>
      <c r="D44" s="8">
        <f>-SUMIF('Balancete 03.2023'!C:C,241,'Balancete 03.2023'!I:I)</f>
        <v>28469</v>
      </c>
      <c r="E44" s="8"/>
      <c r="F44" s="36">
        <v>28469</v>
      </c>
      <c r="G44" s="36"/>
      <c r="H44" s="36">
        <f t="shared" ref="H44:H47" si="4">D44-F44</f>
        <v>0</v>
      </c>
      <c r="J44" s="36"/>
      <c r="K44" s="41"/>
      <c r="L44" s="41"/>
      <c r="M44" s="41"/>
      <c r="N44" s="41"/>
    </row>
    <row r="45" spans="2:14" s="33" customFormat="1" hidden="1" x14ac:dyDescent="0.2">
      <c r="B45" s="30" t="s">
        <v>24</v>
      </c>
      <c r="C45" s="126"/>
      <c r="D45" s="8">
        <v>0</v>
      </c>
      <c r="E45" s="8"/>
      <c r="F45" s="36">
        <v>0</v>
      </c>
      <c r="G45" s="36"/>
      <c r="H45" s="36">
        <f t="shared" si="4"/>
        <v>0</v>
      </c>
      <c r="J45" s="36"/>
      <c r="K45" s="271"/>
      <c r="L45" s="271"/>
      <c r="M45" s="271"/>
      <c r="N45" s="271"/>
    </row>
    <row r="46" spans="2:14" s="33" customFormat="1" x14ac:dyDescent="0.2">
      <c r="B46" s="30" t="s">
        <v>25</v>
      </c>
      <c r="C46" s="126">
        <v>18</v>
      </c>
      <c r="D46" s="8">
        <f>-SUMIF('Balancete 03.2023'!C:C,247,'Balancete 03.2023'!I:I)</f>
        <v>2566</v>
      </c>
      <c r="E46" s="8"/>
      <c r="F46" s="36">
        <v>2550</v>
      </c>
      <c r="G46" s="36"/>
      <c r="H46" s="36">
        <f>D46-F46</f>
        <v>16</v>
      </c>
      <c r="J46" s="36"/>
      <c r="K46" s="271"/>
      <c r="L46" s="271"/>
      <c r="M46" s="271"/>
      <c r="N46" s="271"/>
    </row>
    <row r="47" spans="2:14" s="33" customFormat="1" x14ac:dyDescent="0.2">
      <c r="B47" s="30" t="s">
        <v>1774</v>
      </c>
      <c r="C47" s="126">
        <v>19</v>
      </c>
      <c r="D47" s="8">
        <f>-SUM(SUMIF('Balancete 03.2023'!C:C,246,'Balancete 03.2023'!I:I),SUMIF('Balancete 03.2023'!C:C,243,'Balancete 03.2023'!I:I))</f>
        <v>-3710</v>
      </c>
      <c r="E47" s="8"/>
      <c r="F47" s="36">
        <v>-5810</v>
      </c>
      <c r="G47" s="36"/>
      <c r="H47" s="36">
        <f t="shared" si="4"/>
        <v>2100</v>
      </c>
      <c r="J47" s="36"/>
      <c r="K47" s="271"/>
      <c r="L47" s="271"/>
      <c r="M47" s="271"/>
      <c r="N47" s="271"/>
    </row>
    <row r="48" spans="2:14" s="15" customFormat="1" x14ac:dyDescent="0.2">
      <c r="D48" s="25">
        <f>SUM(D44:D47)</f>
        <v>27325</v>
      </c>
      <c r="E48" s="8"/>
      <c r="F48" s="25">
        <f>SUM(F44:F47)</f>
        <v>25209</v>
      </c>
      <c r="G48" s="36"/>
      <c r="H48" s="138"/>
      <c r="K48" s="41"/>
      <c r="L48" s="41"/>
      <c r="M48" s="41"/>
      <c r="N48" s="41"/>
    </row>
    <row r="49" spans="2:14" s="15" customFormat="1" x14ac:dyDescent="0.2">
      <c r="D49" s="7"/>
      <c r="E49" s="8"/>
      <c r="F49" s="7"/>
      <c r="G49" s="36"/>
      <c r="H49" s="138"/>
      <c r="K49" s="41"/>
      <c r="L49" s="41"/>
      <c r="M49" s="41"/>
      <c r="N49" s="41"/>
    </row>
    <row r="50" spans="2:14" s="15" customFormat="1" x14ac:dyDescent="0.2">
      <c r="D50" s="7"/>
      <c r="E50" s="8"/>
      <c r="F50" s="7"/>
      <c r="G50" s="138"/>
      <c r="H50" s="138"/>
      <c r="K50" s="41"/>
      <c r="L50" s="41"/>
      <c r="M50" s="41"/>
      <c r="N50" s="41"/>
    </row>
    <row r="51" spans="2:14" s="15" customFormat="1" ht="13.5" thickBot="1" x14ac:dyDescent="0.25">
      <c r="B51" s="37" t="s">
        <v>27</v>
      </c>
      <c r="D51" s="5">
        <f>D37+D41+D48</f>
        <v>55854</v>
      </c>
      <c r="E51" s="6"/>
      <c r="F51" s="5">
        <f>F48+F41+F37</f>
        <v>51373</v>
      </c>
      <c r="G51" s="138"/>
      <c r="H51" s="138"/>
      <c r="K51" s="41"/>
      <c r="L51" s="41"/>
      <c r="M51" s="41"/>
      <c r="N51" s="41"/>
    </row>
    <row r="52" spans="2:14" s="15" customFormat="1" ht="13.5" thickTop="1" x14ac:dyDescent="0.2">
      <c r="C52" s="29"/>
      <c r="D52" s="7"/>
      <c r="E52" s="8"/>
      <c r="F52" s="7"/>
      <c r="G52" s="138"/>
      <c r="H52" s="138"/>
      <c r="K52" s="41"/>
      <c r="L52" s="41"/>
      <c r="M52" s="41"/>
      <c r="N52" s="41"/>
    </row>
    <row r="53" spans="2:14" s="15" customFormat="1" x14ac:dyDescent="0.2">
      <c r="B53" s="15" t="s">
        <v>4645</v>
      </c>
      <c r="D53" s="41"/>
      <c r="E53" s="41"/>
      <c r="F53" s="41"/>
      <c r="G53" s="138"/>
      <c r="K53" s="41"/>
      <c r="L53" s="41"/>
      <c r="M53" s="41"/>
      <c r="N53" s="41"/>
    </row>
    <row r="54" spans="2:14" s="15" customFormat="1" x14ac:dyDescent="0.2">
      <c r="D54" s="17"/>
      <c r="E54" s="17"/>
      <c r="F54" s="17"/>
      <c r="G54" s="138"/>
      <c r="K54" s="41"/>
      <c r="L54" s="41"/>
      <c r="M54" s="41"/>
      <c r="N54" s="41"/>
    </row>
    <row r="55" spans="2:14" s="15" customFormat="1" x14ac:dyDescent="0.2">
      <c r="D55" s="118">
        <f>D27-D51</f>
        <v>0</v>
      </c>
      <c r="E55" s="17"/>
      <c r="F55" s="118">
        <f>F27-F51</f>
        <v>0</v>
      </c>
      <c r="G55" s="138"/>
      <c r="H55" s="118">
        <f>SUM(H5:H54)</f>
        <v>0</v>
      </c>
      <c r="K55" s="41"/>
      <c r="L55" s="41"/>
      <c r="M55" s="41"/>
      <c r="N55" s="41"/>
    </row>
    <row r="56" spans="2:14" x14ac:dyDescent="0.2">
      <c r="D56" s="123"/>
    </row>
  </sheetData>
  <mergeCells count="5">
    <mergeCell ref="B1:F1"/>
    <mergeCell ref="B2:F2"/>
    <mergeCell ref="B3:F3"/>
    <mergeCell ref="B4:F4"/>
    <mergeCell ref="B5:F5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E8"/>
  <sheetViews>
    <sheetView workbookViewId="0">
      <selection activeCell="D3" sqref="D3:E8"/>
    </sheetView>
  </sheetViews>
  <sheetFormatPr defaultRowHeight="15" x14ac:dyDescent="0.25"/>
  <cols>
    <col min="4" max="4" width="56.85546875" customWidth="1"/>
    <col min="5" max="5" width="9.5703125" bestFit="1" customWidth="1"/>
  </cols>
  <sheetData>
    <row r="3" spans="4:5" x14ac:dyDescent="0.25">
      <c r="D3" s="331" t="s">
        <v>281</v>
      </c>
      <c r="E3" s="331" t="s">
        <v>1779</v>
      </c>
    </row>
    <row r="4" spans="4:5" x14ac:dyDescent="0.25">
      <c r="D4" s="332" t="s">
        <v>1782</v>
      </c>
      <c r="E4" s="333">
        <v>-2452</v>
      </c>
    </row>
    <row r="5" spans="4:5" x14ac:dyDescent="0.25">
      <c r="D5" s="332" t="s">
        <v>1781</v>
      </c>
      <c r="E5" s="333">
        <v>-5810</v>
      </c>
    </row>
    <row r="6" spans="4:5" x14ac:dyDescent="0.25">
      <c r="D6" s="332" t="s">
        <v>1783</v>
      </c>
      <c r="E6" s="333">
        <v>-5810</v>
      </c>
    </row>
    <row r="7" spans="4:5" x14ac:dyDescent="0.25">
      <c r="D7" s="332" t="s">
        <v>1784</v>
      </c>
      <c r="E7" s="333">
        <v>0</v>
      </c>
    </row>
    <row r="8" spans="4:5" x14ac:dyDescent="0.25">
      <c r="D8" s="332" t="s">
        <v>1780</v>
      </c>
      <c r="E8" s="333">
        <v>0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  <pageSetUpPr fitToPage="1"/>
  </sheetPr>
  <dimension ref="B2:P64"/>
  <sheetViews>
    <sheetView showGridLines="0" topLeftCell="A14" zoomScaleNormal="100" workbookViewId="0">
      <selection activeCell="P11" sqref="P11"/>
    </sheetView>
  </sheetViews>
  <sheetFormatPr defaultColWidth="9.140625" defaultRowHeight="14.25" customHeight="1" x14ac:dyDescent="0.2"/>
  <cols>
    <col min="1" max="1" width="4.7109375" style="71" customWidth="1"/>
    <col min="2" max="2" width="41.5703125" style="71" customWidth="1"/>
    <col min="3" max="3" width="4.7109375" style="71" customWidth="1"/>
    <col min="4" max="4" width="6.85546875" style="72" customWidth="1"/>
    <col min="5" max="5" width="12.28515625" style="72" customWidth="1"/>
    <col min="6" max="6" width="1.140625" style="71" customWidth="1"/>
    <col min="7" max="7" width="12.28515625" style="71" hidden="1" customWidth="1"/>
    <col min="8" max="8" width="2.7109375" style="71" hidden="1" customWidth="1"/>
    <col min="9" max="9" width="12.28515625" style="17" customWidth="1"/>
    <col min="10" max="10" width="1.140625" style="17" customWidth="1"/>
    <col min="11" max="11" width="12.28515625" style="17" hidden="1" customWidth="1"/>
    <col min="12" max="12" width="5.42578125" style="71" customWidth="1"/>
    <col min="13" max="13" width="9.140625" style="71"/>
    <col min="14" max="15" width="10.28515625" style="382" bestFit="1" customWidth="1"/>
    <col min="16" max="16" width="9.140625" style="382"/>
    <col min="17" max="16384" width="9.140625" style="71"/>
  </cols>
  <sheetData>
    <row r="2" spans="2:11" ht="14.25" customHeight="1" x14ac:dyDescent="0.2">
      <c r="B2" s="714" t="str">
        <f>[1]BP!B2</f>
        <v>Empresa de Pesquisa Energética - EPE</v>
      </c>
      <c r="C2" s="714"/>
      <c r="D2" s="714"/>
      <c r="E2" s="714"/>
      <c r="F2" s="714"/>
      <c r="G2" s="714"/>
      <c r="H2" s="714"/>
      <c r="I2" s="714"/>
      <c r="J2" s="714"/>
      <c r="K2" s="714"/>
    </row>
    <row r="3" spans="2:11" ht="14.25" customHeight="1" x14ac:dyDescent="0.2">
      <c r="B3" s="715" t="str">
        <f>[1]BP!B3</f>
        <v>CNPJ 06.977.747/0001-80</v>
      </c>
      <c r="C3" s="715"/>
      <c r="D3" s="715"/>
      <c r="E3" s="715"/>
      <c r="F3" s="715"/>
      <c r="G3" s="715"/>
      <c r="H3" s="715"/>
      <c r="I3" s="715"/>
      <c r="J3" s="715"/>
      <c r="K3" s="715"/>
    </row>
    <row r="4" spans="2:11" ht="14.25" customHeight="1" x14ac:dyDescent="0.2">
      <c r="B4" s="714" t="s">
        <v>317</v>
      </c>
      <c r="C4" s="714"/>
      <c r="D4" s="714"/>
      <c r="E4" s="714"/>
      <c r="F4" s="714"/>
      <c r="G4" s="714"/>
      <c r="H4" s="714"/>
      <c r="I4" s="714"/>
      <c r="J4" s="714"/>
      <c r="K4" s="714"/>
    </row>
    <row r="5" spans="2:11" ht="14.25" customHeight="1" x14ac:dyDescent="0.2">
      <c r="B5" s="715" t="str">
        <f>[1]BP!B5</f>
        <v>(em milhares de reais)</v>
      </c>
      <c r="C5" s="715"/>
      <c r="D5" s="715"/>
      <c r="E5" s="715"/>
      <c r="F5" s="715"/>
      <c r="G5" s="715"/>
      <c r="H5" s="715"/>
      <c r="I5" s="715"/>
      <c r="J5" s="715"/>
      <c r="K5" s="715"/>
    </row>
    <row r="7" spans="2:11" ht="27.75" customHeight="1" thickBot="1" x14ac:dyDescent="0.25">
      <c r="D7" s="370" t="s">
        <v>319</v>
      </c>
      <c r="E7" s="73" t="s">
        <v>4628</v>
      </c>
      <c r="F7" s="371"/>
      <c r="G7" s="73" t="s">
        <v>4629</v>
      </c>
      <c r="H7" s="371"/>
      <c r="I7" s="115" t="s">
        <v>4630</v>
      </c>
      <c r="J7" s="144"/>
      <c r="K7" s="115" t="s">
        <v>4631</v>
      </c>
    </row>
    <row r="8" spans="2:11" ht="14.25" customHeight="1" x14ac:dyDescent="0.2">
      <c r="B8" s="372" t="s">
        <v>29</v>
      </c>
      <c r="D8" s="129"/>
      <c r="E8" s="8">
        <v>0</v>
      </c>
      <c r="F8" s="24"/>
      <c r="G8" s="8">
        <f>E8</f>
        <v>0</v>
      </c>
      <c r="H8" s="24"/>
      <c r="I8" s="8">
        <v>0</v>
      </c>
      <c r="J8" s="8"/>
      <c r="K8" s="8">
        <v>0</v>
      </c>
    </row>
    <row r="9" spans="2:11" ht="14.25" customHeight="1" x14ac:dyDescent="0.2">
      <c r="B9" s="373"/>
      <c r="D9" s="129"/>
      <c r="E9" s="8"/>
      <c r="F9" s="24"/>
      <c r="G9" s="24"/>
      <c r="H9" s="24"/>
      <c r="I9" s="8"/>
      <c r="J9" s="8"/>
      <c r="K9" s="8"/>
    </row>
    <row r="10" spans="2:11" ht="14.25" customHeight="1" x14ac:dyDescent="0.2">
      <c r="B10" s="373"/>
      <c r="D10" s="130"/>
      <c r="E10" s="23"/>
      <c r="F10" s="403"/>
      <c r="G10" s="403"/>
      <c r="H10" s="403"/>
      <c r="I10" s="23"/>
      <c r="J10" s="23"/>
      <c r="K10" s="23"/>
    </row>
    <row r="11" spans="2:11" ht="14.25" customHeight="1" x14ac:dyDescent="0.2">
      <c r="B11" s="372" t="s">
        <v>30</v>
      </c>
      <c r="D11" s="330">
        <v>21</v>
      </c>
      <c r="E11" s="23"/>
      <c r="F11" s="403"/>
      <c r="G11" s="403"/>
      <c r="H11" s="403"/>
      <c r="I11" s="23"/>
      <c r="J11" s="23"/>
      <c r="K11" s="23"/>
    </row>
    <row r="12" spans="2:11" ht="14.25" customHeight="1" x14ac:dyDescent="0.2">
      <c r="B12" s="71" t="s">
        <v>31</v>
      </c>
      <c r="D12" s="330"/>
      <c r="E12" s="8">
        <f>-'[1]Balancete 03.2023'!H1513-'[1]Balancete 03.2023'!H1551</f>
        <v>-11065</v>
      </c>
      <c r="F12" s="403"/>
      <c r="G12" s="8">
        <f>E12</f>
        <v>-11065</v>
      </c>
      <c r="H12" s="403"/>
      <c r="I12" s="8">
        <v>-9527</v>
      </c>
      <c r="J12" s="8"/>
      <c r="K12" s="8">
        <v>-9527</v>
      </c>
    </row>
    <row r="13" spans="2:11" ht="14.25" customHeight="1" x14ac:dyDescent="0.2">
      <c r="B13" s="71" t="s">
        <v>32</v>
      </c>
      <c r="D13" s="330"/>
      <c r="E13" s="8">
        <f>-'[1]Balancete 03.2023'!H1527</f>
        <v>-3194</v>
      </c>
      <c r="F13" s="403"/>
      <c r="G13" s="8">
        <f t="shared" ref="G13:G19" si="0">E13</f>
        <v>-3194</v>
      </c>
      <c r="H13" s="403"/>
      <c r="I13" s="8">
        <v>-2725</v>
      </c>
      <c r="J13" s="8"/>
      <c r="K13" s="8">
        <v>-2725</v>
      </c>
    </row>
    <row r="14" spans="2:11" ht="14.25" customHeight="1" x14ac:dyDescent="0.2">
      <c r="B14" s="71" t="s">
        <v>33</v>
      </c>
      <c r="D14" s="330"/>
      <c r="E14" s="8">
        <f>-'[1]Balancete 03.2023'!H1536</f>
        <v>-1457</v>
      </c>
      <c r="F14" s="403"/>
      <c r="G14" s="8">
        <f t="shared" si="0"/>
        <v>-1457</v>
      </c>
      <c r="H14" s="403"/>
      <c r="I14" s="8">
        <v>-1449</v>
      </c>
      <c r="J14" s="8"/>
      <c r="K14" s="8">
        <v>-1449</v>
      </c>
    </row>
    <row r="15" spans="2:11" ht="14.25" hidden="1" customHeight="1" x14ac:dyDescent="0.2">
      <c r="B15" s="71" t="s">
        <v>34</v>
      </c>
      <c r="D15" s="330"/>
      <c r="E15" s="8">
        <v>0</v>
      </c>
      <c r="F15" s="403"/>
      <c r="G15" s="8">
        <f t="shared" si="0"/>
        <v>0</v>
      </c>
      <c r="H15" s="403"/>
      <c r="I15" s="8">
        <v>0</v>
      </c>
      <c r="J15" s="8"/>
      <c r="K15" s="8">
        <v>0</v>
      </c>
    </row>
    <row r="16" spans="2:11" ht="14.25" customHeight="1" x14ac:dyDescent="0.2">
      <c r="B16" s="71" t="s">
        <v>35</v>
      </c>
      <c r="D16" s="330"/>
      <c r="E16" s="8">
        <f>-'[1]Balancete 03.2023'!H1568</f>
        <v>-4000</v>
      </c>
      <c r="F16" s="403"/>
      <c r="G16" s="8">
        <f t="shared" si="0"/>
        <v>-4000</v>
      </c>
      <c r="H16" s="403"/>
      <c r="I16" s="8">
        <v>-1577</v>
      </c>
      <c r="J16" s="8"/>
      <c r="K16" s="8">
        <v>-1577</v>
      </c>
    </row>
    <row r="17" spans="2:15" ht="14.25" customHeight="1" x14ac:dyDescent="0.2">
      <c r="B17" s="71" t="s">
        <v>36</v>
      </c>
      <c r="D17" s="330"/>
      <c r="E17" s="8">
        <f>-'[1]Balancete 03.2023'!H1610</f>
        <v>-1169</v>
      </c>
      <c r="F17" s="403"/>
      <c r="G17" s="8">
        <f t="shared" si="0"/>
        <v>-1169</v>
      </c>
      <c r="H17" s="403"/>
      <c r="I17" s="8">
        <v>-941</v>
      </c>
      <c r="J17" s="8"/>
      <c r="K17" s="8">
        <v>-941</v>
      </c>
    </row>
    <row r="18" spans="2:15" ht="14.25" customHeight="1" x14ac:dyDescent="0.2">
      <c r="B18" s="71" t="s">
        <v>37</v>
      </c>
      <c r="D18" s="330"/>
      <c r="E18" s="8">
        <f>-'[1]Balancete 03.2023'!H1629</f>
        <v>-686</v>
      </c>
      <c r="F18" s="403"/>
      <c r="G18" s="8">
        <f t="shared" si="0"/>
        <v>-686</v>
      </c>
      <c r="H18" s="403"/>
      <c r="I18" s="8">
        <v>-629</v>
      </c>
      <c r="J18" s="8"/>
      <c r="K18" s="8">
        <v>-629</v>
      </c>
    </row>
    <row r="19" spans="2:15" ht="14.25" customHeight="1" thickBot="1" x14ac:dyDescent="0.25">
      <c r="B19" s="71" t="s">
        <v>38</v>
      </c>
      <c r="D19" s="330"/>
      <c r="E19" s="8">
        <f>-'[1]Balancete 03.2023'!H1594</f>
        <v>-90</v>
      </c>
      <c r="F19" s="403"/>
      <c r="G19" s="8">
        <f t="shared" si="0"/>
        <v>-90</v>
      </c>
      <c r="H19" s="403"/>
      <c r="I19" s="8">
        <v>-80</v>
      </c>
      <c r="J19" s="8"/>
      <c r="K19" s="8">
        <v>-80</v>
      </c>
      <c r="N19" s="383"/>
      <c r="O19" s="383"/>
    </row>
    <row r="20" spans="2:15" ht="14.25" customHeight="1" x14ac:dyDescent="0.2">
      <c r="D20" s="375"/>
      <c r="E20" s="74">
        <f>SUM(E12:E19)</f>
        <v>-21661</v>
      </c>
      <c r="F20" s="376"/>
      <c r="G20" s="74">
        <f>SUM(G12:G19)</f>
        <v>-21661</v>
      </c>
      <c r="H20" s="376"/>
      <c r="I20" s="74">
        <v>-16928</v>
      </c>
      <c r="J20" s="7"/>
      <c r="K20" s="74">
        <v>-16928</v>
      </c>
    </row>
    <row r="21" spans="2:15" ht="14.25" customHeight="1" x14ac:dyDescent="0.25">
      <c r="D21" s="131"/>
      <c r="E21" s="377"/>
      <c r="F21"/>
      <c r="G21" s="377"/>
      <c r="H21"/>
      <c r="I21" s="116"/>
      <c r="J21" s="116"/>
      <c r="K21" s="116"/>
    </row>
    <row r="22" spans="2:15" ht="14.25" customHeight="1" x14ac:dyDescent="0.25">
      <c r="B22" s="373"/>
      <c r="D22" s="129"/>
      <c r="E22"/>
      <c r="F22"/>
      <c r="G22"/>
      <c r="H22"/>
      <c r="I22" s="117"/>
      <c r="J22" s="117"/>
      <c r="K22" s="117"/>
    </row>
    <row r="23" spans="2:15" ht="14.25" customHeight="1" x14ac:dyDescent="0.2">
      <c r="B23" s="372" t="s">
        <v>39</v>
      </c>
      <c r="D23" s="132"/>
      <c r="E23" s="25">
        <f>+E8+E20</f>
        <v>-21661</v>
      </c>
      <c r="F23" s="374"/>
      <c r="G23" s="25">
        <f>+G8+G20</f>
        <v>-21661</v>
      </c>
      <c r="H23" s="374"/>
      <c r="I23" s="25">
        <v>-16928</v>
      </c>
      <c r="J23" s="7"/>
      <c r="K23" s="25">
        <v>-16928</v>
      </c>
    </row>
    <row r="24" spans="2:15" ht="14.25" customHeight="1" x14ac:dyDescent="0.2">
      <c r="B24" s="373"/>
      <c r="D24" s="133"/>
      <c r="E24" s="26"/>
      <c r="F24" s="374"/>
      <c r="G24" s="26"/>
      <c r="H24" s="374"/>
      <c r="I24" s="26"/>
      <c r="J24" s="26"/>
      <c r="K24" s="26"/>
    </row>
    <row r="25" spans="2:15" ht="14.25" customHeight="1" x14ac:dyDescent="0.2">
      <c r="B25" s="372" t="s">
        <v>40</v>
      </c>
      <c r="D25" s="330">
        <v>21</v>
      </c>
      <c r="E25" s="23"/>
      <c r="F25" s="374"/>
      <c r="G25" s="23"/>
      <c r="H25" s="374"/>
      <c r="I25" s="23"/>
      <c r="J25" s="23"/>
      <c r="K25" s="23"/>
    </row>
    <row r="26" spans="2:15" ht="14.25" customHeight="1" x14ac:dyDescent="0.2">
      <c r="B26" s="71" t="s">
        <v>31</v>
      </c>
      <c r="D26" s="330"/>
      <c r="E26" s="8">
        <f>-'[1]Balancete 03.2023'!H1653</f>
        <v>-4412</v>
      </c>
      <c r="F26" s="23"/>
      <c r="G26" s="8">
        <f>E26</f>
        <v>-4412</v>
      </c>
      <c r="H26" s="23"/>
      <c r="I26" s="8">
        <v>-3986</v>
      </c>
      <c r="J26" s="8"/>
      <c r="K26" s="8">
        <v>-3986</v>
      </c>
    </row>
    <row r="27" spans="2:15" ht="14.25" customHeight="1" x14ac:dyDescent="0.2">
      <c r="B27" s="71" t="s">
        <v>32</v>
      </c>
      <c r="D27" s="330"/>
      <c r="E27" s="8">
        <f>-'[1]Balancete 03.2023'!H1667</f>
        <v>-1278</v>
      </c>
      <c r="F27" s="23"/>
      <c r="G27" s="8">
        <f t="shared" ref="G27:G34" si="1">E27</f>
        <v>-1278</v>
      </c>
      <c r="H27" s="23"/>
      <c r="I27" s="8">
        <v>-1186</v>
      </c>
      <c r="J27" s="8"/>
      <c r="K27" s="8">
        <v>-1186</v>
      </c>
    </row>
    <row r="28" spans="2:15" ht="14.25" customHeight="1" x14ac:dyDescent="0.2">
      <c r="B28" s="71" t="s">
        <v>33</v>
      </c>
      <c r="D28" s="330"/>
      <c r="E28" s="8">
        <f>-'[1]Balancete 03.2023'!H1676</f>
        <v>-562</v>
      </c>
      <c r="F28" s="23"/>
      <c r="G28" s="8">
        <f t="shared" si="1"/>
        <v>-562</v>
      </c>
      <c r="H28" s="23"/>
      <c r="I28" s="8">
        <v>-644</v>
      </c>
      <c r="J28" s="8"/>
      <c r="K28" s="8">
        <v>-644</v>
      </c>
    </row>
    <row r="29" spans="2:15" ht="14.25" customHeight="1" x14ac:dyDescent="0.2">
      <c r="B29" s="71" t="s">
        <v>34</v>
      </c>
      <c r="D29" s="330"/>
      <c r="E29" s="8">
        <f>-'[1]Balancete 03.2023'!H1693</f>
        <v>-12</v>
      </c>
      <c r="F29" s="23"/>
      <c r="G29" s="8">
        <f t="shared" si="1"/>
        <v>-12</v>
      </c>
      <c r="H29" s="23"/>
      <c r="I29" s="8">
        <v>-8</v>
      </c>
      <c r="J29" s="8"/>
      <c r="K29" s="8">
        <v>-8</v>
      </c>
    </row>
    <row r="30" spans="2:15" ht="14.25" customHeight="1" x14ac:dyDescent="0.2">
      <c r="B30" s="71" t="s">
        <v>35</v>
      </c>
      <c r="D30" s="330"/>
      <c r="E30" s="8">
        <f>-'[1]Balancete 03.2023'!H1704</f>
        <v>-1112</v>
      </c>
      <c r="F30" s="23"/>
      <c r="G30" s="8">
        <f t="shared" si="1"/>
        <v>-1112</v>
      </c>
      <c r="H30" s="23"/>
      <c r="I30" s="8">
        <v>-1196</v>
      </c>
      <c r="J30" s="8"/>
      <c r="K30" s="8">
        <v>-1196</v>
      </c>
      <c r="N30" s="383"/>
      <c r="O30" s="383"/>
    </row>
    <row r="31" spans="2:15" ht="14.25" customHeight="1" x14ac:dyDescent="0.2">
      <c r="B31" s="71" t="s">
        <v>38</v>
      </c>
      <c r="D31" s="330"/>
      <c r="E31" s="8">
        <f>-'[1]Balancete 03.2023'!H1731</f>
        <v>-225</v>
      </c>
      <c r="F31" s="23"/>
      <c r="G31" s="8">
        <f t="shared" si="1"/>
        <v>-225</v>
      </c>
      <c r="H31" s="23"/>
      <c r="I31" s="8">
        <v>-74</v>
      </c>
      <c r="J31" s="8"/>
      <c r="K31" s="8">
        <v>-74</v>
      </c>
    </row>
    <row r="32" spans="2:15" ht="14.25" customHeight="1" x14ac:dyDescent="0.2">
      <c r="B32" s="71" t="s">
        <v>36</v>
      </c>
      <c r="D32" s="330"/>
      <c r="E32" s="8">
        <f>-'[1]Balancete 03.2023'!H1762</f>
        <v>-1309</v>
      </c>
      <c r="F32" s="23"/>
      <c r="G32" s="8">
        <f t="shared" si="1"/>
        <v>-1309</v>
      </c>
      <c r="H32" s="23"/>
      <c r="I32" s="8">
        <v>-1200</v>
      </c>
      <c r="J32" s="8"/>
      <c r="K32" s="8">
        <v>-1200</v>
      </c>
    </row>
    <row r="33" spans="2:15" ht="14.25" customHeight="1" x14ac:dyDescent="0.2">
      <c r="B33" s="71" t="s">
        <v>37</v>
      </c>
      <c r="D33" s="330"/>
      <c r="E33" s="22">
        <f>-'[1]Balancete 03.2023'!H1782</f>
        <v>-780</v>
      </c>
      <c r="F33" s="403"/>
      <c r="G33" s="8">
        <f t="shared" si="1"/>
        <v>-780</v>
      </c>
      <c r="H33" s="403"/>
      <c r="I33" s="22">
        <v>-897</v>
      </c>
      <c r="J33" s="22"/>
      <c r="K33" s="22">
        <v>-897</v>
      </c>
    </row>
    <row r="34" spans="2:15" ht="14.25" customHeight="1" thickBot="1" x14ac:dyDescent="0.25">
      <c r="B34" s="71" t="s">
        <v>4632</v>
      </c>
      <c r="D34" s="330"/>
      <c r="E34" s="22">
        <v>0</v>
      </c>
      <c r="F34" s="403"/>
      <c r="G34" s="8">
        <f t="shared" si="1"/>
        <v>0</v>
      </c>
      <c r="H34" s="403"/>
      <c r="I34" s="22">
        <v>-156</v>
      </c>
      <c r="J34" s="22"/>
      <c r="K34" s="22">
        <v>-156</v>
      </c>
      <c r="N34" s="383"/>
    </row>
    <row r="35" spans="2:15" ht="14.25" customHeight="1" x14ac:dyDescent="0.2">
      <c r="D35" s="131"/>
      <c r="E35" s="74">
        <f>SUM(E26:E34)</f>
        <v>-9690</v>
      </c>
      <c r="F35" s="24"/>
      <c r="G35" s="74">
        <f>SUM(G26:G34)</f>
        <v>-9690</v>
      </c>
      <c r="H35" s="24"/>
      <c r="I35" s="74">
        <v>-9347</v>
      </c>
      <c r="J35" s="7"/>
      <c r="K35" s="74">
        <v>-9347</v>
      </c>
    </row>
    <row r="36" spans="2:15" ht="14.25" customHeight="1" x14ac:dyDescent="0.2">
      <c r="D36" s="131"/>
      <c r="E36" s="7"/>
      <c r="F36" s="24"/>
      <c r="G36" s="7"/>
      <c r="H36" s="24"/>
      <c r="I36" s="7"/>
      <c r="J36" s="7"/>
      <c r="K36" s="7"/>
      <c r="O36" s="383"/>
    </row>
    <row r="37" spans="2:15" ht="14.25" customHeight="1" x14ac:dyDescent="0.2">
      <c r="B37" s="372" t="s">
        <v>41</v>
      </c>
      <c r="D37" s="330"/>
      <c r="E37" s="8"/>
      <c r="F37" s="23"/>
      <c r="G37" s="8"/>
      <c r="H37" s="23"/>
      <c r="I37" s="8"/>
      <c r="J37" s="8"/>
      <c r="K37" s="8"/>
    </row>
    <row r="38" spans="2:15" ht="14.25" customHeight="1" x14ac:dyDescent="0.2">
      <c r="B38" s="71" t="s">
        <v>42</v>
      </c>
      <c r="D38" s="330">
        <v>22</v>
      </c>
      <c r="E38" s="8">
        <f>-'[1]Balancete 03.2023'!H1435</f>
        <v>33910</v>
      </c>
      <c r="F38" s="374"/>
      <c r="G38" s="8">
        <f>E38</f>
        <v>33910</v>
      </c>
      <c r="H38" s="374"/>
      <c r="I38" s="8">
        <v>25541</v>
      </c>
      <c r="J38" s="8"/>
      <c r="K38" s="8">
        <v>25541</v>
      </c>
      <c r="N38" s="383"/>
    </row>
    <row r="39" spans="2:15" ht="14.25" customHeight="1" x14ac:dyDescent="0.2">
      <c r="B39" s="71" t="s">
        <v>298</v>
      </c>
      <c r="D39" s="330">
        <v>23</v>
      </c>
      <c r="E39" s="8">
        <f>-SUMIF('Balancete 03.2023'!C:C,33212,'Balancete 03.2023'!I:I)</f>
        <v>1924</v>
      </c>
      <c r="F39" s="374"/>
      <c r="G39" s="8">
        <f t="shared" ref="G39:G42" si="2">E39</f>
        <v>1924</v>
      </c>
      <c r="H39" s="374"/>
      <c r="I39" s="8">
        <v>0</v>
      </c>
      <c r="J39" s="8"/>
      <c r="K39" s="8">
        <v>0</v>
      </c>
    </row>
    <row r="40" spans="2:15" ht="14.25" hidden="1" customHeight="1" x14ac:dyDescent="0.2">
      <c r="B40" s="71" t="s">
        <v>4633</v>
      </c>
      <c r="D40" s="330"/>
      <c r="E40" s="8">
        <f>-'[1]Balancete 03.2023'!H1409</f>
        <v>0</v>
      </c>
      <c r="F40" s="23"/>
      <c r="G40" s="8">
        <f t="shared" si="2"/>
        <v>0</v>
      </c>
      <c r="H40" s="23"/>
      <c r="I40" s="8"/>
      <c r="J40" s="8"/>
      <c r="K40" s="8"/>
    </row>
    <row r="41" spans="2:15" ht="14.25" customHeight="1" x14ac:dyDescent="0.2">
      <c r="B41" s="71" t="s">
        <v>43</v>
      </c>
      <c r="D41" s="330"/>
      <c r="E41" s="8">
        <f>-SUMIF('Balancete 03.2023'!C:C,33213,'Balancete 03.2023'!I:I)</f>
        <v>21</v>
      </c>
      <c r="F41" s="374"/>
      <c r="G41" s="8">
        <f t="shared" si="2"/>
        <v>21</v>
      </c>
      <c r="H41" s="374"/>
      <c r="I41" s="8">
        <v>1</v>
      </c>
      <c r="J41" s="8"/>
      <c r="K41" s="8">
        <v>1</v>
      </c>
      <c r="O41" s="383"/>
    </row>
    <row r="42" spans="2:15" ht="14.25" customHeight="1" thickBot="1" x14ac:dyDescent="0.25">
      <c r="B42" s="71" t="s">
        <v>4634</v>
      </c>
      <c r="D42" s="330"/>
      <c r="E42" s="8">
        <f>-'[1]Balancete 03.2023'!H1415</f>
        <v>0</v>
      </c>
      <c r="F42" s="374"/>
      <c r="G42" s="8">
        <f t="shared" si="2"/>
        <v>0</v>
      </c>
      <c r="H42" s="374"/>
      <c r="I42" s="8">
        <v>426</v>
      </c>
      <c r="J42" s="8"/>
      <c r="K42" s="8">
        <v>426</v>
      </c>
    </row>
    <row r="43" spans="2:15" ht="14.25" customHeight="1" x14ac:dyDescent="0.2">
      <c r="B43" s="373"/>
      <c r="D43" s="134"/>
      <c r="E43" s="27">
        <f>SUM(E38:E42)</f>
        <v>35855</v>
      </c>
      <c r="F43" s="376"/>
      <c r="G43" s="27">
        <f>SUM(G38:G42)</f>
        <v>35855</v>
      </c>
      <c r="H43" s="376"/>
      <c r="I43" s="27">
        <v>25968</v>
      </c>
      <c r="J43" s="7"/>
      <c r="K43" s="27">
        <v>25968</v>
      </c>
    </row>
    <row r="44" spans="2:15" ht="14.25" customHeight="1" x14ac:dyDescent="0.2">
      <c r="B44" s="373"/>
      <c r="D44" s="129"/>
      <c r="E44" s="24"/>
      <c r="F44" s="24"/>
      <c r="G44" s="24"/>
      <c r="H44" s="24"/>
      <c r="I44" s="24"/>
      <c r="J44" s="24"/>
      <c r="K44" s="24"/>
    </row>
    <row r="45" spans="2:15" ht="27" customHeight="1" x14ac:dyDescent="0.2">
      <c r="B45" s="404" t="s">
        <v>4591</v>
      </c>
      <c r="D45" s="132"/>
      <c r="E45" s="6">
        <f>E43+E35+E23</f>
        <v>4504</v>
      </c>
      <c r="F45" s="374"/>
      <c r="G45" s="6">
        <f>E45</f>
        <v>4504</v>
      </c>
      <c r="H45" s="374"/>
      <c r="I45" s="6">
        <v>-307</v>
      </c>
      <c r="J45" s="6"/>
      <c r="K45" s="6">
        <v>-307</v>
      </c>
    </row>
    <row r="46" spans="2:15" ht="14.25" customHeight="1" x14ac:dyDescent="0.25">
      <c r="B46" s="373"/>
      <c r="D46" s="129"/>
      <c r="E46"/>
      <c r="F46"/>
      <c r="G46"/>
      <c r="H46"/>
      <c r="I46" s="117"/>
      <c r="J46" s="117"/>
      <c r="K46" s="117"/>
    </row>
    <row r="47" spans="2:15" ht="14.25" customHeight="1" x14ac:dyDescent="0.2">
      <c r="B47" s="71" t="s">
        <v>44</v>
      </c>
      <c r="D47" s="330">
        <v>24</v>
      </c>
      <c r="E47" s="8">
        <f>-'[1]Balancete 03.2023'!H1455</f>
        <v>181</v>
      </c>
      <c r="F47" s="24"/>
      <c r="G47" s="8">
        <f>E47</f>
        <v>181</v>
      </c>
      <c r="H47" s="24"/>
      <c r="I47" s="8">
        <v>116</v>
      </c>
      <c r="J47" s="8"/>
      <c r="K47" s="8">
        <v>116</v>
      </c>
    </row>
    <row r="48" spans="2:15" ht="14.25" customHeight="1" x14ac:dyDescent="0.2">
      <c r="B48" s="71" t="s">
        <v>45</v>
      </c>
      <c r="D48" s="330">
        <v>24</v>
      </c>
      <c r="E48" s="8">
        <f>-'[1]Balancete 03.2023'!H1802</f>
        <v>-1522</v>
      </c>
      <c r="F48" s="23"/>
      <c r="G48" s="8">
        <f>E48</f>
        <v>-1522</v>
      </c>
      <c r="H48" s="23"/>
      <c r="I48" s="8">
        <v>-284</v>
      </c>
      <c r="J48" s="8"/>
      <c r="K48" s="8">
        <v>-284</v>
      </c>
    </row>
    <row r="49" spans="2:16" ht="14.25" customHeight="1" thickBot="1" x14ac:dyDescent="0.25">
      <c r="B49" s="373"/>
      <c r="D49" s="129"/>
      <c r="E49" s="378"/>
      <c r="F49" s="24"/>
      <c r="G49" s="378"/>
      <c r="H49" s="24"/>
      <c r="I49" s="378"/>
      <c r="J49" s="24"/>
      <c r="K49" s="378"/>
    </row>
    <row r="50" spans="2:16" ht="14.25" customHeight="1" x14ac:dyDescent="0.2">
      <c r="C50" s="379"/>
      <c r="D50" s="134"/>
      <c r="E50" s="6">
        <f>SUM(E47:E49)</f>
        <v>-1341</v>
      </c>
      <c r="F50" s="76"/>
      <c r="G50" s="6">
        <f>SUM(G47:G49)</f>
        <v>-1341</v>
      </c>
      <c r="H50" s="76"/>
      <c r="I50" s="6">
        <v>-168</v>
      </c>
      <c r="J50" s="6"/>
      <c r="K50" s="6">
        <v>-168</v>
      </c>
    </row>
    <row r="51" spans="2:16" ht="14.25" customHeight="1" x14ac:dyDescent="0.2">
      <c r="C51" s="379"/>
      <c r="D51" s="135"/>
      <c r="E51" s="77"/>
      <c r="F51" s="76"/>
      <c r="G51" s="77"/>
      <c r="H51" s="76"/>
      <c r="I51" s="77"/>
      <c r="J51" s="42"/>
      <c r="K51" s="77"/>
    </row>
    <row r="52" spans="2:16" s="372" customFormat="1" ht="14.25" customHeight="1" x14ac:dyDescent="0.2">
      <c r="B52" s="372" t="s">
        <v>4590</v>
      </c>
      <c r="C52" s="380"/>
      <c r="D52" s="135"/>
      <c r="E52" s="6">
        <f>+E45+E50</f>
        <v>3163</v>
      </c>
      <c r="F52" s="42"/>
      <c r="G52" s="6">
        <f>+G45+G50</f>
        <v>3163</v>
      </c>
      <c r="H52" s="42"/>
      <c r="I52" s="6">
        <v>-475</v>
      </c>
      <c r="J52" s="6"/>
      <c r="K52" s="6">
        <v>-475</v>
      </c>
      <c r="N52" s="383"/>
      <c r="O52" s="383"/>
      <c r="P52" s="383"/>
    </row>
    <row r="53" spans="2:16" ht="14.25" customHeight="1" x14ac:dyDescent="0.2">
      <c r="C53" s="379"/>
      <c r="D53" s="135"/>
      <c r="E53" s="42"/>
      <c r="F53" s="76"/>
      <c r="G53" s="42"/>
      <c r="H53" s="76"/>
      <c r="I53" s="42"/>
      <c r="J53" s="42"/>
      <c r="K53" s="42"/>
    </row>
    <row r="54" spans="2:16" ht="14.25" customHeight="1" x14ac:dyDescent="0.2">
      <c r="B54" s="379" t="s">
        <v>46</v>
      </c>
      <c r="C54" s="373"/>
      <c r="D54" s="330">
        <v>25</v>
      </c>
      <c r="E54" s="8">
        <f>-'[1]Balancete 03.2023'!H1745</f>
        <v>-1063</v>
      </c>
      <c r="F54" s="23"/>
      <c r="G54" s="8">
        <f>E54</f>
        <v>-1063</v>
      </c>
      <c r="H54" s="23"/>
      <c r="I54" s="8">
        <v>-580</v>
      </c>
      <c r="J54" s="8"/>
      <c r="K54" s="8">
        <v>-580</v>
      </c>
    </row>
    <row r="55" spans="2:16" ht="14.25" customHeight="1" thickBot="1" x14ac:dyDescent="0.25">
      <c r="B55" s="379"/>
      <c r="C55" s="373"/>
      <c r="D55" s="330"/>
      <c r="E55" s="43"/>
      <c r="F55" s="19"/>
      <c r="G55" s="43"/>
      <c r="H55" s="19"/>
      <c r="I55" s="43"/>
      <c r="J55" s="19"/>
      <c r="K55" s="43"/>
    </row>
    <row r="56" spans="2:16" ht="14.25" customHeight="1" thickBot="1" x14ac:dyDescent="0.25">
      <c r="B56" s="380" t="s">
        <v>4589</v>
      </c>
      <c r="D56" s="330"/>
      <c r="E56" s="78">
        <f>+E52+E54</f>
        <v>2100</v>
      </c>
      <c r="F56" s="7"/>
      <c r="G56" s="78">
        <f>+G52+G54</f>
        <v>2100</v>
      </c>
      <c r="H56" s="7"/>
      <c r="I56" s="78">
        <v>-1055</v>
      </c>
      <c r="J56" s="7"/>
      <c r="K56" s="78">
        <v>-1055</v>
      </c>
    </row>
    <row r="57" spans="2:16" ht="14.25" customHeight="1" thickTop="1" x14ac:dyDescent="0.2">
      <c r="C57" s="374"/>
      <c r="D57" s="75"/>
      <c r="E57" s="75"/>
      <c r="G57" s="75"/>
      <c r="I57" s="13"/>
      <c r="J57" s="13"/>
      <c r="K57" s="13"/>
    </row>
    <row r="58" spans="2:16" ht="14.25" customHeight="1" x14ac:dyDescent="0.2">
      <c r="B58" s="71" t="str">
        <f>[1]BP!B54</f>
        <v>As Notas Explicativas são parte integrante das Demonstrações Financeiras intermediáriais.</v>
      </c>
      <c r="C58" s="374"/>
      <c r="D58" s="75"/>
      <c r="E58" s="75"/>
      <c r="I58" s="13"/>
      <c r="J58" s="13"/>
      <c r="K58" s="13"/>
    </row>
    <row r="59" spans="2:16" ht="25.5" customHeight="1" x14ac:dyDescent="0.2">
      <c r="C59" s="374"/>
      <c r="D59" s="75"/>
      <c r="E59" s="75"/>
      <c r="I59" s="13"/>
      <c r="J59" s="13"/>
      <c r="K59" s="13"/>
    </row>
    <row r="60" spans="2:16" ht="14.25" customHeight="1" x14ac:dyDescent="0.2">
      <c r="D60" s="75"/>
      <c r="E60" s="75"/>
      <c r="I60" s="13"/>
      <c r="J60" s="13"/>
      <c r="K60" s="13"/>
    </row>
    <row r="61" spans="2:16" ht="14.25" customHeight="1" x14ac:dyDescent="0.2">
      <c r="D61" s="75"/>
      <c r="E61" s="75"/>
      <c r="I61" s="13"/>
      <c r="J61" s="13"/>
      <c r="K61" s="13"/>
    </row>
    <row r="62" spans="2:16" ht="14.25" customHeight="1" x14ac:dyDescent="0.2">
      <c r="E62" s="118"/>
    </row>
    <row r="63" spans="2:16" ht="14.25" customHeight="1" x14ac:dyDescent="0.2">
      <c r="E63" s="118"/>
    </row>
    <row r="64" spans="2:16" ht="14.25" customHeight="1" x14ac:dyDescent="0.2">
      <c r="E64" s="119"/>
    </row>
  </sheetData>
  <mergeCells count="4">
    <mergeCell ref="B2:K2"/>
    <mergeCell ref="B3:K3"/>
    <mergeCell ref="B4:K4"/>
    <mergeCell ref="B5:K5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8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  <pageSetUpPr fitToPage="1"/>
  </sheetPr>
  <dimension ref="A2:R16"/>
  <sheetViews>
    <sheetView showGridLines="0" workbookViewId="0">
      <selection activeCell="L1" sqref="L1:M1048576"/>
    </sheetView>
  </sheetViews>
  <sheetFormatPr defaultColWidth="9.140625" defaultRowHeight="14.25" customHeight="1" x14ac:dyDescent="0.2"/>
  <cols>
    <col min="1" max="1" width="2.42578125" style="137" customWidth="1"/>
    <col min="2" max="2" width="30.5703125" style="137" customWidth="1"/>
    <col min="3" max="3" width="9.140625" style="137" customWidth="1"/>
    <col min="4" max="5" width="2.7109375" style="137" customWidth="1"/>
    <col min="6" max="6" width="1.28515625" style="136" customWidth="1"/>
    <col min="7" max="7" width="14.28515625" style="72" customWidth="1"/>
    <col min="8" max="8" width="2.7109375" style="137" customWidth="1"/>
    <col min="9" max="9" width="13.5703125" style="137" hidden="1" customWidth="1"/>
    <col min="10" max="10" width="2.7109375" style="137" hidden="1" customWidth="1"/>
    <col min="11" max="11" width="13.5703125" style="137" customWidth="1"/>
    <col min="12" max="12" width="2.7109375" style="137" hidden="1" customWidth="1"/>
    <col min="13" max="13" width="13.5703125" style="137" hidden="1" customWidth="1"/>
    <col min="14" max="14" width="2.7109375" style="137" customWidth="1"/>
    <col min="15" max="15" width="9.140625" style="137"/>
    <col min="16" max="16" width="14.5703125" style="9" bestFit="1" customWidth="1"/>
    <col min="17" max="17" width="12.7109375" style="9" bestFit="1" customWidth="1"/>
    <col min="18" max="18" width="11.5703125" style="137" bestFit="1" customWidth="1"/>
    <col min="19" max="16384" width="9.140625" style="137"/>
  </cols>
  <sheetData>
    <row r="2" spans="1:18" ht="14.25" customHeight="1" x14ac:dyDescent="0.2">
      <c r="B2" s="716" t="str">
        <f>[1]BP!B2</f>
        <v>Empresa de Pesquisa Energética - EPE</v>
      </c>
      <c r="C2" s="716"/>
      <c r="D2" s="716"/>
      <c r="E2" s="716"/>
      <c r="F2" s="716"/>
      <c r="G2" s="716"/>
      <c r="H2" s="716"/>
      <c r="I2" s="716"/>
      <c r="J2" s="716"/>
      <c r="K2" s="716"/>
      <c r="L2" s="716"/>
      <c r="M2" s="716"/>
    </row>
    <row r="3" spans="1:18" ht="14.25" customHeight="1" x14ac:dyDescent="0.2">
      <c r="B3" s="717" t="str">
        <f>[1]BP!B3</f>
        <v>CNPJ 06.977.747/0001-80</v>
      </c>
      <c r="C3" s="717"/>
      <c r="D3" s="717"/>
      <c r="E3" s="717"/>
      <c r="F3" s="717"/>
      <c r="G3" s="717"/>
      <c r="H3" s="717"/>
      <c r="I3" s="717"/>
      <c r="J3" s="717"/>
      <c r="K3" s="717"/>
      <c r="L3" s="717"/>
      <c r="M3" s="717"/>
    </row>
    <row r="4" spans="1:18" ht="14.25" customHeight="1" x14ac:dyDescent="0.2">
      <c r="B4" s="716" t="s">
        <v>318</v>
      </c>
      <c r="C4" s="716"/>
      <c r="D4" s="716"/>
      <c r="E4" s="716"/>
      <c r="F4" s="716"/>
      <c r="G4" s="716"/>
      <c r="H4" s="716"/>
      <c r="I4" s="716"/>
      <c r="J4" s="716"/>
      <c r="K4" s="716"/>
      <c r="L4" s="716"/>
      <c r="M4" s="716"/>
    </row>
    <row r="5" spans="1:18" ht="14.25" customHeight="1" x14ac:dyDescent="0.2">
      <c r="B5" s="717" t="str">
        <f>[1]BP!B5</f>
        <v>(em milhares de reais)</v>
      </c>
      <c r="C5" s="717"/>
      <c r="D5" s="717"/>
      <c r="E5" s="717"/>
      <c r="F5" s="717"/>
      <c r="G5" s="717"/>
      <c r="H5" s="717"/>
      <c r="I5" s="717"/>
      <c r="J5" s="717"/>
      <c r="K5" s="717"/>
      <c r="L5" s="717"/>
      <c r="M5" s="717"/>
    </row>
    <row r="7" spans="1:18" ht="24.75" customHeight="1" thickBot="1" x14ac:dyDescent="0.25">
      <c r="F7" s="79"/>
      <c r="G7" s="73" t="s">
        <v>4628</v>
      </c>
      <c r="H7" s="80"/>
      <c r="I7" s="73" t="s">
        <v>4635</v>
      </c>
      <c r="J7" s="80"/>
      <c r="K7" s="73" t="s">
        <v>4646</v>
      </c>
      <c r="M7" s="73" t="s">
        <v>4647</v>
      </c>
    </row>
    <row r="8" spans="1:18" ht="12.75" x14ac:dyDescent="0.2">
      <c r="B8" s="81"/>
      <c r="C8" s="82"/>
      <c r="F8" s="18"/>
      <c r="G8" s="19"/>
      <c r="H8" s="18"/>
      <c r="I8" s="18"/>
      <c r="J8" s="18"/>
      <c r="K8" s="19"/>
    </row>
    <row r="9" spans="1:18" ht="14.25" customHeight="1" x14ac:dyDescent="0.2">
      <c r="B9" s="83" t="s">
        <v>4589</v>
      </c>
      <c r="F9" s="20"/>
      <c r="G9" s="7">
        <f>+[1]DRE!E56</f>
        <v>2100</v>
      </c>
      <c r="H9" s="20"/>
      <c r="I9" s="7">
        <f>+[1]DRE!G56</f>
        <v>2100</v>
      </c>
      <c r="J9" s="20"/>
      <c r="K9" s="7">
        <f>+[1]DRE!I56</f>
        <v>-1055</v>
      </c>
      <c r="M9" s="7">
        <f>K9</f>
        <v>-1055</v>
      </c>
    </row>
    <row r="10" spans="1:18" ht="14.25" customHeight="1" x14ac:dyDescent="0.2">
      <c r="B10" s="83"/>
      <c r="C10" s="21"/>
      <c r="F10" s="11"/>
      <c r="G10" s="75"/>
      <c r="K10" s="75"/>
    </row>
    <row r="11" spans="1:18" ht="12.75" x14ac:dyDescent="0.2">
      <c r="B11" s="81" t="s">
        <v>4636</v>
      </c>
      <c r="C11" s="21"/>
      <c r="F11" s="11"/>
      <c r="G11" s="75">
        <v>0</v>
      </c>
      <c r="K11" s="75">
        <v>0</v>
      </c>
      <c r="M11" s="75">
        <v>0</v>
      </c>
    </row>
    <row r="12" spans="1:18" ht="14.25" customHeight="1" x14ac:dyDescent="0.2">
      <c r="F12" s="11"/>
      <c r="G12" s="22"/>
      <c r="K12" s="22"/>
    </row>
    <row r="13" spans="1:18" s="136" customFormat="1" ht="14.25" customHeight="1" x14ac:dyDescent="0.2">
      <c r="A13" s="137"/>
      <c r="B13" s="83" t="s">
        <v>54</v>
      </c>
      <c r="C13" s="137"/>
      <c r="D13" s="137"/>
      <c r="E13" s="137"/>
      <c r="G13" s="7">
        <f>SUM(G9:G12)</f>
        <v>2100</v>
      </c>
      <c r="H13" s="7"/>
      <c r="I13" s="7">
        <f>SUM(I9:I12)</f>
        <v>2100</v>
      </c>
      <c r="J13" s="7"/>
      <c r="K13" s="7">
        <f>SUM(K9:K12)</f>
        <v>-1055</v>
      </c>
      <c r="L13" s="137"/>
      <c r="M13" s="7">
        <f>SUM(M9:M12)</f>
        <v>-1055</v>
      </c>
      <c r="N13" s="137"/>
      <c r="O13" s="137"/>
      <c r="P13" s="9"/>
      <c r="Q13" s="9"/>
      <c r="R13" s="137"/>
    </row>
    <row r="14" spans="1:18" s="136" customFormat="1" ht="14.25" hidden="1" customHeight="1" x14ac:dyDescent="0.2">
      <c r="A14" s="137"/>
      <c r="B14" s="137"/>
      <c r="C14" s="137"/>
      <c r="D14" s="137"/>
      <c r="E14" s="137"/>
      <c r="G14" s="381">
        <f>SUM(G9:G12)</f>
        <v>2100</v>
      </c>
      <c r="H14" s="137"/>
      <c r="I14" s="137"/>
      <c r="J14" s="137"/>
      <c r="K14" s="381">
        <f>SUM(K9:K12)</f>
        <v>-1055</v>
      </c>
      <c r="L14" s="137"/>
      <c r="M14" s="137"/>
      <c r="N14" s="137"/>
      <c r="O14" s="137"/>
      <c r="P14" s="9"/>
      <c r="Q14" s="9"/>
      <c r="R14" s="137"/>
    </row>
    <row r="16" spans="1:18" ht="14.25" customHeight="1" x14ac:dyDescent="0.2">
      <c r="B16" s="53" t="str">
        <f>[1]BP!B54</f>
        <v>As Notas Explicativas são parte integrante das Demonstrações Financeiras intermediáriais.</v>
      </c>
    </row>
  </sheetData>
  <mergeCells count="4">
    <mergeCell ref="B2:M2"/>
    <mergeCell ref="B3:M3"/>
    <mergeCell ref="B4:M4"/>
    <mergeCell ref="B5:M5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9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  <pageSetUpPr fitToPage="1"/>
  </sheetPr>
  <dimension ref="B5:P53"/>
  <sheetViews>
    <sheetView showGridLines="0" topLeftCell="A18" zoomScaleNormal="100" zoomScaleSheetLayoutView="90" workbookViewId="0">
      <selection activeCell="A5" sqref="A5:N38"/>
    </sheetView>
  </sheetViews>
  <sheetFormatPr defaultColWidth="9.140625" defaultRowHeight="12.75" x14ac:dyDescent="0.2"/>
  <cols>
    <col min="1" max="1" width="3" style="1" customWidth="1"/>
    <col min="2" max="2" width="34.28515625" style="1" customWidth="1"/>
    <col min="3" max="3" width="12.140625" style="1" customWidth="1"/>
    <col min="4" max="4" width="15" style="1" customWidth="1"/>
    <col min="5" max="5" width="1.5703125" style="1" customWidth="1"/>
    <col min="6" max="6" width="14.7109375" style="1" hidden="1" customWidth="1"/>
    <col min="7" max="7" width="2.7109375" style="1" hidden="1" customWidth="1"/>
    <col min="8" max="8" width="9" style="1" hidden="1" customWidth="1"/>
    <col min="9" max="9" width="2.7109375" style="1" hidden="1" customWidth="1"/>
    <col min="10" max="10" width="19.140625" style="1" customWidth="1"/>
    <col min="11" max="11" width="2.7109375" style="1" customWidth="1"/>
    <col min="12" max="12" width="16.28515625" style="1" customWidth="1"/>
    <col min="13" max="13" width="2.7109375" style="1" bestFit="1" customWidth="1"/>
    <col min="14" max="14" width="13.85546875" style="1" customWidth="1"/>
    <col min="15" max="15" width="4" style="1" customWidth="1"/>
    <col min="16" max="16384" width="9.140625" style="1"/>
  </cols>
  <sheetData>
    <row r="5" spans="2:15" x14ac:dyDescent="0.2">
      <c r="B5" s="716" t="str">
        <f>BP!B2</f>
        <v>Empresa de Pesquisa Energética - EPE</v>
      </c>
      <c r="C5" s="716"/>
      <c r="D5" s="716"/>
      <c r="E5" s="716"/>
      <c r="F5" s="716"/>
      <c r="G5" s="716"/>
      <c r="H5" s="716"/>
      <c r="I5" s="716"/>
      <c r="J5" s="716"/>
      <c r="K5" s="716"/>
      <c r="L5" s="716"/>
      <c r="M5" s="716"/>
      <c r="N5" s="716"/>
    </row>
    <row r="6" spans="2:15" x14ac:dyDescent="0.2">
      <c r="B6" s="717" t="str">
        <f>BP!B3</f>
        <v>CNPJ 06.977.747/0001-80</v>
      </c>
      <c r="C6" s="717"/>
      <c r="D6" s="717"/>
      <c r="E6" s="717"/>
      <c r="F6" s="717"/>
      <c r="G6" s="717"/>
      <c r="H6" s="717"/>
      <c r="I6" s="717"/>
      <c r="J6" s="717"/>
      <c r="K6" s="717"/>
      <c r="L6" s="717"/>
      <c r="M6" s="717"/>
      <c r="N6" s="717"/>
    </row>
    <row r="7" spans="2:15" x14ac:dyDescent="0.2">
      <c r="B7" s="716" t="s">
        <v>47</v>
      </c>
      <c r="C7" s="716"/>
      <c r="D7" s="716"/>
      <c r="E7" s="716"/>
      <c r="F7" s="716"/>
      <c r="G7" s="716"/>
      <c r="H7" s="716"/>
      <c r="I7" s="716"/>
      <c r="J7" s="716"/>
      <c r="K7" s="716"/>
      <c r="L7" s="716"/>
      <c r="M7" s="716"/>
      <c r="N7" s="716"/>
    </row>
    <row r="8" spans="2:15" x14ac:dyDescent="0.2">
      <c r="B8" s="717" t="str">
        <f>BP!B5</f>
        <v>(em milhares de reais)</v>
      </c>
      <c r="C8" s="717"/>
      <c r="D8" s="717"/>
      <c r="E8" s="717"/>
      <c r="F8" s="717"/>
      <c r="G8" s="717"/>
      <c r="H8" s="717"/>
      <c r="I8" s="717"/>
      <c r="J8" s="717"/>
      <c r="K8" s="717"/>
      <c r="L8" s="717"/>
      <c r="M8" s="717"/>
      <c r="N8" s="717"/>
    </row>
    <row r="10" spans="2:15" ht="38.25" x14ac:dyDescent="0.2">
      <c r="C10" s="125" t="s">
        <v>319</v>
      </c>
      <c r="D10" s="3" t="s">
        <v>48</v>
      </c>
      <c r="E10" s="3"/>
      <c r="F10" s="3" t="s">
        <v>49</v>
      </c>
      <c r="G10" s="3"/>
      <c r="H10" s="3" t="s">
        <v>50</v>
      </c>
      <c r="I10" s="4"/>
      <c r="J10" s="4" t="s">
        <v>51</v>
      </c>
      <c r="K10" s="4"/>
      <c r="L10" s="3" t="s">
        <v>52</v>
      </c>
      <c r="M10" s="3"/>
      <c r="N10" s="3" t="s">
        <v>53</v>
      </c>
    </row>
    <row r="11" spans="2:15" hidden="1" x14ac:dyDescent="0.2">
      <c r="C11" s="330"/>
      <c r="D11" s="11"/>
      <c r="E11" s="11"/>
      <c r="F11" s="11"/>
      <c r="G11" s="11"/>
      <c r="H11" s="11"/>
      <c r="I11" s="11"/>
      <c r="J11" s="11"/>
      <c r="K11" s="11"/>
      <c r="L11" s="8"/>
      <c r="M11" s="11"/>
      <c r="N11" s="8"/>
    </row>
    <row r="12" spans="2:15" ht="13.5" hidden="1" thickBot="1" x14ac:dyDescent="0.25">
      <c r="B12" s="29" t="s">
        <v>959</v>
      </c>
      <c r="C12" s="328"/>
      <c r="D12" s="159">
        <v>20544</v>
      </c>
      <c r="E12" s="6"/>
      <c r="F12" s="159">
        <v>163</v>
      </c>
      <c r="G12" s="7"/>
      <c r="H12" s="159">
        <v>0</v>
      </c>
      <c r="I12" s="6"/>
      <c r="J12" s="159">
        <v>5667</v>
      </c>
      <c r="K12" s="6"/>
      <c r="L12" s="5">
        <v>0</v>
      </c>
      <c r="M12" s="6"/>
      <c r="N12" s="5">
        <f>SUM(D12:L12)</f>
        <v>26374</v>
      </c>
      <c r="O12" s="136"/>
    </row>
    <row r="13" spans="2:15" ht="13.5" hidden="1" thickTop="1" x14ac:dyDescent="0.2">
      <c r="B13" s="29"/>
      <c r="C13" s="328"/>
      <c r="D13" s="7"/>
      <c r="E13" s="6"/>
      <c r="F13" s="7"/>
      <c r="G13" s="7"/>
      <c r="H13" s="7"/>
      <c r="I13" s="6"/>
      <c r="J13" s="7"/>
      <c r="K13" s="6"/>
      <c r="L13" s="7"/>
      <c r="M13" s="6"/>
      <c r="N13" s="8">
        <f>SUM(D13:L13)</f>
        <v>0</v>
      </c>
      <c r="O13" s="12"/>
    </row>
    <row r="14" spans="2:15" s="137" customFormat="1" hidden="1" x14ac:dyDescent="0.2">
      <c r="B14" s="137" t="s">
        <v>1775</v>
      </c>
      <c r="C14" s="329">
        <v>17</v>
      </c>
      <c r="D14" s="22">
        <f>J12</f>
        <v>5667</v>
      </c>
      <c r="E14" s="8"/>
      <c r="F14" s="22">
        <v>0</v>
      </c>
      <c r="G14" s="22"/>
      <c r="H14" s="22"/>
      <c r="I14" s="8"/>
      <c r="J14" s="22">
        <f>-D14</f>
        <v>-5667</v>
      </c>
      <c r="K14" s="8"/>
      <c r="L14" s="22">
        <v>0</v>
      </c>
      <c r="M14" s="8"/>
      <c r="N14" s="8">
        <f t="shared" ref="N14:N17" si="0">SUM(D14:L14)</f>
        <v>0</v>
      </c>
      <c r="O14" s="11"/>
    </row>
    <row r="15" spans="2:15" hidden="1" x14ac:dyDescent="0.2">
      <c r="B15" s="138" t="s">
        <v>86</v>
      </c>
      <c r="C15" s="328">
        <v>18</v>
      </c>
      <c r="D15" s="8">
        <v>0</v>
      </c>
      <c r="E15" s="13"/>
      <c r="F15" s="8">
        <v>0</v>
      </c>
      <c r="G15" s="13"/>
      <c r="H15" s="8">
        <v>0</v>
      </c>
      <c r="I15" s="13"/>
      <c r="J15" s="8">
        <v>2258</v>
      </c>
      <c r="K15" s="13"/>
      <c r="L15" s="13">
        <v>0</v>
      </c>
      <c r="M15" s="13"/>
      <c r="N15" s="8">
        <f t="shared" si="0"/>
        <v>2258</v>
      </c>
    </row>
    <row r="16" spans="2:15" hidden="1" x14ac:dyDescent="0.2">
      <c r="B16" s="138" t="s">
        <v>1776</v>
      </c>
      <c r="C16" s="328">
        <v>19</v>
      </c>
      <c r="D16" s="13">
        <v>0</v>
      </c>
      <c r="E16" s="13"/>
      <c r="F16" s="13">
        <v>0</v>
      </c>
      <c r="G16" s="13"/>
      <c r="H16" s="13">
        <v>0</v>
      </c>
      <c r="I16" s="13"/>
      <c r="J16" s="13">
        <v>0</v>
      </c>
      <c r="K16" s="13"/>
      <c r="L16" s="8">
        <f>-3521</f>
        <v>-3521</v>
      </c>
      <c r="M16" s="13"/>
      <c r="N16" s="8">
        <f t="shared" si="0"/>
        <v>-3521</v>
      </c>
    </row>
    <row r="17" spans="2:16" hidden="1" x14ac:dyDescent="0.2">
      <c r="B17" s="138" t="s">
        <v>1777</v>
      </c>
      <c r="C17" s="328">
        <v>19</v>
      </c>
      <c r="D17" s="122" t="s">
        <v>85</v>
      </c>
      <c r="E17" s="13"/>
      <c r="F17" s="8">
        <v>-163</v>
      </c>
      <c r="G17" s="13"/>
      <c r="H17" s="8">
        <v>0</v>
      </c>
      <c r="I17" s="13"/>
      <c r="J17" s="8">
        <v>0</v>
      </c>
      <c r="K17" s="13"/>
      <c r="L17" s="13">
        <f>-F17-H17</f>
        <v>163</v>
      </c>
      <c r="M17" s="13"/>
      <c r="N17" s="8">
        <f t="shared" si="0"/>
        <v>0</v>
      </c>
    </row>
    <row r="18" spans="2:16" x14ac:dyDescent="0.2">
      <c r="B18" s="138"/>
      <c r="C18" s="328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8"/>
    </row>
    <row r="19" spans="2:16" ht="13.5" thickBot="1" x14ac:dyDescent="0.25">
      <c r="B19" s="29" t="s">
        <v>1761</v>
      </c>
      <c r="C19" s="328"/>
      <c r="D19" s="5">
        <f>SUM(D12:D18)</f>
        <v>26211</v>
      </c>
      <c r="E19" s="6"/>
      <c r="F19" s="5">
        <f>SUM(F12:F18)</f>
        <v>0</v>
      </c>
      <c r="G19" s="7"/>
      <c r="H19" s="5">
        <f>SUM(H12:H18)</f>
        <v>0</v>
      </c>
      <c r="I19" s="6"/>
      <c r="J19" s="5">
        <f>SUM(J12:J18)</f>
        <v>2258</v>
      </c>
      <c r="K19" s="6"/>
      <c r="L19" s="5">
        <v>-3358</v>
      </c>
      <c r="M19" s="6"/>
      <c r="N19" s="5">
        <f>SUM(D19:L19)</f>
        <v>25111</v>
      </c>
      <c r="O19" s="11"/>
    </row>
    <row r="20" spans="2:16" ht="13.5" thickTop="1" x14ac:dyDescent="0.2">
      <c r="C20" s="328"/>
      <c r="N20" s="11"/>
      <c r="O20" s="11"/>
    </row>
    <row r="21" spans="2:16" hidden="1" x14ac:dyDescent="0.2">
      <c r="B21" s="138" t="s">
        <v>1775</v>
      </c>
      <c r="C21" s="328">
        <v>17</v>
      </c>
      <c r="D21" s="11">
        <v>0</v>
      </c>
      <c r="E21" s="11"/>
      <c r="F21" s="11">
        <v>0</v>
      </c>
      <c r="G21" s="11"/>
      <c r="H21" s="11">
        <v>0</v>
      </c>
      <c r="I21" s="11"/>
      <c r="J21" s="11">
        <f>-D21</f>
        <v>0</v>
      </c>
      <c r="K21" s="11"/>
      <c r="L21" s="8">
        <v>0</v>
      </c>
      <c r="M21" s="11"/>
      <c r="N21" s="8">
        <v>0</v>
      </c>
    </row>
    <row r="22" spans="2:16" x14ac:dyDescent="0.2">
      <c r="B22" s="138" t="s">
        <v>86</v>
      </c>
      <c r="C22" s="328"/>
      <c r="D22" s="8">
        <f ca="1">D15-D22</f>
        <v>0</v>
      </c>
      <c r="E22" s="11"/>
      <c r="F22" s="8">
        <v>0</v>
      </c>
      <c r="G22" s="11"/>
      <c r="H22" s="8">
        <v>0</v>
      </c>
      <c r="I22" s="11"/>
      <c r="J22" s="8">
        <v>1737</v>
      </c>
      <c r="K22" s="11"/>
      <c r="L22" s="11">
        <v>0</v>
      </c>
      <c r="M22" s="11"/>
      <c r="N22" s="8">
        <v>1737</v>
      </c>
    </row>
    <row r="23" spans="2:16" x14ac:dyDescent="0.2">
      <c r="B23" s="138" t="s">
        <v>1776</v>
      </c>
      <c r="C23" s="328"/>
      <c r="D23" s="122" t="s">
        <v>85</v>
      </c>
      <c r="E23" s="11"/>
      <c r="F23" s="8">
        <f>-F18</f>
        <v>0</v>
      </c>
      <c r="G23" s="11"/>
      <c r="H23" s="8">
        <v>0</v>
      </c>
      <c r="I23" s="11"/>
      <c r="J23" s="8">
        <v>0</v>
      </c>
      <c r="K23" s="11"/>
      <c r="L23" s="11">
        <v>-1055</v>
      </c>
      <c r="M23" s="11"/>
      <c r="N23" s="8">
        <f t="shared" ref="N23:N24" si="1">SUM(D23:L23)</f>
        <v>-1055</v>
      </c>
    </row>
    <row r="24" spans="2:16" hidden="1" x14ac:dyDescent="0.2">
      <c r="B24" s="1" t="s">
        <v>316</v>
      </c>
      <c r="C24" s="328"/>
      <c r="D24" s="122" t="s">
        <v>85</v>
      </c>
      <c r="E24" s="11"/>
      <c r="F24" s="8"/>
      <c r="G24" s="11"/>
      <c r="H24" s="8">
        <v>0</v>
      </c>
      <c r="I24" s="11"/>
      <c r="J24" s="8">
        <v>0</v>
      </c>
      <c r="K24" s="11"/>
      <c r="L24" s="11"/>
      <c r="M24" s="11"/>
      <c r="N24" s="8">
        <f t="shared" si="1"/>
        <v>0</v>
      </c>
      <c r="P24" s="11"/>
    </row>
    <row r="25" spans="2:16" x14ac:dyDescent="0.2">
      <c r="C25" s="328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8"/>
    </row>
    <row r="26" spans="2:16" s="138" customFormat="1" ht="13.5" thickBot="1" x14ac:dyDescent="0.25">
      <c r="B26" s="29" t="s">
        <v>4638</v>
      </c>
      <c r="C26" s="29"/>
      <c r="D26" s="5">
        <f>+D16+D19</f>
        <v>26211</v>
      </c>
      <c r="E26" s="6">
        <f t="shared" ref="E26:I26" si="2">SUM(E16:E22)</f>
        <v>0</v>
      </c>
      <c r="F26" s="5">
        <f>SUM(F19:F25)</f>
        <v>0</v>
      </c>
      <c r="G26" s="7">
        <f t="shared" si="2"/>
        <v>0</v>
      </c>
      <c r="H26" s="5">
        <f t="shared" si="2"/>
        <v>0</v>
      </c>
      <c r="I26" s="6">
        <f t="shared" si="2"/>
        <v>0</v>
      </c>
      <c r="J26" s="5">
        <f>SUM(J19:J24)</f>
        <v>3995</v>
      </c>
      <c r="K26" s="6"/>
      <c r="L26" s="5">
        <f>SUM(L19:L25)</f>
        <v>-4413</v>
      </c>
      <c r="M26" s="6"/>
      <c r="N26" s="5">
        <f>SUM(N19:N25)</f>
        <v>25793</v>
      </c>
      <c r="O26" s="13"/>
    </row>
    <row r="27" spans="2:16" s="138" customFormat="1" ht="13.5" thickTop="1" x14ac:dyDescent="0.2">
      <c r="C27" s="367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8"/>
    </row>
    <row r="28" spans="2:16" s="137" customFormat="1" x14ac:dyDescent="0.2">
      <c r="C28" s="367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8"/>
    </row>
    <row r="29" spans="2:16" ht="13.5" thickBot="1" x14ac:dyDescent="0.25">
      <c r="B29" s="29" t="s">
        <v>1356</v>
      </c>
      <c r="C29" s="29"/>
      <c r="D29" s="5">
        <f>'DMPL (2)'!D27</f>
        <v>28469</v>
      </c>
      <c r="E29" s="6">
        <f t="shared" ref="E29:M29" si="3">SUM(E19:E25)</f>
        <v>0</v>
      </c>
      <c r="F29" s="5">
        <f t="shared" si="3"/>
        <v>0</v>
      </c>
      <c r="G29" s="7">
        <f t="shared" si="3"/>
        <v>0</v>
      </c>
      <c r="H29" s="5">
        <f t="shared" si="3"/>
        <v>0</v>
      </c>
      <c r="I29" s="6">
        <f t="shared" si="3"/>
        <v>0</v>
      </c>
      <c r="J29" s="5">
        <f>'DMPL (2)'!J27</f>
        <v>2550</v>
      </c>
      <c r="K29" s="6"/>
      <c r="L29" s="5">
        <f>'DMPL (2)'!L27</f>
        <v>-5810</v>
      </c>
      <c r="M29" s="6">
        <f t="shared" si="3"/>
        <v>0</v>
      </c>
      <c r="N29" s="5">
        <f>SUM(D29:L29)</f>
        <v>25209</v>
      </c>
      <c r="O29" s="11">
        <f>N29-25209</f>
        <v>0</v>
      </c>
    </row>
    <row r="30" spans="2:16" s="137" customFormat="1" ht="13.5" hidden="1" thickTop="1" x14ac:dyDescent="0.2">
      <c r="B30" s="138" t="s">
        <v>1775</v>
      </c>
      <c r="C30" s="351">
        <v>17</v>
      </c>
      <c r="D30" s="11">
        <f>-'Balancete 03.2023'!G297</f>
        <v>0</v>
      </c>
      <c r="E30" s="11"/>
      <c r="F30" s="11">
        <v>0</v>
      </c>
      <c r="G30" s="11"/>
      <c r="H30" s="11">
        <v>0</v>
      </c>
      <c r="I30" s="11"/>
      <c r="J30" s="11">
        <f>-D30</f>
        <v>0</v>
      </c>
      <c r="K30" s="11"/>
      <c r="L30" s="8">
        <v>0</v>
      </c>
      <c r="M30" s="11"/>
      <c r="N30" s="8">
        <f t="shared" ref="N30" si="4">SUM(D30:L30)</f>
        <v>0</v>
      </c>
      <c r="O30" s="11"/>
    </row>
    <row r="31" spans="2:16" s="137" customFormat="1" ht="13.5" thickTop="1" x14ac:dyDescent="0.2">
      <c r="B31" s="138"/>
      <c r="C31" s="367"/>
      <c r="D31" s="11"/>
      <c r="E31" s="11"/>
      <c r="F31" s="11"/>
      <c r="G31" s="11"/>
      <c r="H31" s="11"/>
      <c r="I31" s="11"/>
      <c r="J31" s="11"/>
      <c r="K31" s="11"/>
      <c r="L31" s="8"/>
      <c r="M31" s="11"/>
      <c r="N31" s="8"/>
      <c r="O31" s="11"/>
    </row>
    <row r="32" spans="2:16" s="137" customFormat="1" x14ac:dyDescent="0.2">
      <c r="B32" s="138" t="s">
        <v>86</v>
      </c>
      <c r="C32" s="351">
        <v>18</v>
      </c>
      <c r="D32" s="8">
        <f ca="1">D21-D32</f>
        <v>0</v>
      </c>
      <c r="E32" s="11"/>
      <c r="F32" s="8">
        <v>0</v>
      </c>
      <c r="G32" s="11"/>
      <c r="H32" s="8">
        <v>0</v>
      </c>
      <c r="I32" s="11"/>
      <c r="J32" s="8">
        <f>-'Balancete 03.2023'!H1428</f>
        <v>16</v>
      </c>
      <c r="K32" s="11"/>
      <c r="L32" s="11">
        <v>0</v>
      </c>
      <c r="M32" s="11"/>
      <c r="N32" s="8">
        <v>16</v>
      </c>
      <c r="O32" s="11"/>
    </row>
    <row r="33" spans="2:15" s="137" customFormat="1" x14ac:dyDescent="0.2">
      <c r="B33" s="138" t="s">
        <v>4593</v>
      </c>
      <c r="C33" s="351">
        <v>19</v>
      </c>
      <c r="D33" s="122" t="s">
        <v>85</v>
      </c>
      <c r="E33" s="11"/>
      <c r="F33" s="8">
        <f>-F24</f>
        <v>0</v>
      </c>
      <c r="G33" s="11"/>
      <c r="H33" s="8">
        <v>0</v>
      </c>
      <c r="I33" s="11"/>
      <c r="J33" s="8">
        <v>0</v>
      </c>
      <c r="K33" s="11"/>
      <c r="L33" s="11">
        <f>DRE!E56</f>
        <v>2100</v>
      </c>
      <c r="M33" s="11"/>
      <c r="N33" s="8">
        <f>SUM(D33:L33)</f>
        <v>2100</v>
      </c>
      <c r="O33" s="11"/>
    </row>
    <row r="34" spans="2:15" s="137" customFormat="1" hidden="1" x14ac:dyDescent="0.2">
      <c r="B34" s="137" t="s">
        <v>316</v>
      </c>
      <c r="C34" s="351"/>
      <c r="D34" s="122" t="s">
        <v>85</v>
      </c>
      <c r="E34" s="11"/>
      <c r="F34" s="8"/>
      <c r="G34" s="11"/>
      <c r="H34" s="8">
        <v>0</v>
      </c>
      <c r="I34" s="11"/>
      <c r="J34" s="8">
        <v>0</v>
      </c>
      <c r="K34" s="11"/>
      <c r="L34" s="11">
        <v>0</v>
      </c>
      <c r="M34" s="11"/>
      <c r="N34" s="8">
        <f>SUM(D34:L34)</f>
        <v>0</v>
      </c>
      <c r="O34" s="11"/>
    </row>
    <row r="35" spans="2:15" x14ac:dyDescent="0.2">
      <c r="B35" s="137"/>
      <c r="C35" s="35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8"/>
      <c r="O35" s="11"/>
    </row>
    <row r="36" spans="2:15" ht="13.5" thickBot="1" x14ac:dyDescent="0.25">
      <c r="B36" s="29" t="s">
        <v>4592</v>
      </c>
      <c r="C36" s="29"/>
      <c r="D36" s="5">
        <f>D29</f>
        <v>28469</v>
      </c>
      <c r="E36" s="6">
        <f t="shared" ref="E36:I36" si="5">SUM(E25:E35)</f>
        <v>0</v>
      </c>
      <c r="F36" s="5">
        <f t="shared" si="5"/>
        <v>0</v>
      </c>
      <c r="G36" s="7">
        <f t="shared" si="5"/>
        <v>0</v>
      </c>
      <c r="H36" s="5">
        <f t="shared" si="5"/>
        <v>0</v>
      </c>
      <c r="I36" s="6">
        <f t="shared" si="5"/>
        <v>0</v>
      </c>
      <c r="J36" s="5">
        <f>SUM(J29:J35)</f>
        <v>2566</v>
      </c>
      <c r="K36" s="6"/>
      <c r="L36" s="5">
        <f>SUM(L29:L35)</f>
        <v>-3710</v>
      </c>
      <c r="M36" s="6">
        <f t="shared" ref="M36" si="6">SUM(M25:M35)</f>
        <v>0</v>
      </c>
      <c r="N36" s="5">
        <f>SUM(D36:L36)</f>
        <v>27325</v>
      </c>
      <c r="O36" s="6"/>
    </row>
    <row r="37" spans="2:15" s="137" customFormat="1" ht="13.5" thickTop="1" x14ac:dyDescent="0.2">
      <c r="B37" s="29"/>
      <c r="C37" s="29"/>
      <c r="D37" s="7"/>
      <c r="E37" s="6"/>
      <c r="F37" s="7"/>
      <c r="G37" s="7"/>
      <c r="H37" s="7"/>
      <c r="I37" s="6"/>
      <c r="J37" s="7"/>
      <c r="K37" s="6"/>
      <c r="L37" s="7"/>
      <c r="M37" s="6"/>
      <c r="N37" s="7"/>
      <c r="O37" s="6"/>
    </row>
    <row r="38" spans="2:15" x14ac:dyDescent="0.2">
      <c r="B38" s="1" t="str">
        <f>BP!B53</f>
        <v>As notas explicativas são parte integrante das demonstrações financeiras intermediárias.</v>
      </c>
      <c r="L38" s="11"/>
      <c r="N38" s="9"/>
    </row>
    <row r="39" spans="2:15" x14ac:dyDescent="0.2">
      <c r="I39" s="12"/>
      <c r="J39" s="12"/>
      <c r="K39" s="12"/>
    </row>
    <row r="40" spans="2:15" x14ac:dyDescent="0.2">
      <c r="D40" s="11">
        <f>D29-BP!D44</f>
        <v>0</v>
      </c>
      <c r="J40" s="11">
        <f>J36-BP!D46</f>
        <v>0</v>
      </c>
      <c r="L40" s="11">
        <f>L36-BP!D47</f>
        <v>0</v>
      </c>
      <c r="N40" s="11">
        <f>N36-BP!D48</f>
        <v>0</v>
      </c>
    </row>
    <row r="42" spans="2:15" x14ac:dyDescent="0.2">
      <c r="I42" s="12"/>
      <c r="J42" s="12"/>
      <c r="K42" s="12"/>
      <c r="O42" s="11"/>
    </row>
    <row r="43" spans="2:15" x14ac:dyDescent="0.2">
      <c r="I43" s="12"/>
      <c r="J43" s="12"/>
      <c r="K43" s="12"/>
    </row>
    <row r="44" spans="2:15" x14ac:dyDescent="0.2">
      <c r="I44" s="12"/>
      <c r="J44" s="12"/>
      <c r="K44" s="12"/>
    </row>
    <row r="45" spans="2:15" x14ac:dyDescent="0.2">
      <c r="I45" s="12"/>
      <c r="J45" s="12"/>
      <c r="K45" s="12"/>
    </row>
    <row r="53" spans="6:8" x14ac:dyDescent="0.2">
      <c r="F53" s="10"/>
      <c r="G53" s="10"/>
      <c r="H53" s="10"/>
    </row>
  </sheetData>
  <mergeCells count="4">
    <mergeCell ref="B5:N5"/>
    <mergeCell ref="B6:N6"/>
    <mergeCell ref="B7:N7"/>
    <mergeCell ref="B8:N8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73" orientation="portrait" r:id="rId1"/>
  <ignoredErrors>
    <ignoredError sqref="N15" formulaRange="1"/>
    <ignoredError sqref="F26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  <pageSetUpPr fitToPage="1"/>
  </sheetPr>
  <dimension ref="B5:P50"/>
  <sheetViews>
    <sheetView showGridLines="0" topLeftCell="A18" zoomScaleNormal="100" zoomScaleSheetLayoutView="90" workbookViewId="0">
      <selection activeCell="Q22" sqref="Q22"/>
    </sheetView>
  </sheetViews>
  <sheetFormatPr defaultColWidth="9.140625" defaultRowHeight="12.75" x14ac:dyDescent="0.2"/>
  <cols>
    <col min="1" max="1" width="3" style="137" customWidth="1"/>
    <col min="2" max="2" width="34.28515625" style="137" customWidth="1"/>
    <col min="3" max="3" width="12.140625" style="137" customWidth="1"/>
    <col min="4" max="4" width="13.85546875" style="137" bestFit="1" customWidth="1"/>
    <col min="5" max="5" width="1.5703125" style="137" customWidth="1"/>
    <col min="6" max="6" width="14.7109375" style="137" hidden="1" customWidth="1"/>
    <col min="7" max="7" width="1.7109375" style="137" customWidth="1"/>
    <col min="8" max="8" width="9" style="137" hidden="1" customWidth="1"/>
    <col min="9" max="9" width="0.7109375" style="137" customWidth="1"/>
    <col min="10" max="10" width="20.5703125" style="137" customWidth="1"/>
    <col min="11" max="11" width="2.7109375" style="137" customWidth="1"/>
    <col min="12" max="12" width="17.5703125" style="137" customWidth="1"/>
    <col min="13" max="13" width="1.42578125" style="137" customWidth="1"/>
    <col min="14" max="14" width="11.7109375" style="137" customWidth="1"/>
    <col min="15" max="15" width="15.7109375" style="137" bestFit="1" customWidth="1"/>
    <col min="16" max="16384" width="9.140625" style="137"/>
  </cols>
  <sheetData>
    <row r="5" spans="2:15" x14ac:dyDescent="0.2">
      <c r="B5" s="716" t="str">
        <f>BP!B2</f>
        <v>Empresa de Pesquisa Energética - EPE</v>
      </c>
      <c r="C5" s="716"/>
      <c r="D5" s="716"/>
      <c r="E5" s="716"/>
      <c r="F5" s="716"/>
      <c r="G5" s="716"/>
      <c r="H5" s="716"/>
      <c r="I5" s="716"/>
      <c r="J5" s="716"/>
      <c r="K5" s="716"/>
      <c r="L5" s="716"/>
      <c r="M5" s="716"/>
      <c r="N5" s="716"/>
    </row>
    <row r="6" spans="2:15" x14ac:dyDescent="0.2">
      <c r="B6" s="717" t="str">
        <f>BP!B3</f>
        <v>CNPJ 06.977.747/0001-80</v>
      </c>
      <c r="C6" s="717"/>
      <c r="D6" s="717"/>
      <c r="E6" s="717"/>
      <c r="F6" s="717"/>
      <c r="G6" s="717"/>
      <c r="H6" s="717"/>
      <c r="I6" s="717"/>
      <c r="J6" s="717"/>
      <c r="K6" s="717"/>
      <c r="L6" s="717"/>
      <c r="M6" s="717"/>
      <c r="N6" s="717"/>
    </row>
    <row r="7" spans="2:15" x14ac:dyDescent="0.2">
      <c r="B7" s="716" t="s">
        <v>47</v>
      </c>
      <c r="C7" s="716"/>
      <c r="D7" s="716"/>
      <c r="E7" s="716"/>
      <c r="F7" s="716"/>
      <c r="G7" s="716"/>
      <c r="H7" s="716"/>
      <c r="I7" s="716"/>
      <c r="J7" s="716"/>
      <c r="K7" s="716"/>
      <c r="L7" s="716"/>
      <c r="M7" s="716"/>
      <c r="N7" s="716"/>
    </row>
    <row r="8" spans="2:15" x14ac:dyDescent="0.2">
      <c r="B8" s="717" t="str">
        <f>BP!B5</f>
        <v>(em milhares de reais)</v>
      </c>
      <c r="C8" s="717"/>
      <c r="D8" s="717"/>
      <c r="E8" s="717"/>
      <c r="F8" s="717"/>
      <c r="G8" s="717"/>
      <c r="H8" s="717"/>
      <c r="I8" s="717"/>
      <c r="J8" s="717"/>
      <c r="K8" s="717"/>
      <c r="L8" s="717"/>
      <c r="M8" s="717"/>
      <c r="N8" s="717"/>
    </row>
    <row r="10" spans="2:15" ht="38.25" x14ac:dyDescent="0.2">
      <c r="C10" s="368" t="s">
        <v>319</v>
      </c>
      <c r="D10" s="3" t="s">
        <v>48</v>
      </c>
      <c r="E10" s="3"/>
      <c r="F10" s="3" t="s">
        <v>49</v>
      </c>
      <c r="G10" s="3"/>
      <c r="H10" s="3" t="s">
        <v>50</v>
      </c>
      <c r="I10" s="4"/>
      <c r="J10" s="4" t="s">
        <v>51</v>
      </c>
      <c r="K10" s="4"/>
      <c r="L10" s="3" t="s">
        <v>52</v>
      </c>
      <c r="M10" s="3"/>
      <c r="N10" s="3" t="s">
        <v>53</v>
      </c>
    </row>
    <row r="11" spans="2:15" hidden="1" x14ac:dyDescent="0.2">
      <c r="C11" s="330"/>
      <c r="D11" s="11"/>
      <c r="E11" s="11"/>
      <c r="F11" s="11"/>
      <c r="G11" s="11"/>
      <c r="H11" s="11"/>
      <c r="I11" s="11"/>
      <c r="J11" s="11"/>
      <c r="K11" s="11"/>
      <c r="L11" s="8"/>
      <c r="M11" s="11"/>
      <c r="N11" s="8"/>
    </row>
    <row r="12" spans="2:15" ht="13.5" hidden="1" thickBot="1" x14ac:dyDescent="0.25">
      <c r="B12" s="29" t="s">
        <v>959</v>
      </c>
      <c r="C12" s="367"/>
      <c r="D12" s="159">
        <v>20544</v>
      </c>
      <c r="E12" s="6"/>
      <c r="F12" s="159">
        <v>163</v>
      </c>
      <c r="G12" s="7"/>
      <c r="H12" s="159">
        <v>0</v>
      </c>
      <c r="I12" s="6"/>
      <c r="J12" s="159">
        <v>5667</v>
      </c>
      <c r="K12" s="6"/>
      <c r="L12" s="5">
        <v>0</v>
      </c>
      <c r="M12" s="6"/>
      <c r="N12" s="5">
        <f>SUM(D12:L12)</f>
        <v>26374</v>
      </c>
      <c r="O12" s="136"/>
    </row>
    <row r="13" spans="2:15" hidden="1" x14ac:dyDescent="0.2">
      <c r="B13" s="29"/>
      <c r="C13" s="367"/>
      <c r="D13" s="7"/>
      <c r="E13" s="6"/>
      <c r="F13" s="7"/>
      <c r="G13" s="7"/>
      <c r="H13" s="7"/>
      <c r="I13" s="6"/>
      <c r="J13" s="7"/>
      <c r="K13" s="6"/>
      <c r="L13" s="7"/>
      <c r="M13" s="6"/>
      <c r="N13" s="8">
        <f>SUM(D13:L13)</f>
        <v>0</v>
      </c>
      <c r="O13" s="136"/>
    </row>
    <row r="14" spans="2:15" hidden="1" x14ac:dyDescent="0.2">
      <c r="B14" s="137" t="s">
        <v>1775</v>
      </c>
      <c r="C14" s="369">
        <v>17</v>
      </c>
      <c r="D14" s="22">
        <f>J12</f>
        <v>5667</v>
      </c>
      <c r="E14" s="8"/>
      <c r="F14" s="22">
        <v>0</v>
      </c>
      <c r="G14" s="22"/>
      <c r="H14" s="22"/>
      <c r="I14" s="8"/>
      <c r="J14" s="22">
        <f>-D14</f>
        <v>-5667</v>
      </c>
      <c r="K14" s="8"/>
      <c r="L14" s="22">
        <v>0</v>
      </c>
      <c r="M14" s="8"/>
      <c r="N14" s="8">
        <f t="shared" ref="N14:N17" si="0">SUM(D14:L14)</f>
        <v>0</v>
      </c>
      <c r="O14" s="11"/>
    </row>
    <row r="15" spans="2:15" hidden="1" x14ac:dyDescent="0.2">
      <c r="B15" s="138" t="s">
        <v>86</v>
      </c>
      <c r="C15" s="367">
        <v>18</v>
      </c>
      <c r="D15" s="8">
        <v>0</v>
      </c>
      <c r="E15" s="13"/>
      <c r="F15" s="8">
        <v>0</v>
      </c>
      <c r="G15" s="13"/>
      <c r="H15" s="8">
        <v>0</v>
      </c>
      <c r="I15" s="13"/>
      <c r="J15" s="8">
        <v>2258</v>
      </c>
      <c r="K15" s="13"/>
      <c r="L15" s="13">
        <v>0</v>
      </c>
      <c r="M15" s="13"/>
      <c r="N15" s="8">
        <f t="shared" si="0"/>
        <v>2258</v>
      </c>
    </row>
    <row r="16" spans="2:15" hidden="1" x14ac:dyDescent="0.2">
      <c r="B16" s="138" t="s">
        <v>1776</v>
      </c>
      <c r="C16" s="367">
        <v>19</v>
      </c>
      <c r="D16" s="13">
        <v>0</v>
      </c>
      <c r="E16" s="13"/>
      <c r="F16" s="13">
        <v>0</v>
      </c>
      <c r="G16" s="13"/>
      <c r="H16" s="13">
        <v>0</v>
      </c>
      <c r="I16" s="13"/>
      <c r="J16" s="13">
        <v>0</v>
      </c>
      <c r="K16" s="13"/>
      <c r="L16" s="8">
        <f>-3521</f>
        <v>-3521</v>
      </c>
      <c r="M16" s="13"/>
      <c r="N16" s="8">
        <f t="shared" si="0"/>
        <v>-3521</v>
      </c>
    </row>
    <row r="17" spans="2:16" hidden="1" x14ac:dyDescent="0.2">
      <c r="B17" s="138" t="s">
        <v>1777</v>
      </c>
      <c r="C17" s="367">
        <v>19</v>
      </c>
      <c r="D17" s="122" t="s">
        <v>85</v>
      </c>
      <c r="E17" s="13"/>
      <c r="F17" s="8">
        <v>-163</v>
      </c>
      <c r="G17" s="13"/>
      <c r="H17" s="8">
        <v>0</v>
      </c>
      <c r="I17" s="13"/>
      <c r="J17" s="8">
        <v>0</v>
      </c>
      <c r="K17" s="13"/>
      <c r="L17" s="13">
        <f>-F17-H17</f>
        <v>163</v>
      </c>
      <c r="M17" s="13"/>
      <c r="N17" s="8">
        <f t="shared" si="0"/>
        <v>0</v>
      </c>
    </row>
    <row r="18" spans="2:16" x14ac:dyDescent="0.2">
      <c r="B18" s="138"/>
      <c r="C18" s="367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8"/>
    </row>
    <row r="19" spans="2:16" ht="13.5" thickBot="1" x14ac:dyDescent="0.25">
      <c r="B19" s="29" t="s">
        <v>4637</v>
      </c>
      <c r="C19" s="367"/>
      <c r="D19" s="5">
        <f>SUM(D12:D18)</f>
        <v>26211</v>
      </c>
      <c r="E19" s="6"/>
      <c r="F19" s="5">
        <f>SUM(F12:F18)</f>
        <v>0</v>
      </c>
      <c r="G19" s="7"/>
      <c r="H19" s="5">
        <f>SUM(H12:H18)</f>
        <v>0</v>
      </c>
      <c r="I19" s="6"/>
      <c r="J19" s="5">
        <f>SUM(J12:J18)</f>
        <v>2258</v>
      </c>
      <c r="K19" s="6"/>
      <c r="L19" s="5">
        <v>-3358</v>
      </c>
      <c r="M19" s="6"/>
      <c r="N19" s="5">
        <f>SUM(N12:N18)</f>
        <v>25111</v>
      </c>
      <c r="O19" s="11"/>
    </row>
    <row r="20" spans="2:16" ht="13.5" thickTop="1" x14ac:dyDescent="0.2">
      <c r="C20" s="367"/>
      <c r="N20" s="11"/>
      <c r="O20" s="11"/>
    </row>
    <row r="21" spans="2:16" x14ac:dyDescent="0.2">
      <c r="B21" s="138" t="s">
        <v>1775</v>
      </c>
      <c r="C21" s="367">
        <v>17</v>
      </c>
      <c r="D21" s="11">
        <v>2258</v>
      </c>
      <c r="E21" s="11"/>
      <c r="F21" s="11">
        <v>0</v>
      </c>
      <c r="G21" s="11"/>
      <c r="H21" s="11">
        <v>0</v>
      </c>
      <c r="I21" s="11"/>
      <c r="J21" s="11">
        <f>-D21</f>
        <v>-2258</v>
      </c>
      <c r="K21" s="11"/>
      <c r="L21" s="8">
        <v>0</v>
      </c>
      <c r="M21" s="11"/>
      <c r="N21" s="8">
        <v>0</v>
      </c>
    </row>
    <row r="22" spans="2:16" x14ac:dyDescent="0.2">
      <c r="B22" s="138" t="s">
        <v>86</v>
      </c>
      <c r="C22" s="367">
        <v>18</v>
      </c>
      <c r="D22" s="8">
        <f ca="1">D15-D22</f>
        <v>0</v>
      </c>
      <c r="E22" s="11"/>
      <c r="F22" s="8">
        <v>0</v>
      </c>
      <c r="G22" s="11"/>
      <c r="H22" s="8">
        <v>0</v>
      </c>
      <c r="I22" s="11"/>
      <c r="J22" s="8">
        <v>2550</v>
      </c>
      <c r="K22" s="11"/>
      <c r="L22" s="11">
        <v>0</v>
      </c>
      <c r="M22" s="11"/>
      <c r="N22" s="8">
        <v>2550</v>
      </c>
    </row>
    <row r="23" spans="2:16" x14ac:dyDescent="0.2">
      <c r="B23" s="138" t="s">
        <v>1776</v>
      </c>
      <c r="C23" s="367">
        <v>19</v>
      </c>
      <c r="D23" s="122" t="s">
        <v>85</v>
      </c>
      <c r="E23" s="11"/>
      <c r="F23" s="8">
        <f>-F18</f>
        <v>0</v>
      </c>
      <c r="G23" s="11"/>
      <c r="H23" s="8">
        <v>0</v>
      </c>
      <c r="I23" s="11"/>
      <c r="J23" s="8">
        <v>0</v>
      </c>
      <c r="K23" s="11"/>
      <c r="L23" s="11">
        <v>-2452</v>
      </c>
      <c r="M23" s="11"/>
      <c r="N23" s="8">
        <v>-2452</v>
      </c>
    </row>
    <row r="24" spans="2:16" x14ac:dyDescent="0.2">
      <c r="B24" s="137" t="s">
        <v>316</v>
      </c>
      <c r="C24" s="367"/>
      <c r="D24" s="122" t="s">
        <v>85</v>
      </c>
      <c r="E24" s="11"/>
      <c r="F24" s="8"/>
      <c r="G24" s="11"/>
      <c r="H24" s="8">
        <v>0</v>
      </c>
      <c r="I24" s="11"/>
      <c r="J24" s="8">
        <v>0</v>
      </c>
      <c r="K24" s="11"/>
      <c r="L24" s="11"/>
      <c r="M24" s="11"/>
      <c r="N24" s="8">
        <v>0</v>
      </c>
      <c r="P24" s="11"/>
    </row>
    <row r="25" spans="2:16" x14ac:dyDescent="0.2">
      <c r="C25" s="367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8"/>
    </row>
    <row r="26" spans="2:16" x14ac:dyDescent="0.2">
      <c r="C26" s="367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8"/>
    </row>
    <row r="27" spans="2:16" ht="13.5" thickBot="1" x14ac:dyDescent="0.25">
      <c r="B27" s="29" t="s">
        <v>1356</v>
      </c>
      <c r="C27" s="29"/>
      <c r="D27" s="5">
        <f>+D19+D21</f>
        <v>28469</v>
      </c>
      <c r="E27" s="6">
        <f t="shared" ref="E27:J27" si="1">SUM(E19:E25)</f>
        <v>0</v>
      </c>
      <c r="F27" s="5">
        <f t="shared" si="1"/>
        <v>0</v>
      </c>
      <c r="G27" s="7">
        <f t="shared" si="1"/>
        <v>0</v>
      </c>
      <c r="H27" s="5">
        <f t="shared" si="1"/>
        <v>0</v>
      </c>
      <c r="I27" s="6">
        <f t="shared" si="1"/>
        <v>0</v>
      </c>
      <c r="J27" s="5">
        <f t="shared" si="1"/>
        <v>2550</v>
      </c>
      <c r="K27" s="6"/>
      <c r="L27" s="5">
        <f>SUM(L19:L25)</f>
        <v>-5810</v>
      </c>
      <c r="M27" s="6">
        <f>SUM(M19:M25)</f>
        <v>0</v>
      </c>
      <c r="N27" s="5">
        <f>SUM(N19:N25)</f>
        <v>25209</v>
      </c>
      <c r="O27" s="11">
        <f>N27-25209</f>
        <v>0</v>
      </c>
    </row>
    <row r="28" spans="2:16" ht="13.5" thickTop="1" x14ac:dyDescent="0.2">
      <c r="B28" s="138" t="s">
        <v>1775</v>
      </c>
      <c r="C28" s="367">
        <v>17</v>
      </c>
      <c r="D28" s="11">
        <f>-'Balancete 03.2023'!G297</f>
        <v>0</v>
      </c>
      <c r="E28" s="11"/>
      <c r="F28" s="11">
        <v>0</v>
      </c>
      <c r="G28" s="11"/>
      <c r="H28" s="11">
        <v>0</v>
      </c>
      <c r="I28" s="11"/>
      <c r="J28" s="11">
        <f>-D28</f>
        <v>0</v>
      </c>
      <c r="K28" s="11"/>
      <c r="L28" s="8">
        <v>0</v>
      </c>
      <c r="M28" s="11"/>
      <c r="N28" s="8">
        <f t="shared" ref="N28" si="2">SUM(D28:L28)</f>
        <v>0</v>
      </c>
      <c r="O28" s="11"/>
    </row>
    <row r="29" spans="2:16" x14ac:dyDescent="0.2">
      <c r="B29" s="138" t="s">
        <v>86</v>
      </c>
      <c r="C29" s="367">
        <v>18</v>
      </c>
      <c r="D29" s="8">
        <f ca="1">D21-D29</f>
        <v>0</v>
      </c>
      <c r="E29" s="11"/>
      <c r="F29" s="8">
        <v>0</v>
      </c>
      <c r="G29" s="11"/>
      <c r="H29" s="8">
        <v>0</v>
      </c>
      <c r="I29" s="11"/>
      <c r="J29" s="8">
        <f>-'Balancete 03.2023'!H1428</f>
        <v>16</v>
      </c>
      <c r="K29" s="11"/>
      <c r="L29" s="11">
        <v>0</v>
      </c>
      <c r="M29" s="11"/>
      <c r="N29" s="8">
        <v>16</v>
      </c>
      <c r="O29" s="11"/>
    </row>
    <row r="30" spans="2:16" x14ac:dyDescent="0.2">
      <c r="B30" s="138" t="s">
        <v>4593</v>
      </c>
      <c r="C30" s="367">
        <v>19</v>
      </c>
      <c r="D30" s="122" t="s">
        <v>85</v>
      </c>
      <c r="E30" s="11"/>
      <c r="F30" s="8">
        <f>-F24</f>
        <v>0</v>
      </c>
      <c r="G30" s="11"/>
      <c r="H30" s="8">
        <v>0</v>
      </c>
      <c r="I30" s="11"/>
      <c r="J30" s="8">
        <v>0</v>
      </c>
      <c r="K30" s="11"/>
      <c r="L30" s="11">
        <f>DRE!E56</f>
        <v>2100</v>
      </c>
      <c r="M30" s="11"/>
      <c r="N30" s="8">
        <f>SUM(D30:L30)</f>
        <v>2100</v>
      </c>
      <c r="O30" s="11"/>
    </row>
    <row r="31" spans="2:16" x14ac:dyDescent="0.2">
      <c r="B31" s="137" t="s">
        <v>316</v>
      </c>
      <c r="C31" s="367"/>
      <c r="D31" s="122" t="s">
        <v>85</v>
      </c>
      <c r="E31" s="11"/>
      <c r="F31" s="8"/>
      <c r="G31" s="11"/>
      <c r="H31" s="8">
        <v>0</v>
      </c>
      <c r="I31" s="11"/>
      <c r="J31" s="8">
        <v>0</v>
      </c>
      <c r="K31" s="11"/>
      <c r="L31" s="11">
        <v>0</v>
      </c>
      <c r="M31" s="11"/>
      <c r="N31" s="8">
        <f>SUM(D31:L31)</f>
        <v>0</v>
      </c>
      <c r="O31" s="11"/>
    </row>
    <row r="32" spans="2:16" x14ac:dyDescent="0.2">
      <c r="C32" s="367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8"/>
      <c r="O32" s="11"/>
    </row>
    <row r="33" spans="2:15" ht="13.5" thickBot="1" x14ac:dyDescent="0.25">
      <c r="B33" s="29" t="s">
        <v>4592</v>
      </c>
      <c r="C33" s="29"/>
      <c r="D33" s="5">
        <f>+D25+D28</f>
        <v>0</v>
      </c>
      <c r="E33" s="6">
        <f t="shared" ref="E33:J33" si="3">SUM(E25:E32)</f>
        <v>0</v>
      </c>
      <c r="F33" s="5">
        <f t="shared" si="3"/>
        <v>0</v>
      </c>
      <c r="G33" s="7">
        <f t="shared" si="3"/>
        <v>0</v>
      </c>
      <c r="H33" s="5">
        <f t="shared" si="3"/>
        <v>0</v>
      </c>
      <c r="I33" s="6">
        <f t="shared" si="3"/>
        <v>0</v>
      </c>
      <c r="J33" s="5">
        <f t="shared" si="3"/>
        <v>2566</v>
      </c>
      <c r="K33" s="6"/>
      <c r="L33" s="5">
        <f>SUM(L25:L32)</f>
        <v>-3710</v>
      </c>
      <c r="M33" s="6">
        <f t="shared" ref="M33" si="4">SUM(M25:M32)</f>
        <v>0</v>
      </c>
      <c r="N33" s="5">
        <f>SUM(N25:N32)</f>
        <v>27325</v>
      </c>
      <c r="O33" s="6"/>
    </row>
    <row r="34" spans="2:15" ht="13.5" thickTop="1" x14ac:dyDescent="0.2">
      <c r="B34" s="29"/>
      <c r="C34" s="29"/>
      <c r="D34" s="7"/>
      <c r="E34" s="6"/>
      <c r="F34" s="7"/>
      <c r="G34" s="7"/>
      <c r="H34" s="7"/>
      <c r="I34" s="6"/>
      <c r="J34" s="7"/>
      <c r="K34" s="6"/>
      <c r="L34" s="7"/>
      <c r="M34" s="6"/>
      <c r="N34" s="7"/>
      <c r="O34" s="6"/>
    </row>
    <row r="35" spans="2:15" x14ac:dyDescent="0.2">
      <c r="B35" s="137" t="str">
        <f>BP!B53</f>
        <v>As notas explicativas são parte integrante das demonstrações financeiras intermediárias.</v>
      </c>
      <c r="L35" s="11"/>
      <c r="N35" s="9"/>
    </row>
    <row r="36" spans="2:15" x14ac:dyDescent="0.2">
      <c r="I36" s="136"/>
      <c r="J36" s="136"/>
      <c r="K36" s="136"/>
    </row>
    <row r="37" spans="2:15" x14ac:dyDescent="0.2">
      <c r="D37" s="11">
        <f>D27-BP!D44</f>
        <v>0</v>
      </c>
      <c r="J37" s="11">
        <f>J33-BP!D46</f>
        <v>0</v>
      </c>
      <c r="L37" s="11">
        <f>L33-BP!D47</f>
        <v>0</v>
      </c>
      <c r="N37" s="11">
        <f>N33-BP!D48</f>
        <v>0</v>
      </c>
    </row>
    <row r="39" spans="2:15" x14ac:dyDescent="0.2">
      <c r="I39" s="136"/>
      <c r="J39" s="136"/>
      <c r="K39" s="136"/>
      <c r="O39" s="11"/>
    </row>
    <row r="40" spans="2:15" x14ac:dyDescent="0.2">
      <c r="I40" s="136"/>
      <c r="J40" s="136"/>
      <c r="K40" s="136"/>
    </row>
    <row r="41" spans="2:15" x14ac:dyDescent="0.2">
      <c r="I41" s="136"/>
      <c r="J41" s="136"/>
      <c r="K41" s="136"/>
    </row>
    <row r="42" spans="2:15" x14ac:dyDescent="0.2">
      <c r="I42" s="136"/>
      <c r="J42" s="136"/>
      <c r="K42" s="136"/>
    </row>
    <row r="50" spans="6:8" x14ac:dyDescent="0.2">
      <c r="F50" s="10"/>
      <c r="G50" s="10"/>
      <c r="H50" s="10"/>
    </row>
  </sheetData>
  <mergeCells count="4">
    <mergeCell ref="B5:N5"/>
    <mergeCell ref="B6:N6"/>
    <mergeCell ref="B7:N7"/>
    <mergeCell ref="B8:N8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6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B1:M53"/>
  <sheetViews>
    <sheetView showGridLines="0" topLeftCell="A7" zoomScaleNormal="100" workbookViewId="0">
      <selection activeCell="H11" sqref="H11"/>
    </sheetView>
  </sheetViews>
  <sheetFormatPr defaultColWidth="9.140625" defaultRowHeight="12.75" x14ac:dyDescent="0.2"/>
  <cols>
    <col min="1" max="1" width="4.7109375" style="53" customWidth="1"/>
    <col min="2" max="2" width="67.85546875" style="50" customWidth="1"/>
    <col min="3" max="3" width="12.28515625" style="50" customWidth="1"/>
    <col min="4" max="4" width="3.5703125" style="50" customWidth="1"/>
    <col min="5" max="5" width="14.5703125" style="50" customWidth="1"/>
    <col min="6" max="6" width="2.5703125" style="53" customWidth="1"/>
    <col min="7" max="7" width="9.140625" style="53"/>
    <col min="8" max="8" width="12.85546875" style="53" bestFit="1" customWidth="1"/>
    <col min="9" max="16384" width="9.140625" style="53"/>
  </cols>
  <sheetData>
    <row r="1" spans="2:13" x14ac:dyDescent="0.2">
      <c r="B1" s="711" t="str">
        <f>BP!B2</f>
        <v>Empresa de Pesquisa Energética - EPE</v>
      </c>
      <c r="C1" s="711"/>
      <c r="D1" s="711"/>
      <c r="E1" s="711"/>
      <c r="F1" s="711"/>
      <c r="G1" s="52"/>
      <c r="H1" s="52"/>
      <c r="I1" s="52"/>
      <c r="J1" s="52"/>
    </row>
    <row r="2" spans="2:13" x14ac:dyDescent="0.2">
      <c r="B2" s="712" t="str">
        <f>BP!B3</f>
        <v>CNPJ 06.977.747/0001-80</v>
      </c>
      <c r="C2" s="712"/>
      <c r="D2" s="712"/>
      <c r="E2" s="712"/>
      <c r="F2" s="712"/>
      <c r="G2" s="54"/>
      <c r="H2" s="54"/>
      <c r="I2" s="54"/>
      <c r="J2" s="54"/>
    </row>
    <row r="3" spans="2:13" x14ac:dyDescent="0.2">
      <c r="B3" s="711" t="s">
        <v>79</v>
      </c>
      <c r="C3" s="711"/>
      <c r="D3" s="711"/>
      <c r="E3" s="711"/>
      <c r="F3" s="711"/>
      <c r="G3" s="52"/>
      <c r="H3" s="52"/>
      <c r="I3" s="52"/>
      <c r="J3" s="52"/>
    </row>
    <row r="4" spans="2:13" x14ac:dyDescent="0.2">
      <c r="B4" s="713" t="str">
        <f>BP!B5</f>
        <v>(em milhares de reais)</v>
      </c>
      <c r="C4" s="713"/>
      <c r="D4" s="713"/>
      <c r="E4" s="713"/>
      <c r="F4" s="713"/>
      <c r="G4" s="55"/>
      <c r="H4" s="55"/>
      <c r="I4" s="55"/>
      <c r="J4" s="55"/>
    </row>
    <row r="5" spans="2:13" ht="13.5" thickBot="1" x14ac:dyDescent="0.25">
      <c r="B5" s="47"/>
      <c r="C5" s="298">
        <v>45016</v>
      </c>
      <c r="D5" s="47"/>
      <c r="E5" s="297">
        <v>44651</v>
      </c>
    </row>
    <row r="6" spans="2:13" x14ac:dyDescent="0.2">
      <c r="B6" s="48" t="s">
        <v>80</v>
      </c>
      <c r="C6" s="85"/>
      <c r="D6" s="86"/>
      <c r="E6" s="85"/>
    </row>
    <row r="7" spans="2:13" x14ac:dyDescent="0.2">
      <c r="B7" s="121" t="s">
        <v>26</v>
      </c>
      <c r="C7" s="59">
        <f>DRE!E56</f>
        <v>2100</v>
      </c>
      <c r="D7" s="87"/>
      <c r="E7" s="263">
        <f>DRE!I56</f>
        <v>-1055</v>
      </c>
    </row>
    <row r="8" spans="2:13" x14ac:dyDescent="0.2">
      <c r="B8" s="57" t="s">
        <v>88</v>
      </c>
      <c r="C8" s="59">
        <f>SUMIF('Balancete 03.2023'!C:C,31,'Balancete 03.2023'!I:I)</f>
        <v>-33910</v>
      </c>
      <c r="D8" s="87"/>
      <c r="E8" s="263">
        <v>-25541</v>
      </c>
    </row>
    <row r="9" spans="2:13" hidden="1" x14ac:dyDescent="0.2">
      <c r="B9" s="177" t="s">
        <v>1287</v>
      </c>
      <c r="C9" s="180">
        <v>0</v>
      </c>
      <c r="D9" s="179"/>
      <c r="E9" s="263">
        <v>0</v>
      </c>
      <c r="G9" s="178"/>
      <c r="J9" s="84"/>
      <c r="K9" s="84"/>
      <c r="M9" s="84"/>
    </row>
    <row r="10" spans="2:13" x14ac:dyDescent="0.2">
      <c r="B10" s="57" t="s">
        <v>89</v>
      </c>
      <c r="C10" s="59">
        <f>-'Mov imob'!F20-'Mov imob'!E33</f>
        <v>807</v>
      </c>
      <c r="D10" s="59"/>
      <c r="E10" s="59">
        <v>734</v>
      </c>
    </row>
    <row r="11" spans="2:13" x14ac:dyDescent="0.2">
      <c r="B11" s="57" t="s">
        <v>961</v>
      </c>
      <c r="C11" s="272">
        <f>BP!D34-BP!F34+BP!D40-BP!F40</f>
        <v>1522</v>
      </c>
      <c r="D11" s="59"/>
      <c r="E11" s="272">
        <v>440</v>
      </c>
    </row>
    <row r="12" spans="2:13" x14ac:dyDescent="0.2">
      <c r="B12" s="57" t="s">
        <v>960</v>
      </c>
      <c r="C12" s="267">
        <f>SUM(-'Depósitos judiciais'!F4-'Depósitos judiciais'!F5-'Depósitos judiciais'!F6-'Depósitos judiciais'!F12-'Depósitos judiciais'!F13-'Depósitos judiciais'!F19-'Depósitos judiciais'!F20-'Depósitos judiciais'!F25-'Depósitos judiciais'!F27-'Depósitos judiciais'!F29-'Depósitos judiciais'!F30-'Depósitos judiciais'!F31-'Depósitos judiciais'!G16-'Depósitos judiciais'!G26)+SUM(-'Impostos a recuperar'!F27-'Impostos a recuperar'!F28-'Impostos a recuperar'!F29-'Impostos a recuperar'!F35-'Impostos a recuperar'!F36-'Impostos a recuperar'!F37-'Impostos a recuperar'!F43-'Impostos a recuperar'!F44-'Impostos a recuperar'!F45-'Impostos a recuperar'!F50-'Impostos a recuperar'!F51-'Impostos a recuperar'!F52-'Impostos a recuperar'!F57-'Impostos a recuperar'!F58-'Impostos a recuperar'!F59-'Impostos a recuperar'!F64-'Impostos a recuperar'!F65-'Impostos a recuperar'!F66-'Impostos a recuperar'!F72-'Impostos a recuperar'!F73-'Impostos a recuperar'!F74-'Impostos a recuperar'!F80-'Impostos a recuperar'!F81-'Impostos a recuperar'!F82-'Impostos a recuperar'!F87-'Impostos a recuperar'!F88-10-'Impostos a recuperar'!F89-'Impostos a recuperar'!F98-'Impostos a recuperar'!F99-'Impostos a recuperar'!F100-'Impostos a recuperar'!G5)</f>
        <v>-134.76</v>
      </c>
      <c r="D12" s="59"/>
      <c r="E12" s="264">
        <v>-189</v>
      </c>
      <c r="I12" s="70"/>
    </row>
    <row r="13" spans="2:13" x14ac:dyDescent="0.2">
      <c r="B13" s="57"/>
      <c r="C13" s="60"/>
      <c r="D13" s="59"/>
      <c r="E13" s="60"/>
    </row>
    <row r="14" spans="2:13" x14ac:dyDescent="0.2">
      <c r="B14" s="58" t="s">
        <v>90</v>
      </c>
      <c r="C14" s="49"/>
      <c r="D14" s="49"/>
      <c r="E14" s="49"/>
    </row>
    <row r="15" spans="2:13" hidden="1" x14ac:dyDescent="0.2">
      <c r="B15" s="57" t="s">
        <v>6</v>
      </c>
      <c r="C15" s="56">
        <v>0</v>
      </c>
      <c r="D15" s="49"/>
      <c r="E15" s="263"/>
    </row>
    <row r="16" spans="2:13" x14ac:dyDescent="0.2">
      <c r="B16" s="57" t="s">
        <v>307</v>
      </c>
      <c r="C16" s="56">
        <f>BP!F12-BP!D12</f>
        <v>-289</v>
      </c>
      <c r="D16" s="49"/>
      <c r="E16" s="56">
        <v>-227</v>
      </c>
      <c r="F16" s="14"/>
      <c r="G16" s="14"/>
    </row>
    <row r="17" spans="2:8" x14ac:dyDescent="0.2">
      <c r="B17" s="57" t="s">
        <v>308</v>
      </c>
      <c r="C17" s="56">
        <f>BP!F13-BP!D13+BP!F21-BP!D21</f>
        <v>-1542</v>
      </c>
      <c r="D17" s="49"/>
      <c r="E17" s="263">
        <v>-1445</v>
      </c>
      <c r="F17" s="14"/>
      <c r="G17" s="14"/>
      <c r="H17" s="84"/>
    </row>
    <row r="18" spans="2:8" x14ac:dyDescent="0.2">
      <c r="B18" s="57" t="s">
        <v>309</v>
      </c>
      <c r="C18" s="267">
        <f>SUM(-'Depósitos judiciais'!F11-'Depósitos judiciais'!F14-'Depósitos judiciais'!G15-'Depósitos judiciais'!F17-'Depósitos judiciais'!F18-'Depósitos judiciais'!F28)</f>
        <v>-53</v>
      </c>
      <c r="D18" s="49"/>
      <c r="E18" s="263">
        <v>0</v>
      </c>
      <c r="F18" s="14"/>
      <c r="G18" s="14"/>
      <c r="H18" s="84"/>
    </row>
    <row r="19" spans="2:8" x14ac:dyDescent="0.2">
      <c r="B19" s="57" t="s">
        <v>310</v>
      </c>
      <c r="C19" s="267">
        <f>SUM(-'Impostos a recuperar'!F34-'Impostos a recuperar'!F38-'Impostos a recuperar'!F71-'Impostos a recuperar'!F79-'Impostos a recuperar'!G11-'Impostos a recuperar'!G16-'Impostos a recuperar'!G21-'Impostos a recuperar'!G22)</f>
        <v>158</v>
      </c>
      <c r="D19" s="49"/>
      <c r="E19" s="263">
        <v>51</v>
      </c>
      <c r="F19" s="14"/>
      <c r="G19" s="14"/>
      <c r="H19" s="84"/>
    </row>
    <row r="20" spans="2:8" hidden="1" x14ac:dyDescent="0.2">
      <c r="B20" s="57" t="s">
        <v>311</v>
      </c>
      <c r="C20" s="56">
        <f>BP!F14-BP!D14</f>
        <v>0</v>
      </c>
      <c r="D20" s="49"/>
      <c r="E20" s="263">
        <v>0</v>
      </c>
      <c r="F20" s="14"/>
      <c r="G20" s="14"/>
      <c r="H20" s="84"/>
    </row>
    <row r="21" spans="2:8" x14ac:dyDescent="0.2">
      <c r="B21" s="57" t="s">
        <v>312</v>
      </c>
      <c r="C21" s="56">
        <f>BP!D31-BP!F31</f>
        <v>250</v>
      </c>
      <c r="D21" s="49"/>
      <c r="E21" s="263">
        <v>1247</v>
      </c>
      <c r="F21" s="14"/>
      <c r="G21" s="14"/>
    </row>
    <row r="22" spans="2:8" x14ac:dyDescent="0.2">
      <c r="B22" s="57" t="s">
        <v>313</v>
      </c>
      <c r="C22" s="56">
        <f>BP!D32-BP!F32</f>
        <v>105</v>
      </c>
      <c r="D22" s="49"/>
      <c r="E22" s="263">
        <v>-13</v>
      </c>
      <c r="F22" s="14"/>
      <c r="G22" s="14"/>
      <c r="H22" s="64"/>
    </row>
    <row r="23" spans="2:8" x14ac:dyDescent="0.2">
      <c r="B23" s="57" t="s">
        <v>314</v>
      </c>
      <c r="C23" s="56">
        <f>BP!D33-BP!F33</f>
        <v>495</v>
      </c>
      <c r="D23" s="49"/>
      <c r="E23" s="263">
        <v>1266</v>
      </c>
      <c r="F23" s="14"/>
      <c r="G23" s="14"/>
    </row>
    <row r="24" spans="2:8" hidden="1" x14ac:dyDescent="0.2">
      <c r="B24" s="57" t="s">
        <v>958</v>
      </c>
      <c r="C24" s="56">
        <v>0</v>
      </c>
      <c r="D24" s="49"/>
      <c r="E24" s="56">
        <v>0</v>
      </c>
      <c r="F24" s="14"/>
      <c r="G24" s="14"/>
    </row>
    <row r="25" spans="2:8" ht="13.5" thickBot="1" x14ac:dyDescent="0.25">
      <c r="B25" s="57" t="s">
        <v>315</v>
      </c>
      <c r="C25" s="61">
        <f>BP!D35-BP!F35+BP!D36-BP!F36</f>
        <v>-7</v>
      </c>
      <c r="D25" s="49"/>
      <c r="E25" s="61">
        <v>6</v>
      </c>
      <c r="F25" s="14"/>
      <c r="G25" s="14"/>
    </row>
    <row r="26" spans="2:8" x14ac:dyDescent="0.2">
      <c r="B26" s="62" t="s">
        <v>1772</v>
      </c>
      <c r="C26" s="181">
        <f>SUM(C7:C25)</f>
        <v>-30498.76</v>
      </c>
      <c r="D26" s="46"/>
      <c r="E26" s="63">
        <f>SUM(E7:E25)</f>
        <v>-24726</v>
      </c>
      <c r="F26" s="64"/>
    </row>
    <row r="27" spans="2:8" x14ac:dyDescent="0.2">
      <c r="B27" s="62"/>
      <c r="C27" s="56"/>
      <c r="D27" s="49"/>
      <c r="E27" s="56"/>
    </row>
    <row r="28" spans="2:8" x14ac:dyDescent="0.2">
      <c r="B28" s="62" t="s">
        <v>81</v>
      </c>
      <c r="C28" s="56"/>
      <c r="D28" s="49"/>
      <c r="E28" s="56"/>
    </row>
    <row r="29" spans="2:8" x14ac:dyDescent="0.2">
      <c r="B29" s="57" t="s">
        <v>305</v>
      </c>
      <c r="C29" s="272">
        <f>-'Mov imob'!C33-'Mov imob'!D32</f>
        <v>0</v>
      </c>
      <c r="D29" s="49"/>
      <c r="E29" s="265">
        <v>-45</v>
      </c>
    </row>
    <row r="30" spans="2:8" ht="13.5" thickBot="1" x14ac:dyDescent="0.25">
      <c r="B30" s="57" t="s">
        <v>306</v>
      </c>
      <c r="C30" s="273">
        <f>-'Mov imob'!C20</f>
        <v>-46</v>
      </c>
      <c r="D30" s="49"/>
      <c r="E30" s="61">
        <v>-1812</v>
      </c>
      <c r="H30" s="386"/>
    </row>
    <row r="31" spans="2:8" x14ac:dyDescent="0.2">
      <c r="B31" s="62" t="s">
        <v>303</v>
      </c>
      <c r="C31" s="63">
        <f>SUM(C29:C30)</f>
        <v>-46</v>
      </c>
      <c r="D31" s="46"/>
      <c r="E31" s="63">
        <f>SUM(E29:E30)</f>
        <v>-1857</v>
      </c>
      <c r="F31" s="64"/>
    </row>
    <row r="32" spans="2:8" x14ac:dyDescent="0.2">
      <c r="B32" s="62"/>
      <c r="C32" s="56"/>
      <c r="D32" s="49"/>
      <c r="E32" s="56"/>
    </row>
    <row r="33" spans="2:8" x14ac:dyDescent="0.2">
      <c r="B33" s="62" t="s">
        <v>82</v>
      </c>
      <c r="C33" s="56"/>
      <c r="D33" s="49"/>
      <c r="E33" s="56"/>
    </row>
    <row r="34" spans="2:8" x14ac:dyDescent="0.2">
      <c r="B34" s="57" t="s">
        <v>83</v>
      </c>
      <c r="C34" s="56">
        <f>DRE!E38</f>
        <v>33910</v>
      </c>
      <c r="D34" s="49"/>
      <c r="E34" s="263">
        <v>25541</v>
      </c>
    </row>
    <row r="35" spans="2:8" ht="13.5" thickBot="1" x14ac:dyDescent="0.25">
      <c r="B35" s="57" t="s">
        <v>84</v>
      </c>
      <c r="C35" s="61">
        <f>DMPL!J32</f>
        <v>16</v>
      </c>
      <c r="D35" s="49"/>
      <c r="E35" s="61">
        <v>1737</v>
      </c>
      <c r="H35" s="349"/>
    </row>
    <row r="36" spans="2:8" x14ac:dyDescent="0.2">
      <c r="B36" s="62" t="s">
        <v>304</v>
      </c>
      <c r="C36" s="63">
        <f>SUM(C34:C35)</f>
        <v>33926</v>
      </c>
      <c r="D36" s="46"/>
      <c r="E36" s="266">
        <f>+E34+E35</f>
        <v>27278</v>
      </c>
      <c r="F36" s="64"/>
    </row>
    <row r="37" spans="2:8" ht="13.5" thickBot="1" x14ac:dyDescent="0.25">
      <c r="B37" s="62"/>
      <c r="C37" s="61"/>
      <c r="D37" s="49"/>
      <c r="E37" s="61"/>
    </row>
    <row r="38" spans="2:8" ht="13.5" thickBot="1" x14ac:dyDescent="0.25">
      <c r="B38" s="62" t="s">
        <v>91</v>
      </c>
      <c r="C38" s="65">
        <f>C36+C26+C31</f>
        <v>3381.2400000000016</v>
      </c>
      <c r="D38" s="46"/>
      <c r="E38" s="182">
        <f>+E26+E31+E36</f>
        <v>695</v>
      </c>
      <c r="F38" s="64"/>
    </row>
    <row r="39" spans="2:8" ht="13.5" thickTop="1" x14ac:dyDescent="0.2">
      <c r="B39" s="62"/>
      <c r="C39" s="120"/>
      <c r="D39" s="46"/>
      <c r="E39" s="63"/>
      <c r="F39" s="64"/>
    </row>
    <row r="40" spans="2:8" x14ac:dyDescent="0.2">
      <c r="B40" s="66" t="s">
        <v>92</v>
      </c>
      <c r="C40" s="56">
        <f>BP!F10</f>
        <v>30622</v>
      </c>
      <c r="D40" s="49"/>
      <c r="E40" s="263">
        <v>31909</v>
      </c>
    </row>
    <row r="41" spans="2:8" x14ac:dyDescent="0.2">
      <c r="B41" s="66" t="s">
        <v>1770</v>
      </c>
      <c r="C41" s="56">
        <f>BP!D10</f>
        <v>34003</v>
      </c>
      <c r="D41" s="49"/>
      <c r="E41" s="263">
        <v>32604</v>
      </c>
      <c r="G41" s="70"/>
    </row>
    <row r="42" spans="2:8" ht="13.5" thickBot="1" x14ac:dyDescent="0.25">
      <c r="B42" s="66"/>
      <c r="C42" s="56"/>
      <c r="D42" s="49"/>
      <c r="E42" s="263"/>
      <c r="G42" s="70"/>
    </row>
    <row r="43" spans="2:8" ht="13.5" thickBot="1" x14ac:dyDescent="0.25">
      <c r="B43" s="62" t="s">
        <v>302</v>
      </c>
      <c r="C43" s="182">
        <f>C40-C41</f>
        <v>-3381</v>
      </c>
      <c r="D43" s="46"/>
      <c r="E43" s="182">
        <f>E40-E41</f>
        <v>-695</v>
      </c>
      <c r="F43" s="64"/>
    </row>
    <row r="44" spans="2:8" ht="13.5" thickTop="1" x14ac:dyDescent="0.2">
      <c r="C44" s="51"/>
    </row>
    <row r="45" spans="2:8" x14ac:dyDescent="0.2">
      <c r="B45" s="14" t="str">
        <f>BP!B53</f>
        <v>As notas explicativas são parte integrante das demonstrações financeiras intermediárias.</v>
      </c>
      <c r="C45" s="51"/>
    </row>
    <row r="46" spans="2:8" x14ac:dyDescent="0.2">
      <c r="C46" s="51"/>
    </row>
    <row r="47" spans="2:8" x14ac:dyDescent="0.2">
      <c r="C47" s="51"/>
    </row>
    <row r="48" spans="2:8" x14ac:dyDescent="0.2">
      <c r="C48" s="51">
        <f>C38+C43</f>
        <v>0.24000000000160071</v>
      </c>
      <c r="D48" s="51">
        <f t="shared" ref="D48" si="0">D38+D43</f>
        <v>0</v>
      </c>
      <c r="E48" s="51">
        <f>E38+E43</f>
        <v>0</v>
      </c>
    </row>
    <row r="49" spans="3:5" x14ac:dyDescent="0.2">
      <c r="C49" s="183"/>
    </row>
    <row r="50" spans="3:5" x14ac:dyDescent="0.2">
      <c r="C50" s="51"/>
    </row>
    <row r="51" spans="3:5" x14ac:dyDescent="0.2">
      <c r="C51" s="141"/>
      <c r="E51" s="51"/>
    </row>
    <row r="52" spans="3:5" x14ac:dyDescent="0.2">
      <c r="C52" s="51"/>
    </row>
    <row r="53" spans="3:5" x14ac:dyDescent="0.2">
      <c r="C53" s="51"/>
    </row>
  </sheetData>
  <mergeCells count="4">
    <mergeCell ref="B1:F1"/>
    <mergeCell ref="B2:F2"/>
    <mergeCell ref="B3:F3"/>
    <mergeCell ref="B4:F4"/>
  </mergeCells>
  <pageMargins left="0.511811024" right="0.511811024" top="0.78740157499999996" bottom="0.78740157499999996" header="0.31496062000000002" footer="0.31496062000000002"/>
  <pageSetup paperSize="9" scale="81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WUL96"/>
  <sheetViews>
    <sheetView showGridLines="0" zoomScaleNormal="100" workbookViewId="0">
      <selection activeCell="J34" sqref="J34"/>
    </sheetView>
  </sheetViews>
  <sheetFormatPr defaultRowHeight="13.5" customHeight="1" x14ac:dyDescent="0.2"/>
  <cols>
    <col min="1" max="1" width="3.7109375" style="137" customWidth="1"/>
    <col min="2" max="3" width="1.7109375" style="137" customWidth="1"/>
    <col min="4" max="4" width="48.85546875" style="137" bestFit="1" customWidth="1"/>
    <col min="5" max="5" width="18" style="138" customWidth="1"/>
    <col min="6" max="6" width="2.5703125" style="71" customWidth="1"/>
    <col min="7" max="7" width="17.85546875" style="138" customWidth="1"/>
    <col min="8" max="8" width="3" style="137" customWidth="1"/>
    <col min="9" max="11" width="9.140625" style="137"/>
    <col min="12" max="12" width="10.28515625" style="137" bestFit="1" customWidth="1"/>
    <col min="13" max="13" width="14" style="9" bestFit="1" customWidth="1"/>
    <col min="14" max="14" width="14" style="137" bestFit="1" customWidth="1"/>
    <col min="15" max="16" width="10.28515625" style="137" bestFit="1" customWidth="1"/>
    <col min="17" max="224" width="9.140625" style="137"/>
    <col min="225" max="225" width="3.7109375" style="137" customWidth="1"/>
    <col min="226" max="227" width="1.7109375" style="137" customWidth="1"/>
    <col min="228" max="228" width="45.140625" style="137" customWidth="1"/>
    <col min="229" max="229" width="24.42578125" style="137" customWidth="1"/>
    <col min="230" max="230" width="15.5703125" style="137" customWidth="1"/>
    <col min="231" max="231" width="9.140625" style="137"/>
    <col min="232" max="232" width="15.7109375" style="137" bestFit="1" customWidth="1"/>
    <col min="233" max="480" width="9.140625" style="137"/>
    <col min="481" max="481" width="3.7109375" style="137" customWidth="1"/>
    <col min="482" max="483" width="1.7109375" style="137" customWidth="1"/>
    <col min="484" max="484" width="45.140625" style="137" customWidth="1"/>
    <col min="485" max="485" width="24.42578125" style="137" customWidth="1"/>
    <col min="486" max="486" width="15.5703125" style="137" customWidth="1"/>
    <col min="487" max="487" width="9.140625" style="137"/>
    <col min="488" max="488" width="15.7109375" style="137" bestFit="1" customWidth="1"/>
    <col min="489" max="736" width="9.140625" style="137"/>
    <col min="737" max="737" width="3.7109375" style="137" customWidth="1"/>
    <col min="738" max="739" width="1.7109375" style="137" customWidth="1"/>
    <col min="740" max="740" width="45.140625" style="137" customWidth="1"/>
    <col min="741" max="741" width="24.42578125" style="137" customWidth="1"/>
    <col min="742" max="742" width="15.5703125" style="137" customWidth="1"/>
    <col min="743" max="743" width="9.140625" style="137"/>
    <col min="744" max="744" width="15.7109375" style="137" bestFit="1" customWidth="1"/>
    <col min="745" max="992" width="9.140625" style="137"/>
    <col min="993" max="993" width="3.7109375" style="137" customWidth="1"/>
    <col min="994" max="995" width="1.7109375" style="137" customWidth="1"/>
    <col min="996" max="996" width="45.140625" style="137" customWidth="1"/>
    <col min="997" max="997" width="24.42578125" style="137" customWidth="1"/>
    <col min="998" max="998" width="15.5703125" style="137" customWidth="1"/>
    <col min="999" max="999" width="9.140625" style="137"/>
    <col min="1000" max="1000" width="15.7109375" style="137" bestFit="1" customWidth="1"/>
    <col min="1001" max="1248" width="9.140625" style="137"/>
    <col min="1249" max="1249" width="3.7109375" style="137" customWidth="1"/>
    <col min="1250" max="1251" width="1.7109375" style="137" customWidth="1"/>
    <col min="1252" max="1252" width="45.140625" style="137" customWidth="1"/>
    <col min="1253" max="1253" width="24.42578125" style="137" customWidth="1"/>
    <col min="1254" max="1254" width="15.5703125" style="137" customWidth="1"/>
    <col min="1255" max="1255" width="9.140625" style="137"/>
    <col min="1256" max="1256" width="15.7109375" style="137" bestFit="1" customWidth="1"/>
    <col min="1257" max="1504" width="9.140625" style="137"/>
    <col min="1505" max="1505" width="3.7109375" style="137" customWidth="1"/>
    <col min="1506" max="1507" width="1.7109375" style="137" customWidth="1"/>
    <col min="1508" max="1508" width="45.140625" style="137" customWidth="1"/>
    <col min="1509" max="1509" width="24.42578125" style="137" customWidth="1"/>
    <col min="1510" max="1510" width="15.5703125" style="137" customWidth="1"/>
    <col min="1511" max="1511" width="9.140625" style="137"/>
    <col min="1512" max="1512" width="15.7109375" style="137" bestFit="1" customWidth="1"/>
    <col min="1513" max="1760" width="9.140625" style="137"/>
    <col min="1761" max="1761" width="3.7109375" style="137" customWidth="1"/>
    <col min="1762" max="1763" width="1.7109375" style="137" customWidth="1"/>
    <col min="1764" max="1764" width="45.140625" style="137" customWidth="1"/>
    <col min="1765" max="1765" width="24.42578125" style="137" customWidth="1"/>
    <col min="1766" max="1766" width="15.5703125" style="137" customWidth="1"/>
    <col min="1767" max="1767" width="9.140625" style="137"/>
    <col min="1768" max="1768" width="15.7109375" style="137" bestFit="1" customWidth="1"/>
    <col min="1769" max="2016" width="9.140625" style="137"/>
    <col min="2017" max="2017" width="3.7109375" style="137" customWidth="1"/>
    <col min="2018" max="2019" width="1.7109375" style="137" customWidth="1"/>
    <col min="2020" max="2020" width="45.140625" style="137" customWidth="1"/>
    <col min="2021" max="2021" width="24.42578125" style="137" customWidth="1"/>
    <col min="2022" max="2022" width="15.5703125" style="137" customWidth="1"/>
    <col min="2023" max="2023" width="9.140625" style="137"/>
    <col min="2024" max="2024" width="15.7109375" style="137" bestFit="1" customWidth="1"/>
    <col min="2025" max="2272" width="9.140625" style="137"/>
    <col min="2273" max="2273" width="3.7109375" style="137" customWidth="1"/>
    <col min="2274" max="2275" width="1.7109375" style="137" customWidth="1"/>
    <col min="2276" max="2276" width="45.140625" style="137" customWidth="1"/>
    <col min="2277" max="2277" width="24.42578125" style="137" customWidth="1"/>
    <col min="2278" max="2278" width="15.5703125" style="137" customWidth="1"/>
    <col min="2279" max="2279" width="9.140625" style="137"/>
    <col min="2280" max="2280" width="15.7109375" style="137" bestFit="1" customWidth="1"/>
    <col min="2281" max="2528" width="9.140625" style="137"/>
    <col min="2529" max="2529" width="3.7109375" style="137" customWidth="1"/>
    <col min="2530" max="2531" width="1.7109375" style="137" customWidth="1"/>
    <col min="2532" max="2532" width="45.140625" style="137" customWidth="1"/>
    <col min="2533" max="2533" width="24.42578125" style="137" customWidth="1"/>
    <col min="2534" max="2534" width="15.5703125" style="137" customWidth="1"/>
    <col min="2535" max="2535" width="9.140625" style="137"/>
    <col min="2536" max="2536" width="15.7109375" style="137" bestFit="1" customWidth="1"/>
    <col min="2537" max="2784" width="9.140625" style="137"/>
    <col min="2785" max="2785" width="3.7109375" style="137" customWidth="1"/>
    <col min="2786" max="2787" width="1.7109375" style="137" customWidth="1"/>
    <col min="2788" max="2788" width="45.140625" style="137" customWidth="1"/>
    <col min="2789" max="2789" width="24.42578125" style="137" customWidth="1"/>
    <col min="2790" max="2790" width="15.5703125" style="137" customWidth="1"/>
    <col min="2791" max="2791" width="9.140625" style="137"/>
    <col min="2792" max="2792" width="15.7109375" style="137" bestFit="1" customWidth="1"/>
    <col min="2793" max="3040" width="9.140625" style="137"/>
    <col min="3041" max="3041" width="3.7109375" style="137" customWidth="1"/>
    <col min="3042" max="3043" width="1.7109375" style="137" customWidth="1"/>
    <col min="3044" max="3044" width="45.140625" style="137" customWidth="1"/>
    <col min="3045" max="3045" width="24.42578125" style="137" customWidth="1"/>
    <col min="3046" max="3046" width="15.5703125" style="137" customWidth="1"/>
    <col min="3047" max="3047" width="9.140625" style="137"/>
    <col min="3048" max="3048" width="15.7109375" style="137" bestFit="1" customWidth="1"/>
    <col min="3049" max="3296" width="9.140625" style="137"/>
    <col min="3297" max="3297" width="3.7109375" style="137" customWidth="1"/>
    <col min="3298" max="3299" width="1.7109375" style="137" customWidth="1"/>
    <col min="3300" max="3300" width="45.140625" style="137" customWidth="1"/>
    <col min="3301" max="3301" width="24.42578125" style="137" customWidth="1"/>
    <col min="3302" max="3302" width="15.5703125" style="137" customWidth="1"/>
    <col min="3303" max="3303" width="9.140625" style="137"/>
    <col min="3304" max="3304" width="15.7109375" style="137" bestFit="1" customWidth="1"/>
    <col min="3305" max="3552" width="9.140625" style="137"/>
    <col min="3553" max="3553" width="3.7109375" style="137" customWidth="1"/>
    <col min="3554" max="3555" width="1.7109375" style="137" customWidth="1"/>
    <col min="3556" max="3556" width="45.140625" style="137" customWidth="1"/>
    <col min="3557" max="3557" width="24.42578125" style="137" customWidth="1"/>
    <col min="3558" max="3558" width="15.5703125" style="137" customWidth="1"/>
    <col min="3559" max="3559" width="9.140625" style="137"/>
    <col min="3560" max="3560" width="15.7109375" style="137" bestFit="1" customWidth="1"/>
    <col min="3561" max="3808" width="9.140625" style="137"/>
    <col min="3809" max="3809" width="3.7109375" style="137" customWidth="1"/>
    <col min="3810" max="3811" width="1.7109375" style="137" customWidth="1"/>
    <col min="3812" max="3812" width="45.140625" style="137" customWidth="1"/>
    <col min="3813" max="3813" width="24.42578125" style="137" customWidth="1"/>
    <col min="3814" max="3814" width="15.5703125" style="137" customWidth="1"/>
    <col min="3815" max="3815" width="9.140625" style="137"/>
    <col min="3816" max="3816" width="15.7109375" style="137" bestFit="1" customWidth="1"/>
    <col min="3817" max="4064" width="9.140625" style="137"/>
    <col min="4065" max="4065" width="3.7109375" style="137" customWidth="1"/>
    <col min="4066" max="4067" width="1.7109375" style="137" customWidth="1"/>
    <col min="4068" max="4068" width="45.140625" style="137" customWidth="1"/>
    <col min="4069" max="4069" width="24.42578125" style="137" customWidth="1"/>
    <col min="4070" max="4070" width="15.5703125" style="137" customWidth="1"/>
    <col min="4071" max="4071" width="9.140625" style="137"/>
    <col min="4072" max="4072" width="15.7109375" style="137" bestFit="1" customWidth="1"/>
    <col min="4073" max="4320" width="9.140625" style="137"/>
    <col min="4321" max="4321" width="3.7109375" style="137" customWidth="1"/>
    <col min="4322" max="4323" width="1.7109375" style="137" customWidth="1"/>
    <col min="4324" max="4324" width="45.140625" style="137" customWidth="1"/>
    <col min="4325" max="4325" width="24.42578125" style="137" customWidth="1"/>
    <col min="4326" max="4326" width="15.5703125" style="137" customWidth="1"/>
    <col min="4327" max="4327" width="9.140625" style="137"/>
    <col min="4328" max="4328" width="15.7109375" style="137" bestFit="1" customWidth="1"/>
    <col min="4329" max="4576" width="9.140625" style="137"/>
    <col min="4577" max="4577" width="3.7109375" style="137" customWidth="1"/>
    <col min="4578" max="4579" width="1.7109375" style="137" customWidth="1"/>
    <col min="4580" max="4580" width="45.140625" style="137" customWidth="1"/>
    <col min="4581" max="4581" width="24.42578125" style="137" customWidth="1"/>
    <col min="4582" max="4582" width="15.5703125" style="137" customWidth="1"/>
    <col min="4583" max="4583" width="9.140625" style="137"/>
    <col min="4584" max="4584" width="15.7109375" style="137" bestFit="1" customWidth="1"/>
    <col min="4585" max="4832" width="9.140625" style="137"/>
    <col min="4833" max="4833" width="3.7109375" style="137" customWidth="1"/>
    <col min="4834" max="4835" width="1.7109375" style="137" customWidth="1"/>
    <col min="4836" max="4836" width="45.140625" style="137" customWidth="1"/>
    <col min="4837" max="4837" width="24.42578125" style="137" customWidth="1"/>
    <col min="4838" max="4838" width="15.5703125" style="137" customWidth="1"/>
    <col min="4839" max="4839" width="9.140625" style="137"/>
    <col min="4840" max="4840" width="15.7109375" style="137" bestFit="1" customWidth="1"/>
    <col min="4841" max="5088" width="9.140625" style="137"/>
    <col min="5089" max="5089" width="3.7109375" style="137" customWidth="1"/>
    <col min="5090" max="5091" width="1.7109375" style="137" customWidth="1"/>
    <col min="5092" max="5092" width="45.140625" style="137" customWidth="1"/>
    <col min="5093" max="5093" width="24.42578125" style="137" customWidth="1"/>
    <col min="5094" max="5094" width="15.5703125" style="137" customWidth="1"/>
    <col min="5095" max="5095" width="9.140625" style="137"/>
    <col min="5096" max="5096" width="15.7109375" style="137" bestFit="1" customWidth="1"/>
    <col min="5097" max="5344" width="9.140625" style="137"/>
    <col min="5345" max="5345" width="3.7109375" style="137" customWidth="1"/>
    <col min="5346" max="5347" width="1.7109375" style="137" customWidth="1"/>
    <col min="5348" max="5348" width="45.140625" style="137" customWidth="1"/>
    <col min="5349" max="5349" width="24.42578125" style="137" customWidth="1"/>
    <col min="5350" max="5350" width="15.5703125" style="137" customWidth="1"/>
    <col min="5351" max="5351" width="9.140625" style="137"/>
    <col min="5352" max="5352" width="15.7109375" style="137" bestFit="1" customWidth="1"/>
    <col min="5353" max="5600" width="9.140625" style="137"/>
    <col min="5601" max="5601" width="3.7109375" style="137" customWidth="1"/>
    <col min="5602" max="5603" width="1.7109375" style="137" customWidth="1"/>
    <col min="5604" max="5604" width="45.140625" style="137" customWidth="1"/>
    <col min="5605" max="5605" width="24.42578125" style="137" customWidth="1"/>
    <col min="5606" max="5606" width="15.5703125" style="137" customWidth="1"/>
    <col min="5607" max="5607" width="9.140625" style="137"/>
    <col min="5608" max="5608" width="15.7109375" style="137" bestFit="1" customWidth="1"/>
    <col min="5609" max="5856" width="9.140625" style="137"/>
    <col min="5857" max="5857" width="3.7109375" style="137" customWidth="1"/>
    <col min="5858" max="5859" width="1.7109375" style="137" customWidth="1"/>
    <col min="5860" max="5860" width="45.140625" style="137" customWidth="1"/>
    <col min="5861" max="5861" width="24.42578125" style="137" customWidth="1"/>
    <col min="5862" max="5862" width="15.5703125" style="137" customWidth="1"/>
    <col min="5863" max="5863" width="9.140625" style="137"/>
    <col min="5864" max="5864" width="15.7109375" style="137" bestFit="1" customWidth="1"/>
    <col min="5865" max="6112" width="9.140625" style="137"/>
    <col min="6113" max="6113" width="3.7109375" style="137" customWidth="1"/>
    <col min="6114" max="6115" width="1.7109375" style="137" customWidth="1"/>
    <col min="6116" max="6116" width="45.140625" style="137" customWidth="1"/>
    <col min="6117" max="6117" width="24.42578125" style="137" customWidth="1"/>
    <col min="6118" max="6118" width="15.5703125" style="137" customWidth="1"/>
    <col min="6119" max="6119" width="9.140625" style="137"/>
    <col min="6120" max="6120" width="15.7109375" style="137" bestFit="1" customWidth="1"/>
    <col min="6121" max="6368" width="9.140625" style="137"/>
    <col min="6369" max="6369" width="3.7109375" style="137" customWidth="1"/>
    <col min="6370" max="6371" width="1.7109375" style="137" customWidth="1"/>
    <col min="6372" max="6372" width="45.140625" style="137" customWidth="1"/>
    <col min="6373" max="6373" width="24.42578125" style="137" customWidth="1"/>
    <col min="6374" max="6374" width="15.5703125" style="137" customWidth="1"/>
    <col min="6375" max="6375" width="9.140625" style="137"/>
    <col min="6376" max="6376" width="15.7109375" style="137" bestFit="1" customWidth="1"/>
    <col min="6377" max="6624" width="9.140625" style="137"/>
    <col min="6625" max="6625" width="3.7109375" style="137" customWidth="1"/>
    <col min="6626" max="6627" width="1.7109375" style="137" customWidth="1"/>
    <col min="6628" max="6628" width="45.140625" style="137" customWidth="1"/>
    <col min="6629" max="6629" width="24.42578125" style="137" customWidth="1"/>
    <col min="6630" max="6630" width="15.5703125" style="137" customWidth="1"/>
    <col min="6631" max="6631" width="9.140625" style="137"/>
    <col min="6632" max="6632" width="15.7109375" style="137" bestFit="1" customWidth="1"/>
    <col min="6633" max="6880" width="9.140625" style="137"/>
    <col min="6881" max="6881" width="3.7109375" style="137" customWidth="1"/>
    <col min="6882" max="6883" width="1.7109375" style="137" customWidth="1"/>
    <col min="6884" max="6884" width="45.140625" style="137" customWidth="1"/>
    <col min="6885" max="6885" width="24.42578125" style="137" customWidth="1"/>
    <col min="6886" max="6886" width="15.5703125" style="137" customWidth="1"/>
    <col min="6887" max="6887" width="9.140625" style="137"/>
    <col min="6888" max="6888" width="15.7109375" style="137" bestFit="1" customWidth="1"/>
    <col min="6889" max="7136" width="9.140625" style="137"/>
    <col min="7137" max="7137" width="3.7109375" style="137" customWidth="1"/>
    <col min="7138" max="7139" width="1.7109375" style="137" customWidth="1"/>
    <col min="7140" max="7140" width="45.140625" style="137" customWidth="1"/>
    <col min="7141" max="7141" width="24.42578125" style="137" customWidth="1"/>
    <col min="7142" max="7142" width="15.5703125" style="137" customWidth="1"/>
    <col min="7143" max="7143" width="9.140625" style="137"/>
    <col min="7144" max="7144" width="15.7109375" style="137" bestFit="1" customWidth="1"/>
    <col min="7145" max="7392" width="9.140625" style="137"/>
    <col min="7393" max="7393" width="3.7109375" style="137" customWidth="1"/>
    <col min="7394" max="7395" width="1.7109375" style="137" customWidth="1"/>
    <col min="7396" max="7396" width="45.140625" style="137" customWidth="1"/>
    <col min="7397" max="7397" width="24.42578125" style="137" customWidth="1"/>
    <col min="7398" max="7398" width="15.5703125" style="137" customWidth="1"/>
    <col min="7399" max="7399" width="9.140625" style="137"/>
    <col min="7400" max="7400" width="15.7109375" style="137" bestFit="1" customWidth="1"/>
    <col min="7401" max="7648" width="9.140625" style="137"/>
    <col min="7649" max="7649" width="3.7109375" style="137" customWidth="1"/>
    <col min="7650" max="7651" width="1.7109375" style="137" customWidth="1"/>
    <col min="7652" max="7652" width="45.140625" style="137" customWidth="1"/>
    <col min="7653" max="7653" width="24.42578125" style="137" customWidth="1"/>
    <col min="7654" max="7654" width="15.5703125" style="137" customWidth="1"/>
    <col min="7655" max="7655" width="9.140625" style="137"/>
    <col min="7656" max="7656" width="15.7109375" style="137" bestFit="1" customWidth="1"/>
    <col min="7657" max="7904" width="9.140625" style="137"/>
    <col min="7905" max="7905" width="3.7109375" style="137" customWidth="1"/>
    <col min="7906" max="7907" width="1.7109375" style="137" customWidth="1"/>
    <col min="7908" max="7908" width="45.140625" style="137" customWidth="1"/>
    <col min="7909" max="7909" width="24.42578125" style="137" customWidth="1"/>
    <col min="7910" max="7910" width="15.5703125" style="137" customWidth="1"/>
    <col min="7911" max="7911" width="9.140625" style="137"/>
    <col min="7912" max="7912" width="15.7109375" style="137" bestFit="1" customWidth="1"/>
    <col min="7913" max="8160" width="9.140625" style="137"/>
    <col min="8161" max="8161" width="3.7109375" style="137" customWidth="1"/>
    <col min="8162" max="8163" width="1.7109375" style="137" customWidth="1"/>
    <col min="8164" max="8164" width="45.140625" style="137" customWidth="1"/>
    <col min="8165" max="8165" width="24.42578125" style="137" customWidth="1"/>
    <col min="8166" max="8166" width="15.5703125" style="137" customWidth="1"/>
    <col min="8167" max="8167" width="9.140625" style="137"/>
    <col min="8168" max="8168" width="15.7109375" style="137" bestFit="1" customWidth="1"/>
    <col min="8169" max="8416" width="9.140625" style="137"/>
    <col min="8417" max="8417" width="3.7109375" style="137" customWidth="1"/>
    <col min="8418" max="8419" width="1.7109375" style="137" customWidth="1"/>
    <col min="8420" max="8420" width="45.140625" style="137" customWidth="1"/>
    <col min="8421" max="8421" width="24.42578125" style="137" customWidth="1"/>
    <col min="8422" max="8422" width="15.5703125" style="137" customWidth="1"/>
    <col min="8423" max="8423" width="9.140625" style="137"/>
    <col min="8424" max="8424" width="15.7109375" style="137" bestFit="1" customWidth="1"/>
    <col min="8425" max="8672" width="9.140625" style="137"/>
    <col min="8673" max="8673" width="3.7109375" style="137" customWidth="1"/>
    <col min="8674" max="8675" width="1.7109375" style="137" customWidth="1"/>
    <col min="8676" max="8676" width="45.140625" style="137" customWidth="1"/>
    <col min="8677" max="8677" width="24.42578125" style="137" customWidth="1"/>
    <col min="8678" max="8678" width="15.5703125" style="137" customWidth="1"/>
    <col min="8679" max="8679" width="9.140625" style="137"/>
    <col min="8680" max="8680" width="15.7109375" style="137" bestFit="1" customWidth="1"/>
    <col min="8681" max="8928" width="9.140625" style="137"/>
    <col min="8929" max="8929" width="3.7109375" style="137" customWidth="1"/>
    <col min="8930" max="8931" width="1.7109375" style="137" customWidth="1"/>
    <col min="8932" max="8932" width="45.140625" style="137" customWidth="1"/>
    <col min="8933" max="8933" width="24.42578125" style="137" customWidth="1"/>
    <col min="8934" max="8934" width="15.5703125" style="137" customWidth="1"/>
    <col min="8935" max="8935" width="9.140625" style="137"/>
    <col min="8936" max="8936" width="15.7109375" style="137" bestFit="1" customWidth="1"/>
    <col min="8937" max="9184" width="9.140625" style="137"/>
    <col min="9185" max="9185" width="3.7109375" style="137" customWidth="1"/>
    <col min="9186" max="9187" width="1.7109375" style="137" customWidth="1"/>
    <col min="9188" max="9188" width="45.140625" style="137" customWidth="1"/>
    <col min="9189" max="9189" width="24.42578125" style="137" customWidth="1"/>
    <col min="9190" max="9190" width="15.5703125" style="137" customWidth="1"/>
    <col min="9191" max="9191" width="9.140625" style="137"/>
    <col min="9192" max="9192" width="15.7109375" style="137" bestFit="1" customWidth="1"/>
    <col min="9193" max="9440" width="9.140625" style="137"/>
    <col min="9441" max="9441" width="3.7109375" style="137" customWidth="1"/>
    <col min="9442" max="9443" width="1.7109375" style="137" customWidth="1"/>
    <col min="9444" max="9444" width="45.140625" style="137" customWidth="1"/>
    <col min="9445" max="9445" width="24.42578125" style="137" customWidth="1"/>
    <col min="9446" max="9446" width="15.5703125" style="137" customWidth="1"/>
    <col min="9447" max="9447" width="9.140625" style="137"/>
    <col min="9448" max="9448" width="15.7109375" style="137" bestFit="1" customWidth="1"/>
    <col min="9449" max="9696" width="9.140625" style="137"/>
    <col min="9697" max="9697" width="3.7109375" style="137" customWidth="1"/>
    <col min="9698" max="9699" width="1.7109375" style="137" customWidth="1"/>
    <col min="9700" max="9700" width="45.140625" style="137" customWidth="1"/>
    <col min="9701" max="9701" width="24.42578125" style="137" customWidth="1"/>
    <col min="9702" max="9702" width="15.5703125" style="137" customWidth="1"/>
    <col min="9703" max="9703" width="9.140625" style="137"/>
    <col min="9704" max="9704" width="15.7109375" style="137" bestFit="1" customWidth="1"/>
    <col min="9705" max="9952" width="9.140625" style="137"/>
    <col min="9953" max="9953" width="3.7109375" style="137" customWidth="1"/>
    <col min="9954" max="9955" width="1.7109375" style="137" customWidth="1"/>
    <col min="9956" max="9956" width="45.140625" style="137" customWidth="1"/>
    <col min="9957" max="9957" width="24.42578125" style="137" customWidth="1"/>
    <col min="9958" max="9958" width="15.5703125" style="137" customWidth="1"/>
    <col min="9959" max="9959" width="9.140625" style="137"/>
    <col min="9960" max="9960" width="15.7109375" style="137" bestFit="1" customWidth="1"/>
    <col min="9961" max="10208" width="9.140625" style="137"/>
    <col min="10209" max="10209" width="3.7109375" style="137" customWidth="1"/>
    <col min="10210" max="10211" width="1.7109375" style="137" customWidth="1"/>
    <col min="10212" max="10212" width="45.140625" style="137" customWidth="1"/>
    <col min="10213" max="10213" width="24.42578125" style="137" customWidth="1"/>
    <col min="10214" max="10214" width="15.5703125" style="137" customWidth="1"/>
    <col min="10215" max="10215" width="9.140625" style="137"/>
    <col min="10216" max="10216" width="15.7109375" style="137" bestFit="1" customWidth="1"/>
    <col min="10217" max="10464" width="9.140625" style="137"/>
    <col min="10465" max="10465" width="3.7109375" style="137" customWidth="1"/>
    <col min="10466" max="10467" width="1.7109375" style="137" customWidth="1"/>
    <col min="10468" max="10468" width="45.140625" style="137" customWidth="1"/>
    <col min="10469" max="10469" width="24.42578125" style="137" customWidth="1"/>
    <col min="10470" max="10470" width="15.5703125" style="137" customWidth="1"/>
    <col min="10471" max="10471" width="9.140625" style="137"/>
    <col min="10472" max="10472" width="15.7109375" style="137" bestFit="1" customWidth="1"/>
    <col min="10473" max="10720" width="9.140625" style="137"/>
    <col min="10721" max="10721" width="3.7109375" style="137" customWidth="1"/>
    <col min="10722" max="10723" width="1.7109375" style="137" customWidth="1"/>
    <col min="10724" max="10724" width="45.140625" style="137" customWidth="1"/>
    <col min="10725" max="10725" width="24.42578125" style="137" customWidth="1"/>
    <col min="10726" max="10726" width="15.5703125" style="137" customWidth="1"/>
    <col min="10727" max="10727" width="9.140625" style="137"/>
    <col min="10728" max="10728" width="15.7109375" style="137" bestFit="1" customWidth="1"/>
    <col min="10729" max="10976" width="9.140625" style="137"/>
    <col min="10977" max="10977" width="3.7109375" style="137" customWidth="1"/>
    <col min="10978" max="10979" width="1.7109375" style="137" customWidth="1"/>
    <col min="10980" max="10980" width="45.140625" style="137" customWidth="1"/>
    <col min="10981" max="10981" width="24.42578125" style="137" customWidth="1"/>
    <col min="10982" max="10982" width="15.5703125" style="137" customWidth="1"/>
    <col min="10983" max="10983" width="9.140625" style="137"/>
    <col min="10984" max="10984" width="15.7109375" style="137" bestFit="1" customWidth="1"/>
    <col min="10985" max="11232" width="9.140625" style="137"/>
    <col min="11233" max="11233" width="3.7109375" style="137" customWidth="1"/>
    <col min="11234" max="11235" width="1.7109375" style="137" customWidth="1"/>
    <col min="11236" max="11236" width="45.140625" style="137" customWidth="1"/>
    <col min="11237" max="11237" width="24.42578125" style="137" customWidth="1"/>
    <col min="11238" max="11238" width="15.5703125" style="137" customWidth="1"/>
    <col min="11239" max="11239" width="9.140625" style="137"/>
    <col min="11240" max="11240" width="15.7109375" style="137" bestFit="1" customWidth="1"/>
    <col min="11241" max="11488" width="9.140625" style="137"/>
    <col min="11489" max="11489" width="3.7109375" style="137" customWidth="1"/>
    <col min="11490" max="11491" width="1.7109375" style="137" customWidth="1"/>
    <col min="11492" max="11492" width="45.140625" style="137" customWidth="1"/>
    <col min="11493" max="11493" width="24.42578125" style="137" customWidth="1"/>
    <col min="11494" max="11494" width="15.5703125" style="137" customWidth="1"/>
    <col min="11495" max="11495" width="9.140625" style="137"/>
    <col min="11496" max="11496" width="15.7109375" style="137" bestFit="1" customWidth="1"/>
    <col min="11497" max="11744" width="9.140625" style="137"/>
    <col min="11745" max="11745" width="3.7109375" style="137" customWidth="1"/>
    <col min="11746" max="11747" width="1.7109375" style="137" customWidth="1"/>
    <col min="11748" max="11748" width="45.140625" style="137" customWidth="1"/>
    <col min="11749" max="11749" width="24.42578125" style="137" customWidth="1"/>
    <col min="11750" max="11750" width="15.5703125" style="137" customWidth="1"/>
    <col min="11751" max="11751" width="9.140625" style="137"/>
    <col min="11752" max="11752" width="15.7109375" style="137" bestFit="1" customWidth="1"/>
    <col min="11753" max="12000" width="9.140625" style="137"/>
    <col min="12001" max="12001" width="3.7109375" style="137" customWidth="1"/>
    <col min="12002" max="12003" width="1.7109375" style="137" customWidth="1"/>
    <col min="12004" max="12004" width="45.140625" style="137" customWidth="1"/>
    <col min="12005" max="12005" width="24.42578125" style="137" customWidth="1"/>
    <col min="12006" max="12006" width="15.5703125" style="137" customWidth="1"/>
    <col min="12007" max="12007" width="9.140625" style="137"/>
    <col min="12008" max="12008" width="15.7109375" style="137" bestFit="1" customWidth="1"/>
    <col min="12009" max="12256" width="9.140625" style="137"/>
    <col min="12257" max="12257" width="3.7109375" style="137" customWidth="1"/>
    <col min="12258" max="12259" width="1.7109375" style="137" customWidth="1"/>
    <col min="12260" max="12260" width="45.140625" style="137" customWidth="1"/>
    <col min="12261" max="12261" width="24.42578125" style="137" customWidth="1"/>
    <col min="12262" max="12262" width="15.5703125" style="137" customWidth="1"/>
    <col min="12263" max="12263" width="9.140625" style="137"/>
    <col min="12264" max="12264" width="15.7109375" style="137" bestFit="1" customWidth="1"/>
    <col min="12265" max="12512" width="9.140625" style="137"/>
    <col min="12513" max="12513" width="3.7109375" style="137" customWidth="1"/>
    <col min="12514" max="12515" width="1.7109375" style="137" customWidth="1"/>
    <col min="12516" max="12516" width="45.140625" style="137" customWidth="1"/>
    <col min="12517" max="12517" width="24.42578125" style="137" customWidth="1"/>
    <col min="12518" max="12518" width="15.5703125" style="137" customWidth="1"/>
    <col min="12519" max="12519" width="9.140625" style="137"/>
    <col min="12520" max="12520" width="15.7109375" style="137" bestFit="1" customWidth="1"/>
    <col min="12521" max="12768" width="9.140625" style="137"/>
    <col min="12769" max="12769" width="3.7109375" style="137" customWidth="1"/>
    <col min="12770" max="12771" width="1.7109375" style="137" customWidth="1"/>
    <col min="12772" max="12772" width="45.140625" style="137" customWidth="1"/>
    <col min="12773" max="12773" width="24.42578125" style="137" customWidth="1"/>
    <col min="12774" max="12774" width="15.5703125" style="137" customWidth="1"/>
    <col min="12775" max="12775" width="9.140625" style="137"/>
    <col min="12776" max="12776" width="15.7109375" style="137" bestFit="1" customWidth="1"/>
    <col min="12777" max="13024" width="9.140625" style="137"/>
    <col min="13025" max="13025" width="3.7109375" style="137" customWidth="1"/>
    <col min="13026" max="13027" width="1.7109375" style="137" customWidth="1"/>
    <col min="13028" max="13028" width="45.140625" style="137" customWidth="1"/>
    <col min="13029" max="13029" width="24.42578125" style="137" customWidth="1"/>
    <col min="13030" max="13030" width="15.5703125" style="137" customWidth="1"/>
    <col min="13031" max="13031" width="9.140625" style="137"/>
    <col min="13032" max="13032" width="15.7109375" style="137" bestFit="1" customWidth="1"/>
    <col min="13033" max="13280" width="9.140625" style="137"/>
    <col min="13281" max="13281" width="3.7109375" style="137" customWidth="1"/>
    <col min="13282" max="13283" width="1.7109375" style="137" customWidth="1"/>
    <col min="13284" max="13284" width="45.140625" style="137" customWidth="1"/>
    <col min="13285" max="13285" width="24.42578125" style="137" customWidth="1"/>
    <col min="13286" max="13286" width="15.5703125" style="137" customWidth="1"/>
    <col min="13287" max="13287" width="9.140625" style="137"/>
    <col min="13288" max="13288" width="15.7109375" style="137" bestFit="1" customWidth="1"/>
    <col min="13289" max="13536" width="9.140625" style="137"/>
    <col min="13537" max="13537" width="3.7109375" style="137" customWidth="1"/>
    <col min="13538" max="13539" width="1.7109375" style="137" customWidth="1"/>
    <col min="13540" max="13540" width="45.140625" style="137" customWidth="1"/>
    <col min="13541" max="13541" width="24.42578125" style="137" customWidth="1"/>
    <col min="13542" max="13542" width="15.5703125" style="137" customWidth="1"/>
    <col min="13543" max="13543" width="9.140625" style="137"/>
    <col min="13544" max="13544" width="15.7109375" style="137" bestFit="1" customWidth="1"/>
    <col min="13545" max="13792" width="9.140625" style="137"/>
    <col min="13793" max="13793" width="3.7109375" style="137" customWidth="1"/>
    <col min="13794" max="13795" width="1.7109375" style="137" customWidth="1"/>
    <col min="13796" max="13796" width="45.140625" style="137" customWidth="1"/>
    <col min="13797" max="13797" width="24.42578125" style="137" customWidth="1"/>
    <col min="13798" max="13798" width="15.5703125" style="137" customWidth="1"/>
    <col min="13799" max="13799" width="9.140625" style="137"/>
    <col min="13800" max="13800" width="15.7109375" style="137" bestFit="1" customWidth="1"/>
    <col min="13801" max="14048" width="9.140625" style="137"/>
    <col min="14049" max="14049" width="3.7109375" style="137" customWidth="1"/>
    <col min="14050" max="14051" width="1.7109375" style="137" customWidth="1"/>
    <col min="14052" max="14052" width="45.140625" style="137" customWidth="1"/>
    <col min="14053" max="14053" width="24.42578125" style="137" customWidth="1"/>
    <col min="14054" max="14054" width="15.5703125" style="137" customWidth="1"/>
    <col min="14055" max="14055" width="9.140625" style="137"/>
    <col min="14056" max="14056" width="15.7109375" style="137" bestFit="1" customWidth="1"/>
    <col min="14057" max="14304" width="9.140625" style="137"/>
    <col min="14305" max="14305" width="3.7109375" style="137" customWidth="1"/>
    <col min="14306" max="14307" width="1.7109375" style="137" customWidth="1"/>
    <col min="14308" max="14308" width="45.140625" style="137" customWidth="1"/>
    <col min="14309" max="14309" width="24.42578125" style="137" customWidth="1"/>
    <col min="14310" max="14310" width="15.5703125" style="137" customWidth="1"/>
    <col min="14311" max="14311" width="9.140625" style="137"/>
    <col min="14312" max="14312" width="15.7109375" style="137" bestFit="1" customWidth="1"/>
    <col min="14313" max="14560" width="9.140625" style="137"/>
    <col min="14561" max="14561" width="3.7109375" style="137" customWidth="1"/>
    <col min="14562" max="14563" width="1.7109375" style="137" customWidth="1"/>
    <col min="14564" max="14564" width="45.140625" style="137" customWidth="1"/>
    <col min="14565" max="14565" width="24.42578125" style="137" customWidth="1"/>
    <col min="14566" max="14566" width="15.5703125" style="137" customWidth="1"/>
    <col min="14567" max="14567" width="9.140625" style="137"/>
    <col min="14568" max="14568" width="15.7109375" style="137" bestFit="1" customWidth="1"/>
    <col min="14569" max="14816" width="9.140625" style="137"/>
    <col min="14817" max="14817" width="3.7109375" style="137" customWidth="1"/>
    <col min="14818" max="14819" width="1.7109375" style="137" customWidth="1"/>
    <col min="14820" max="14820" width="45.140625" style="137" customWidth="1"/>
    <col min="14821" max="14821" width="24.42578125" style="137" customWidth="1"/>
    <col min="14822" max="14822" width="15.5703125" style="137" customWidth="1"/>
    <col min="14823" max="14823" width="9.140625" style="137"/>
    <col min="14824" max="14824" width="15.7109375" style="137" bestFit="1" customWidth="1"/>
    <col min="14825" max="15072" width="9.140625" style="137"/>
    <col min="15073" max="15073" width="3.7109375" style="137" customWidth="1"/>
    <col min="15074" max="15075" width="1.7109375" style="137" customWidth="1"/>
    <col min="15076" max="15076" width="45.140625" style="137" customWidth="1"/>
    <col min="15077" max="15077" width="24.42578125" style="137" customWidth="1"/>
    <col min="15078" max="15078" width="15.5703125" style="137" customWidth="1"/>
    <col min="15079" max="15079" width="9.140625" style="137"/>
    <col min="15080" max="15080" width="15.7109375" style="137" bestFit="1" customWidth="1"/>
    <col min="15081" max="15328" width="9.140625" style="137"/>
    <col min="15329" max="15329" width="3.7109375" style="137" customWidth="1"/>
    <col min="15330" max="15331" width="1.7109375" style="137" customWidth="1"/>
    <col min="15332" max="15332" width="45.140625" style="137" customWidth="1"/>
    <col min="15333" max="15333" width="24.42578125" style="137" customWidth="1"/>
    <col min="15334" max="15334" width="15.5703125" style="137" customWidth="1"/>
    <col min="15335" max="15335" width="9.140625" style="137"/>
    <col min="15336" max="15336" width="15.7109375" style="137" bestFit="1" customWidth="1"/>
    <col min="15337" max="15584" width="9.140625" style="137"/>
    <col min="15585" max="15585" width="3.7109375" style="137" customWidth="1"/>
    <col min="15586" max="15587" width="1.7109375" style="137" customWidth="1"/>
    <col min="15588" max="15588" width="45.140625" style="137" customWidth="1"/>
    <col min="15589" max="15589" width="24.42578125" style="137" customWidth="1"/>
    <col min="15590" max="15590" width="15.5703125" style="137" customWidth="1"/>
    <col min="15591" max="15591" width="9.140625" style="137"/>
    <col min="15592" max="15592" width="15.7109375" style="137" bestFit="1" customWidth="1"/>
    <col min="15593" max="15840" width="9.140625" style="137"/>
    <col min="15841" max="15841" width="3.7109375" style="137" customWidth="1"/>
    <col min="15842" max="15843" width="1.7109375" style="137" customWidth="1"/>
    <col min="15844" max="15844" width="45.140625" style="137" customWidth="1"/>
    <col min="15845" max="15845" width="24.42578125" style="137" customWidth="1"/>
    <col min="15846" max="15846" width="15.5703125" style="137" customWidth="1"/>
    <col min="15847" max="15847" width="9.140625" style="137"/>
    <col min="15848" max="15848" width="15.7109375" style="137" bestFit="1" customWidth="1"/>
    <col min="15849" max="16096" width="9.140625" style="137"/>
    <col min="16097" max="16097" width="3.7109375" style="137" customWidth="1"/>
    <col min="16098" max="16099" width="1.7109375" style="137" customWidth="1"/>
    <col min="16100" max="16100" width="45.140625" style="137" customWidth="1"/>
    <col min="16101" max="16101" width="24.42578125" style="137" customWidth="1"/>
    <col min="16102" max="16102" width="15.5703125" style="137" customWidth="1"/>
    <col min="16103" max="16103" width="9.140625" style="137"/>
    <col min="16104" max="16104" width="15.7109375" style="137" bestFit="1" customWidth="1"/>
    <col min="16105" max="16384" width="9.140625" style="137"/>
  </cols>
  <sheetData>
    <row r="1" spans="2:15" ht="12" customHeight="1" x14ac:dyDescent="0.2"/>
    <row r="2" spans="2:15" ht="14.25" customHeight="1" x14ac:dyDescent="0.2">
      <c r="B2" s="718" t="str">
        <f>BP!B2</f>
        <v>Empresa de Pesquisa Energética - EPE</v>
      </c>
      <c r="C2" s="718"/>
      <c r="D2" s="718"/>
      <c r="E2" s="718"/>
      <c r="F2" s="718"/>
      <c r="G2" s="718"/>
    </row>
    <row r="3" spans="2:15" ht="14.25" customHeight="1" x14ac:dyDescent="0.2">
      <c r="B3" s="719" t="str">
        <f>BP!B3</f>
        <v>CNPJ 06.977.747/0001-80</v>
      </c>
      <c r="C3" s="719"/>
      <c r="D3" s="719"/>
      <c r="E3" s="719"/>
      <c r="F3" s="719"/>
      <c r="G3" s="719"/>
    </row>
    <row r="4" spans="2:15" s="2" customFormat="1" ht="14.25" customHeight="1" x14ac:dyDescent="0.2">
      <c r="B4" s="718" t="s">
        <v>55</v>
      </c>
      <c r="C4" s="718"/>
      <c r="D4" s="718"/>
      <c r="E4" s="718"/>
      <c r="F4" s="718"/>
      <c r="G4" s="718"/>
      <c r="M4" s="254"/>
    </row>
    <row r="5" spans="2:15" ht="14.25" customHeight="1" x14ac:dyDescent="0.2">
      <c r="B5" s="719" t="str">
        <f>BP!B5</f>
        <v>(em milhares de reais)</v>
      </c>
      <c r="C5" s="719"/>
      <c r="D5" s="719"/>
      <c r="E5" s="719"/>
      <c r="F5" s="719"/>
      <c r="G5" s="719"/>
      <c r="H5" s="2"/>
    </row>
    <row r="6" spans="2:15" ht="14.25" customHeight="1" x14ac:dyDescent="0.2">
      <c r="B6" s="11"/>
      <c r="C6" s="11"/>
      <c r="D6" s="11"/>
      <c r="E6" s="13"/>
      <c r="F6" s="75"/>
      <c r="G6" s="13"/>
      <c r="H6" s="2"/>
    </row>
    <row r="7" spans="2:15" thickBot="1" x14ac:dyDescent="0.25">
      <c r="B7" s="88"/>
      <c r="C7" s="88"/>
      <c r="D7" s="88"/>
      <c r="E7" s="112">
        <v>45016</v>
      </c>
      <c r="F7" s="89"/>
      <c r="G7" s="112">
        <v>44651</v>
      </c>
      <c r="H7" s="2"/>
    </row>
    <row r="8" spans="2:15" ht="14.25" customHeight="1" x14ac:dyDescent="0.2">
      <c r="B8" s="11"/>
      <c r="C8" s="11"/>
      <c r="D8" s="11"/>
      <c r="E8" s="13"/>
      <c r="F8" s="75"/>
      <c r="G8" s="13"/>
      <c r="H8" s="2"/>
    </row>
    <row r="9" spans="2:15" ht="14.25" customHeight="1" x14ac:dyDescent="0.2">
      <c r="B9" s="68" t="s">
        <v>56</v>
      </c>
      <c r="C9" s="68"/>
      <c r="D9" s="11"/>
      <c r="E9" s="90"/>
      <c r="F9" s="90"/>
      <c r="G9" s="90"/>
      <c r="N9" s="10"/>
      <c r="O9" s="10"/>
    </row>
    <row r="10" spans="2:15" ht="14.25" customHeight="1" x14ac:dyDescent="0.2">
      <c r="B10" s="11"/>
      <c r="C10" s="11" t="s">
        <v>57</v>
      </c>
      <c r="D10" s="11"/>
      <c r="E10" s="91">
        <f>DRE!E38</f>
        <v>33910</v>
      </c>
      <c r="F10" s="91"/>
      <c r="G10" s="91">
        <v>25541</v>
      </c>
      <c r="N10" s="10"/>
      <c r="O10" s="10"/>
    </row>
    <row r="11" spans="2:15" ht="14.25" customHeight="1" x14ac:dyDescent="0.2">
      <c r="B11" s="11"/>
      <c r="C11" s="11" t="s">
        <v>58</v>
      </c>
      <c r="D11" s="11"/>
      <c r="E11" s="107">
        <f>-SUM(SUMIF('Balancete 03.2023'!C:C,33212,'Balancete 03.2023'!I:I),SUMIF('Balancete 03.2023'!C:C,339,'Balancete 03.2023'!I:I),SUMIF('Balancete 03.2023'!C:C,33213,'Balancete 03.2023'!I:I))</f>
        <v>1945</v>
      </c>
      <c r="F11" s="92"/>
      <c r="G11" s="107">
        <v>450</v>
      </c>
      <c r="H11" s="143"/>
      <c r="L11" s="9"/>
      <c r="M11" s="334"/>
      <c r="N11" s="10"/>
      <c r="O11" s="10"/>
    </row>
    <row r="12" spans="2:15" s="2" customFormat="1" ht="14.25" customHeight="1" x14ac:dyDescent="0.2">
      <c r="B12" s="68"/>
      <c r="C12" s="68"/>
      <c r="D12" s="68"/>
      <c r="E12" s="96">
        <f>SUM(E10:E11)</f>
        <v>35855</v>
      </c>
      <c r="F12" s="96"/>
      <c r="G12" s="96">
        <f>SUM(G10:G11)</f>
        <v>25991</v>
      </c>
      <c r="L12" s="9"/>
      <c r="M12" s="334"/>
      <c r="N12" s="10"/>
      <c r="O12" s="10"/>
    </row>
    <row r="13" spans="2:15" ht="14.25" customHeight="1" x14ac:dyDescent="0.2">
      <c r="B13" s="93"/>
      <c r="C13" s="93"/>
      <c r="D13" s="94"/>
      <c r="E13" s="95"/>
      <c r="F13" s="95"/>
      <c r="G13" s="95"/>
      <c r="N13" s="10"/>
      <c r="O13" s="10"/>
    </row>
    <row r="14" spans="2:15" ht="14.25" customHeight="1" x14ac:dyDescent="0.2">
      <c r="B14" s="68" t="s">
        <v>59</v>
      </c>
      <c r="C14" s="68"/>
      <c r="D14" s="68"/>
      <c r="E14" s="90"/>
      <c r="F14" s="90"/>
      <c r="G14" s="90"/>
      <c r="N14" s="10"/>
      <c r="O14" s="10"/>
    </row>
    <row r="15" spans="2:15" ht="14.25" customHeight="1" x14ac:dyDescent="0.35">
      <c r="B15" s="11"/>
      <c r="C15" s="11" t="s">
        <v>60</v>
      </c>
      <c r="D15" s="11"/>
      <c r="E15" s="108">
        <f>SUM(SUMIF('Balancete 03.2023'!C:C,41311,'Balancete 03.2023'!I:I),SUMIF('Balancete 03.2023'!C:C,41312,'Balancete 03.2023'!I:I),SUMIF('Balancete 03.2023'!C:C,41315,'Balancete 03.2023'!I:I),SUMIF('Balancete 03.2023'!C:C,413114,'Balancete 03.2023'!I:I),SUMIF('Balancete 03.2023'!C:C,4131997,'Balancete 03.2023'!I:I),SUMIF('Balancete 03.2023'!C:C,41614,'Balancete 03.2023'!I:I),SUMIF('Balancete 03.2023'!C:C,41616,'Balancete 03.2023'!I:I),SUMIF('Balancete 03.2023'!C:C,416110,'Balancete 03.2023'!I:I),SUMIF('Balancete 03.2023'!C:C,416114,'Balancete 03.2023'!I:I),SUMIF('Balancete 03.2023'!C:C,416115,'Balancete 03.2023'!I:I),SUMIF('Balancete 03.2023'!C:C,416116,'Balancete 03.2023'!I:I),SUMIF('Balancete 03.2023'!C:C,41624,'Balancete 03.2023'!I:I),SUMIF('Balancete 03.2023'!C:C,41626,'Balancete 03.2023'!I:I),SUMIF('Balancete 03.2023'!C:C,41627,'Balancete 03.2023'!I:I),SUMIF('Balancete 03.2023'!C:C,416210,'Balancete 03.2023'!I:I),SUMIF('Balancete 03.2023'!C:C,42211,'Balancete 03.2023'!I:I),SUMIF('Balancete 03.2023'!C:C,42312,'Balancete 03.2023'!I:I),SUMIF('Balancete 03.2023'!C:C,42315,'Balancete 03.2023'!I:I),SUMIF('Balancete 03.2023'!C:C,42316,'Balancete 03.2023'!I:I),SUMIF('Balancete 03.2023'!C:C,42317,'Balancete 03.2023'!I:I),SUMIF('Balancete 03.2023'!C:C,42318,'Balancete 03.2023'!I:I),SUMIF('Balancete 03.2023'!C:C,423113,'Balancete 03.2023'!I:I),SUMIF('Balancete 03.2023'!C:C,423114,'Balancete 03.2023'!I:I),SUMIF('Balancete 03.2023'!C:C,423115,'Balancete 03.2023'!I:I),SUMIF('Balancete 03.2023'!C:C,42613,'Balancete 03.2023'!I:I),SUMIF('Balancete 03.2023'!C:C,42614,'Balancete 03.2023'!I:I),SUMIF('Balancete 03.2023'!C:C,42616,'Balancete 03.2023'!I:I),SUMIF('Balancete 03.2023'!C:C,42617,'Balancete 03.2023'!I:I),SUMIF('Balancete 03.2023'!C:C,426110,'Balancete 03.2023'!I:I),SUMIF('Balancete 03.2023'!C:C,426114,'Balancete 03.2023'!I:I),SUMIF('Balancete 03.2023'!C:C,426116,'Balancete 03.2023'!I:I),SUMIF('Balancete 03.2023'!C:C,426117,'Balancete 03.2023'!I:I),SUMIF('Balancete 03.2023'!C:C,42624,'Balancete 03.2023'!I:I),SUMIF('Balancete 03.2023'!C:C,42626,'Balancete 03.2023'!I:I),SUMIF('Balancete 03.2023'!C:C,42627,'Balancete 03.2023'!I:I),SUMIF('Balancete 03.2023'!C:C,42629,'Balancete 03.2023'!I:I),SUMIF('Balancete 03.2023'!C:C,426215,'Balancete 03.2023'!I:I))</f>
        <v>6772</v>
      </c>
      <c r="F15" s="91"/>
      <c r="G15" s="108">
        <v>4667</v>
      </c>
      <c r="L15" s="9"/>
      <c r="M15" s="334"/>
      <c r="N15" s="10"/>
      <c r="O15" s="10"/>
    </row>
    <row r="16" spans="2:15" s="2" customFormat="1" ht="14.25" customHeight="1" x14ac:dyDescent="0.2">
      <c r="B16" s="68"/>
      <c r="C16" s="68"/>
      <c r="D16" s="68"/>
      <c r="E16" s="90">
        <f>SUM(E15)</f>
        <v>6772</v>
      </c>
      <c r="F16" s="90"/>
      <c r="G16" s="90">
        <f>SUM(G15)</f>
        <v>4667</v>
      </c>
      <c r="M16" s="254"/>
      <c r="N16" s="10"/>
      <c r="O16" s="10"/>
    </row>
    <row r="17" spans="2:16" ht="14.25" customHeight="1" x14ac:dyDescent="0.2">
      <c r="B17" s="11"/>
      <c r="C17" s="11"/>
      <c r="D17" s="11"/>
      <c r="E17" s="91"/>
      <c r="F17" s="91"/>
      <c r="G17" s="91"/>
      <c r="N17" s="10"/>
      <c r="O17" s="10"/>
    </row>
    <row r="18" spans="2:16" ht="14.25" customHeight="1" x14ac:dyDescent="0.2">
      <c r="B18" s="68" t="s">
        <v>61</v>
      </c>
      <c r="C18" s="68"/>
      <c r="D18" s="68"/>
      <c r="E18" s="96">
        <f>+E12-E16</f>
        <v>29083</v>
      </c>
      <c r="F18" s="96"/>
      <c r="G18" s="96">
        <f>+G12-G16</f>
        <v>21324</v>
      </c>
      <c r="N18" s="10"/>
      <c r="O18" s="10"/>
    </row>
    <row r="19" spans="2:16" ht="14.25" customHeight="1" x14ac:dyDescent="0.2">
      <c r="B19" s="68"/>
      <c r="C19" s="68"/>
      <c r="D19" s="68"/>
      <c r="E19" s="96"/>
      <c r="F19" s="96"/>
      <c r="G19" s="96"/>
      <c r="N19" s="10"/>
      <c r="O19" s="10"/>
    </row>
    <row r="20" spans="2:16" ht="14.25" customHeight="1" x14ac:dyDescent="0.2">
      <c r="B20" s="11"/>
      <c r="C20" s="11" t="s">
        <v>62</v>
      </c>
      <c r="D20" s="11"/>
      <c r="E20" s="91">
        <f>SUM(SUMIF('Balancete 03.2023'!C:C,416111,'Balancete 03.2023'!I:I),SUMIF('Balancete 03.2023'!C:C,426111,'Balancete 03.2023'!I:I))</f>
        <v>807</v>
      </c>
      <c r="F20" s="91"/>
      <c r="G20" s="91">
        <v>734</v>
      </c>
      <c r="N20" s="10"/>
      <c r="O20" s="10"/>
    </row>
    <row r="21" spans="2:16" ht="14.25" customHeight="1" x14ac:dyDescent="0.2">
      <c r="B21" s="68"/>
      <c r="C21" s="68"/>
      <c r="D21" s="11"/>
      <c r="E21" s="92"/>
      <c r="F21" s="92"/>
      <c r="G21" s="92"/>
      <c r="N21" s="10"/>
      <c r="O21" s="10"/>
    </row>
    <row r="22" spans="2:16" ht="14.25" customHeight="1" x14ac:dyDescent="0.2">
      <c r="B22" s="68" t="s">
        <v>63</v>
      </c>
      <c r="C22" s="68"/>
      <c r="D22" s="11"/>
      <c r="E22" s="96">
        <f>+E18-E20</f>
        <v>28276</v>
      </c>
      <c r="F22" s="96"/>
      <c r="G22" s="96">
        <f>+G18-G20</f>
        <v>20590</v>
      </c>
      <c r="N22" s="10"/>
      <c r="O22" s="10"/>
    </row>
    <row r="23" spans="2:16" ht="14.25" customHeight="1" x14ac:dyDescent="0.2">
      <c r="B23" s="68"/>
      <c r="C23" s="68"/>
      <c r="D23" s="11"/>
      <c r="E23" s="96"/>
      <c r="F23" s="96"/>
      <c r="G23" s="96"/>
      <c r="N23" s="10"/>
      <c r="O23" s="10"/>
    </row>
    <row r="24" spans="2:16" ht="14.25" customHeight="1" x14ac:dyDescent="0.2">
      <c r="B24" s="68" t="s">
        <v>64</v>
      </c>
      <c r="C24" s="68"/>
      <c r="D24" s="11"/>
      <c r="E24" s="96"/>
      <c r="F24" s="96"/>
      <c r="G24" s="96"/>
      <c r="N24" s="10"/>
      <c r="O24" s="10"/>
    </row>
    <row r="25" spans="2:16" ht="14.25" customHeight="1" x14ac:dyDescent="0.2">
      <c r="B25" s="11"/>
      <c r="C25" s="11" t="s">
        <v>44</v>
      </c>
      <c r="D25" s="11"/>
      <c r="E25" s="109">
        <f>-SUMIF('Balancete 03.2023'!C:C,331,'Balancete 03.2023'!I:I)</f>
        <v>181</v>
      </c>
      <c r="F25" s="91"/>
      <c r="G25" s="109">
        <v>116</v>
      </c>
      <c r="N25" s="10"/>
      <c r="O25" s="10"/>
    </row>
    <row r="26" spans="2:16" ht="14.25" hidden="1" customHeight="1" x14ac:dyDescent="0.2">
      <c r="B26" s="11"/>
      <c r="C26" s="11" t="s">
        <v>65</v>
      </c>
      <c r="D26" s="11"/>
      <c r="E26" s="109">
        <v>0</v>
      </c>
      <c r="F26" s="91"/>
      <c r="G26" s="109">
        <v>0</v>
      </c>
      <c r="K26" s="91"/>
      <c r="N26" s="256"/>
      <c r="O26" s="10"/>
      <c r="P26" s="10"/>
    </row>
    <row r="27" spans="2:16" s="2" customFormat="1" ht="14.25" customHeight="1" x14ac:dyDescent="0.2">
      <c r="B27" s="68"/>
      <c r="C27" s="68"/>
      <c r="D27" s="68"/>
      <c r="E27" s="90">
        <f>SUM(E25:E26)</f>
        <v>181</v>
      </c>
      <c r="F27" s="90"/>
      <c r="G27" s="90">
        <f>SUM(G25:G26)</f>
        <v>116</v>
      </c>
      <c r="M27" s="254"/>
      <c r="P27" s="256"/>
    </row>
    <row r="28" spans="2:16" ht="14.25" customHeight="1" x14ac:dyDescent="0.2">
      <c r="B28" s="11"/>
      <c r="C28" s="11"/>
      <c r="D28" s="11"/>
      <c r="E28" s="91"/>
      <c r="F28" s="91"/>
      <c r="G28" s="91"/>
    </row>
    <row r="29" spans="2:16" ht="14.25" customHeight="1" x14ac:dyDescent="0.2">
      <c r="B29" s="11"/>
      <c r="C29" s="11"/>
      <c r="D29" s="11"/>
      <c r="E29" s="92"/>
      <c r="F29" s="92"/>
      <c r="G29" s="92"/>
    </row>
    <row r="30" spans="2:16" s="67" customFormat="1" ht="14.25" customHeight="1" thickBot="1" x14ac:dyDescent="0.3">
      <c r="B30" s="97" t="s">
        <v>66</v>
      </c>
      <c r="C30" s="97"/>
      <c r="D30" s="98"/>
      <c r="E30" s="99">
        <f>+E22+E27</f>
        <v>28457</v>
      </c>
      <c r="F30" s="100"/>
      <c r="G30" s="99">
        <f>+G22+G27</f>
        <v>20706</v>
      </c>
      <c r="M30" s="255"/>
    </row>
    <row r="31" spans="2:16" ht="14.25" customHeight="1" thickTop="1" x14ac:dyDescent="0.2">
      <c r="B31" s="68" t="s">
        <v>67</v>
      </c>
      <c r="C31" s="11"/>
      <c r="D31" s="68"/>
      <c r="E31" s="101"/>
      <c r="F31" s="92"/>
      <c r="G31" s="101"/>
    </row>
    <row r="32" spans="2:16" ht="14.25" customHeight="1" x14ac:dyDescent="0.2">
      <c r="B32" s="68"/>
      <c r="C32" s="68" t="s">
        <v>68</v>
      </c>
      <c r="D32" s="68"/>
      <c r="E32" s="96"/>
      <c r="F32" s="96"/>
      <c r="G32" s="96"/>
    </row>
    <row r="33" spans="2:13" ht="14.25" customHeight="1" x14ac:dyDescent="0.2">
      <c r="B33" s="11"/>
      <c r="C33" s="11"/>
      <c r="D33" s="11" t="s">
        <v>69</v>
      </c>
      <c r="E33" s="91">
        <f>SUM(SUMIF('Balancete 03.2023'!C:C,41111,'Balancete 03.2023'!I:I),SUMIF('Balancete 03.2023'!C:C,41116,'Balancete 03.2023'!I:I),SUMIF('Balancete 03.2023'!C:C,41117,'Balancete 03.2023'!I:I),SUMIF('Balancete 03.2023'!C:C,41118,'Balancete 03.2023'!I:I),SUMIF('Balancete 03.2023'!C:C,41119,'Balancete 03.2023'!I:I),SUMIF('Balancete 03.2023'!C:C,411111,'Balancete 03.2023'!I:I),SUMIF('Balancete 03.2023'!C:C,411113,'Balancete 03.2023'!I:I),SUMIF('Balancete 03.2023'!C:C,411101,'Balancete 03.2023'!I:I),SUMIF('Balancete 03.2023'!C:C,413117,'Balancete 03.2023'!I:I),SUMIF('Balancete 03.2023'!C:C,41621,'Balancete 03.2023'!I:I),SUMIF('Balancete 03.2023'!C:C,42111,'Balancete 03.2023'!I:I),SUMIF('Balancete 03.2023'!C:C,42117,'Balancete 03.2023'!I:I),SUMIF('Balancete 03.2023'!C:C,42118,'Balancete 03.2023'!I:I),SUMIF('Balancete 03.2023'!C:C,42119,'Balancete 03.2023'!I:I),SUMIF('Balancete 03.2023'!C:C,421110,'Balancete 03.2023'!I:I),SUMIF('Balancete 03.2023'!C:C,421112,'Balancete 03.2023'!I:I),SUMIF('Balancete 03.2023'!C:C,42313,'Balancete 03.2023'!I:I),SUMIF('Balancete 03.2023'!C:C,423117,'Balancete 03.2023'!I:I),SUMIF('Balancete 03.2023'!C:C,423119,'Balancete 03.2023'!I:I),SUMIF('Balancete 03.2023'!C:C,42621,'Balancete 03.2023'!I:I),SUMIF('Balancete 03.2023'!C:C,42622,'Balancete 03.2023'!I:I),SUMIF('Balancete 03.2023'!C:C,426214,'Balancete 03.2023'!I:I))</f>
        <v>16129</v>
      </c>
      <c r="F33" s="91"/>
      <c r="G33" s="91">
        <v>14061</v>
      </c>
    </row>
    <row r="34" spans="2:13" ht="14.25" customHeight="1" x14ac:dyDescent="0.2">
      <c r="B34" s="11"/>
      <c r="C34" s="11"/>
      <c r="D34" s="11" t="s">
        <v>33</v>
      </c>
      <c r="E34" s="91">
        <f>SUM(SUMIF('Balancete 03.2023'!C:C,4113,'Balancete 03.2023'!I:I),SUMIF('Balancete 03.2023'!C:C,4213,'Balancete 03.2023'!I:I))</f>
        <v>2019</v>
      </c>
      <c r="F34" s="91"/>
      <c r="G34" s="91">
        <v>2093</v>
      </c>
    </row>
    <row r="35" spans="2:13" ht="14.25" customHeight="1" x14ac:dyDescent="0.2">
      <c r="B35" s="11"/>
      <c r="C35" s="11"/>
      <c r="D35" s="11" t="s">
        <v>70</v>
      </c>
      <c r="E35" s="109">
        <f>SUM(SUMIF('Balancete 03.2023'!C:C,41122,'Balancete 03.2023'!I:I),SUMIF('Balancete 03.2023'!C:C,41126,'Balancete 03.2023'!I:I),SUMIF('Balancete 03.2023'!C:C,41127,'Balancete 03.2023'!I:I),SUMIF('Balancete 03.2023'!C:C,42122,'Balancete 03.2023'!I:I),SUMIF('Balancete 03.2023'!C:C,42126,'Balancete 03.2023'!I:I),SUMIF('Balancete 03.2023'!C:C,42127,'Balancete 03.2023'!I:I))</f>
        <v>1233</v>
      </c>
      <c r="F35" s="91"/>
      <c r="G35" s="109">
        <v>1081</v>
      </c>
    </row>
    <row r="36" spans="2:13" ht="14.25" hidden="1" customHeight="1" x14ac:dyDescent="0.2">
      <c r="B36" s="11"/>
      <c r="C36" s="11"/>
      <c r="D36" s="11" t="s">
        <v>4594</v>
      </c>
      <c r="E36" s="109">
        <v>0</v>
      </c>
      <c r="F36" s="91"/>
      <c r="G36" s="109">
        <v>0</v>
      </c>
    </row>
    <row r="37" spans="2:13" s="2" customFormat="1" ht="14.25" customHeight="1" x14ac:dyDescent="0.2">
      <c r="B37" s="68"/>
      <c r="C37" s="68"/>
      <c r="D37" s="68"/>
      <c r="E37" s="90">
        <f>SUM(E33:E36)</f>
        <v>19381</v>
      </c>
      <c r="F37" s="90"/>
      <c r="G37" s="90">
        <f>SUM(G33:G36)</f>
        <v>17235</v>
      </c>
      <c r="M37" s="254"/>
    </row>
    <row r="38" spans="2:13" ht="14.25" customHeight="1" x14ac:dyDescent="0.2">
      <c r="B38" s="11"/>
      <c r="C38" s="11"/>
      <c r="D38" s="11"/>
      <c r="E38" s="91"/>
      <c r="F38" s="91"/>
      <c r="G38" s="91"/>
    </row>
    <row r="39" spans="2:13" ht="14.25" customHeight="1" x14ac:dyDescent="0.2">
      <c r="B39" s="11"/>
      <c r="C39" s="68" t="s">
        <v>71</v>
      </c>
      <c r="D39" s="11"/>
      <c r="E39" s="102"/>
      <c r="F39" s="96"/>
      <c r="G39" s="102"/>
    </row>
    <row r="40" spans="2:13" ht="14.25" customHeight="1" x14ac:dyDescent="0.2">
      <c r="B40" s="11"/>
      <c r="C40" s="11"/>
      <c r="D40" s="11" t="s">
        <v>72</v>
      </c>
      <c r="E40" s="91">
        <f>SUM(SUMIF('Balancete 03.2023'!C:C,41121,'Balancete 03.2023'!I:I),SUMIF('Balancete 03.2023'!C:C,41123,'Balancete 03.2023'!I:I),SUMIF('Balancete 03.2023'!C:C,41124,'Balancete 03.2023'!I:I),SUMIF('Balancete 03.2023'!C:C,41125,'Balancete 03.2023'!I:I),SUMIF('Balancete 03.2023'!C:C,42121,'Balancete 03.2023'!I:I),SUMIF('Balancete 03.2023'!C:C,42124,'Balancete 03.2023'!I:I),SUMIF('Balancete 03.2023'!C:C,42125,'Balancete 03.2023'!I:I),SUMIF('Balancete 03.2023'!C:C,42123,'Balancete 03.2023'!I:I),SUMIF('Balancete 03.2023'!C:C,42415,'Balancete 03.2023'!I:I),SUMIF('Balancete 03.2023'!C:C,42416,'Balancete 03.2023'!I:I),SUMIF('Balancete 03.2023'!C:C,4251,'Balancete 03.2023'!I:I),SUMIF('Balancete 03.2023'!C:C,4252,'Balancete 03.2023'!I:I))</f>
        <v>4488</v>
      </c>
      <c r="F40" s="91"/>
      <c r="G40" s="91">
        <v>3449</v>
      </c>
    </row>
    <row r="41" spans="2:13" ht="14.25" customHeight="1" x14ac:dyDescent="0.2">
      <c r="B41" s="11"/>
      <c r="C41" s="11"/>
      <c r="D41" s="11" t="s">
        <v>73</v>
      </c>
      <c r="E41" s="91">
        <f>SUM(SUMIF('Balancete 03.2023'!C:C,41418,'Balancete 03.2023'!I:I),SUMIF('Balancete 03.2023'!C:C,41417,'Balancete 03.2023'!I:I),SUMIF('Balancete 03.2023'!C:C,42417,'Balancete 03.2023'!I:I),SUMIF('Balancete 03.2023'!C:C,424112,'Balancete 03.2023'!I:I))</f>
        <v>18</v>
      </c>
      <c r="F41" s="91"/>
      <c r="G41" s="91">
        <v>16</v>
      </c>
    </row>
    <row r="42" spans="2:13" ht="14.25" customHeight="1" x14ac:dyDescent="0.2">
      <c r="B42" s="11"/>
      <c r="C42" s="11"/>
      <c r="D42" s="11" t="s">
        <v>74</v>
      </c>
      <c r="E42" s="109">
        <f>SUM(SUMIF('Balancete 03.2023'!C:C,41411,'Balancete 03.2023'!I:I),SUMIF('Balancete 03.2023'!C:C,41412,'Balancete 03.2023'!I:I),SUMIF('Balancete 03.2023'!C:C,42413,'Balancete 03.2023'!I:I),SUMIF('Balancete 03.2023'!C:C,41414,'Balancete 03.2023'!I:I),SUMIF('Balancete 03.2023'!C:C,41415,'Balancete 03.2023'!I:I),SUMIF('Balancete 03.2023'!C:C,42411,'Balancete 03.2023'!I:I),SUMIF('Balancete 03.2023'!C:C,42412,'Balancete 03.2023'!I:I),SUMIF('Balancete 03.2023'!C:C,42413,'Balancete 03.2023'!I:I),SUMIF('Balancete 03.2023'!C:C,42414,'Balancete 03.2023'!I:I))</f>
        <v>110</v>
      </c>
      <c r="F42" s="91"/>
      <c r="G42" s="109">
        <v>98</v>
      </c>
    </row>
    <row r="43" spans="2:13" ht="14.25" hidden="1" customHeight="1" x14ac:dyDescent="0.2">
      <c r="B43" s="11"/>
      <c r="C43" s="11"/>
      <c r="D43" s="11" t="s">
        <v>4595</v>
      </c>
      <c r="E43" s="109">
        <v>0</v>
      </c>
      <c r="F43" s="91"/>
      <c r="G43" s="109">
        <v>0</v>
      </c>
    </row>
    <row r="44" spans="2:13" s="2" customFormat="1" ht="14.25" customHeight="1" x14ac:dyDescent="0.2">
      <c r="B44" s="68"/>
      <c r="C44" s="68"/>
      <c r="D44" s="68"/>
      <c r="E44" s="90">
        <f>SUM(E40:E42)</f>
        <v>4616</v>
      </c>
      <c r="F44" s="90"/>
      <c r="G44" s="90">
        <f>SUM(G40:G43)</f>
        <v>3563</v>
      </c>
      <c r="M44" s="254"/>
    </row>
    <row r="45" spans="2:13" ht="14.25" customHeight="1" x14ac:dyDescent="0.2">
      <c r="B45" s="11"/>
      <c r="C45" s="11"/>
      <c r="D45" s="11"/>
      <c r="E45" s="91"/>
      <c r="F45" s="91"/>
      <c r="G45" s="91"/>
    </row>
    <row r="46" spans="2:13" ht="14.25" customHeight="1" x14ac:dyDescent="0.2">
      <c r="B46" s="68"/>
      <c r="C46" s="68" t="s">
        <v>75</v>
      </c>
      <c r="D46" s="68"/>
      <c r="E46" s="102"/>
      <c r="F46" s="96"/>
      <c r="G46" s="102"/>
    </row>
    <row r="47" spans="2:13" ht="14.25" customHeight="1" x14ac:dyDescent="0.2">
      <c r="B47" s="11"/>
      <c r="C47" s="11"/>
      <c r="D47" s="11" t="s">
        <v>301</v>
      </c>
      <c r="E47" s="91">
        <f>SUMIF('Balancete 03.2023'!C:C,427,'Balancete 03.2023'!I:I)</f>
        <v>1522</v>
      </c>
      <c r="F47" s="91"/>
      <c r="G47" s="91">
        <v>283.5</v>
      </c>
    </row>
    <row r="48" spans="2:13" ht="14.25" customHeight="1" x14ac:dyDescent="0.2">
      <c r="B48" s="11"/>
      <c r="C48" s="11"/>
      <c r="D48" s="11" t="s">
        <v>76</v>
      </c>
      <c r="E48" s="91">
        <f>SUM(SUMIF('Balancete 03.2023'!C:C,41611,'Balancete 03.2023'!I:I),SUMIF('Balancete 03.2023'!C:C,42611,'Balancete 03.2023'!I:I),SUMIF('Balancete 03.2023'!C:C,416112,'Balancete 03.2023'!I:I),SUMIF('Balancete 03.2023'!C:C,426112,'Balancete 03.2023'!I:I))</f>
        <v>838</v>
      </c>
      <c r="F48" s="91"/>
      <c r="G48" s="91">
        <v>620.5</v>
      </c>
    </row>
    <row r="49" spans="2:13" ht="12.75" x14ac:dyDescent="0.2">
      <c r="B49" s="11"/>
      <c r="C49" s="11"/>
      <c r="D49" s="11" t="s">
        <v>77</v>
      </c>
      <c r="E49" s="107">
        <f>SUMIF('Balancete 03.2023'!C:C,429,'Balancete 03.2023'!I:I)</f>
        <v>0</v>
      </c>
      <c r="F49" s="92"/>
      <c r="G49" s="107">
        <v>59</v>
      </c>
    </row>
    <row r="50" spans="2:13" s="2" customFormat="1" ht="14.25" customHeight="1" x14ac:dyDescent="0.2">
      <c r="B50" s="68"/>
      <c r="C50" s="68"/>
      <c r="D50" s="68"/>
      <c r="E50" s="353">
        <f>SUM(E47:E49)</f>
        <v>2360</v>
      </c>
      <c r="F50" s="90"/>
      <c r="G50" s="353">
        <f>SUM(G47:G49)</f>
        <v>963</v>
      </c>
      <c r="M50" s="254"/>
    </row>
    <row r="51" spans="2:13" ht="14.25" customHeight="1" x14ac:dyDescent="0.2">
      <c r="B51" s="11"/>
      <c r="C51" s="11"/>
      <c r="D51" s="11"/>
      <c r="E51" s="101"/>
      <c r="F51" s="92"/>
      <c r="G51" s="101"/>
    </row>
    <row r="52" spans="2:13" ht="14.25" customHeight="1" x14ac:dyDescent="0.2">
      <c r="B52" s="68"/>
      <c r="C52" s="68" t="s">
        <v>1778</v>
      </c>
      <c r="D52" s="68"/>
      <c r="E52" s="102"/>
      <c r="F52" s="96"/>
      <c r="G52" s="102"/>
    </row>
    <row r="53" spans="2:13" ht="14.25" customHeight="1" x14ac:dyDescent="0.2">
      <c r="B53" s="11"/>
      <c r="C53" s="11"/>
      <c r="D53" s="11" t="s">
        <v>4596</v>
      </c>
      <c r="E53" s="109">
        <f>DRE!E56</f>
        <v>2100</v>
      </c>
      <c r="F53" s="91"/>
      <c r="G53" s="109">
        <f>DRE!I56</f>
        <v>-1055</v>
      </c>
    </row>
    <row r="54" spans="2:13" s="2" customFormat="1" ht="14.25" customHeight="1" x14ac:dyDescent="0.2">
      <c r="B54" s="68"/>
      <c r="C54" s="68"/>
      <c r="D54" s="68"/>
      <c r="E54" s="90">
        <f>SUM(E53)</f>
        <v>2100</v>
      </c>
      <c r="F54" s="90"/>
      <c r="G54" s="90">
        <f>SUM(G53)</f>
        <v>-1055</v>
      </c>
      <c r="M54" s="254"/>
    </row>
    <row r="55" spans="2:13" ht="14.25" customHeight="1" x14ac:dyDescent="0.2">
      <c r="B55" s="11"/>
      <c r="C55" s="11"/>
      <c r="D55" s="11"/>
      <c r="E55" s="101"/>
      <c r="F55" s="92"/>
      <c r="G55" s="101"/>
    </row>
    <row r="56" spans="2:13" s="67" customFormat="1" ht="14.25" customHeight="1" thickBot="1" x14ac:dyDescent="0.3">
      <c r="B56" s="97" t="s">
        <v>78</v>
      </c>
      <c r="C56" s="97"/>
      <c r="D56" s="98"/>
      <c r="E56" s="99">
        <f>+E37+E44+E50+E54</f>
        <v>28457</v>
      </c>
      <c r="F56" s="100"/>
      <c r="G56" s="99">
        <f>+G37+G44+G50+G54</f>
        <v>20706</v>
      </c>
      <c r="M56" s="255"/>
    </row>
    <row r="57" spans="2:13" ht="14.25" customHeight="1" thickTop="1" x14ac:dyDescent="0.2">
      <c r="B57" s="11"/>
      <c r="C57" s="11"/>
      <c r="D57" s="11"/>
      <c r="E57" s="96"/>
      <c r="F57" s="96"/>
      <c r="G57" s="13"/>
    </row>
    <row r="58" spans="2:13" ht="14.25" customHeight="1" x14ac:dyDescent="0.2">
      <c r="B58" s="103" t="str">
        <f>BP!B53</f>
        <v>As notas explicativas são parte integrante das demonstrações financeiras intermediárias.</v>
      </c>
      <c r="C58" s="11"/>
      <c r="D58" s="11"/>
      <c r="E58" s="96"/>
      <c r="F58" s="96"/>
      <c r="G58" s="268"/>
    </row>
    <row r="59" spans="2:13" ht="14.25" customHeight="1" x14ac:dyDescent="0.2">
      <c r="E59" s="104"/>
      <c r="F59" s="104"/>
    </row>
    <row r="60" spans="2:13" ht="14.25" customHeight="1" x14ac:dyDescent="0.2">
      <c r="E60" s="104"/>
      <c r="F60" s="104"/>
    </row>
    <row r="61" spans="2:13" ht="14.25" customHeight="1" x14ac:dyDescent="0.2">
      <c r="E61" s="13">
        <f>+E30-E56</f>
        <v>0</v>
      </c>
      <c r="F61" s="105"/>
      <c r="G61" s="13">
        <f>+G30-G56</f>
        <v>0</v>
      </c>
    </row>
    <row r="62" spans="2:13" ht="14.25" customHeight="1" x14ac:dyDescent="0.2">
      <c r="E62" s="105"/>
      <c r="F62" s="105"/>
    </row>
    <row r="63" spans="2:13" ht="14.25" customHeight="1" x14ac:dyDescent="0.2">
      <c r="E63" s="105"/>
      <c r="F63" s="105"/>
    </row>
    <row r="64" spans="2:13" ht="14.25" customHeight="1" x14ac:dyDescent="0.2">
      <c r="B64" s="111">
        <f>+E61+B63</f>
        <v>0</v>
      </c>
      <c r="C64" s="28"/>
      <c r="D64" s="28"/>
      <c r="E64" s="113"/>
      <c r="F64" s="28"/>
      <c r="G64" s="54"/>
    </row>
    <row r="65" spans="1:16106" s="71" customFormat="1" ht="14.25" customHeight="1" x14ac:dyDescent="0.2">
      <c r="A65" s="137"/>
      <c r="B65" s="137"/>
      <c r="C65" s="137"/>
      <c r="D65" s="137"/>
      <c r="E65" s="105"/>
      <c r="F65" s="105"/>
      <c r="G65" s="138"/>
      <c r="H65" s="137"/>
      <c r="I65" s="137"/>
      <c r="J65" s="137"/>
      <c r="K65" s="137"/>
      <c r="L65" s="137"/>
      <c r="M65" s="9"/>
      <c r="N65" s="137"/>
      <c r="O65" s="137"/>
      <c r="P65" s="137"/>
      <c r="Q65" s="137"/>
      <c r="R65" s="137"/>
      <c r="S65" s="137"/>
      <c r="T65" s="137"/>
      <c r="U65" s="137"/>
      <c r="V65" s="137"/>
      <c r="W65" s="137"/>
      <c r="X65" s="137"/>
      <c r="Y65" s="137"/>
      <c r="Z65" s="137"/>
      <c r="AA65" s="137"/>
      <c r="AB65" s="137"/>
      <c r="AC65" s="137"/>
      <c r="AD65" s="137"/>
      <c r="AE65" s="137"/>
      <c r="AF65" s="137"/>
      <c r="AG65" s="137"/>
      <c r="AH65" s="137"/>
      <c r="AI65" s="137"/>
      <c r="AJ65" s="137"/>
      <c r="AK65" s="137"/>
      <c r="AL65" s="137"/>
      <c r="AM65" s="137"/>
      <c r="AN65" s="137"/>
      <c r="AO65" s="137"/>
      <c r="AP65" s="137"/>
      <c r="AQ65" s="137"/>
      <c r="AR65" s="137"/>
      <c r="AS65" s="137"/>
      <c r="AT65" s="137"/>
      <c r="AU65" s="137"/>
      <c r="AV65" s="137"/>
      <c r="AW65" s="137"/>
      <c r="AX65" s="137"/>
      <c r="AY65" s="137"/>
      <c r="AZ65" s="137"/>
      <c r="BA65" s="137"/>
      <c r="BB65" s="137"/>
      <c r="BC65" s="137"/>
      <c r="BD65" s="137"/>
      <c r="BE65" s="137"/>
      <c r="BF65" s="137"/>
      <c r="BG65" s="137"/>
      <c r="BH65" s="137"/>
      <c r="BI65" s="137"/>
      <c r="BJ65" s="137"/>
      <c r="BK65" s="137"/>
      <c r="BL65" s="137"/>
      <c r="BM65" s="137"/>
      <c r="BN65" s="137"/>
      <c r="BO65" s="137"/>
      <c r="BP65" s="137"/>
      <c r="BQ65" s="137"/>
      <c r="BR65" s="137"/>
      <c r="BS65" s="137"/>
      <c r="BT65" s="137"/>
      <c r="BU65" s="137"/>
      <c r="BV65" s="137"/>
      <c r="BW65" s="137"/>
      <c r="BX65" s="137"/>
      <c r="BY65" s="137"/>
      <c r="BZ65" s="137"/>
      <c r="CA65" s="137"/>
      <c r="CB65" s="137"/>
      <c r="CC65" s="137"/>
      <c r="CD65" s="137"/>
      <c r="CE65" s="137"/>
      <c r="CF65" s="137"/>
      <c r="CG65" s="137"/>
      <c r="CH65" s="137"/>
      <c r="CI65" s="137"/>
      <c r="CJ65" s="137"/>
      <c r="CK65" s="137"/>
      <c r="CL65" s="137"/>
      <c r="CM65" s="137"/>
      <c r="CN65" s="137"/>
      <c r="CO65" s="137"/>
      <c r="CP65" s="137"/>
      <c r="CQ65" s="137"/>
      <c r="CR65" s="137"/>
      <c r="CS65" s="137"/>
      <c r="CT65" s="137"/>
      <c r="CU65" s="137"/>
      <c r="CV65" s="137"/>
      <c r="CW65" s="137"/>
      <c r="CX65" s="137"/>
      <c r="CY65" s="137"/>
      <c r="CZ65" s="137"/>
      <c r="DA65" s="137"/>
      <c r="DB65" s="137"/>
      <c r="DC65" s="137"/>
      <c r="DD65" s="137"/>
      <c r="DE65" s="137"/>
      <c r="DF65" s="137"/>
      <c r="DG65" s="137"/>
      <c r="DH65" s="137"/>
      <c r="DI65" s="137"/>
      <c r="DJ65" s="137"/>
      <c r="DK65" s="137"/>
      <c r="DL65" s="137"/>
      <c r="DM65" s="137"/>
      <c r="DN65" s="137"/>
      <c r="DO65" s="137"/>
      <c r="DP65" s="137"/>
      <c r="DQ65" s="137"/>
      <c r="DR65" s="137"/>
      <c r="DS65" s="137"/>
      <c r="DT65" s="137"/>
      <c r="DU65" s="137"/>
      <c r="DV65" s="137"/>
      <c r="DW65" s="137"/>
      <c r="DX65" s="137"/>
      <c r="DY65" s="137"/>
      <c r="DZ65" s="137"/>
      <c r="EA65" s="137"/>
      <c r="EB65" s="137"/>
      <c r="EC65" s="137"/>
      <c r="ED65" s="137"/>
      <c r="EE65" s="137"/>
      <c r="EF65" s="137"/>
      <c r="EG65" s="137"/>
      <c r="EH65" s="137"/>
      <c r="EI65" s="137"/>
      <c r="EJ65" s="137"/>
      <c r="EK65" s="137"/>
      <c r="EL65" s="137"/>
      <c r="EM65" s="137"/>
      <c r="EN65" s="137"/>
      <c r="EO65" s="137"/>
      <c r="EP65" s="137"/>
      <c r="EQ65" s="137"/>
      <c r="ER65" s="137"/>
      <c r="ES65" s="137"/>
      <c r="ET65" s="137"/>
      <c r="EU65" s="137"/>
      <c r="EV65" s="137"/>
      <c r="EW65" s="137"/>
      <c r="EX65" s="137"/>
      <c r="EY65" s="137"/>
      <c r="EZ65" s="137"/>
      <c r="FA65" s="137"/>
      <c r="FB65" s="137"/>
      <c r="FC65" s="137"/>
      <c r="FD65" s="137"/>
      <c r="FE65" s="137"/>
      <c r="FF65" s="137"/>
      <c r="FG65" s="137"/>
      <c r="FH65" s="137"/>
      <c r="FI65" s="137"/>
      <c r="FJ65" s="137"/>
      <c r="FK65" s="137"/>
      <c r="FL65" s="137"/>
      <c r="FM65" s="137"/>
      <c r="FN65" s="137"/>
      <c r="FO65" s="137"/>
      <c r="FP65" s="137"/>
      <c r="FQ65" s="137"/>
      <c r="FR65" s="137"/>
      <c r="FS65" s="137"/>
      <c r="FT65" s="137"/>
      <c r="FU65" s="137"/>
      <c r="FV65" s="137"/>
      <c r="FW65" s="137"/>
      <c r="FX65" s="137"/>
      <c r="FY65" s="137"/>
      <c r="FZ65" s="137"/>
      <c r="GA65" s="137"/>
      <c r="GB65" s="137"/>
      <c r="GC65" s="137"/>
      <c r="GD65" s="137"/>
      <c r="GE65" s="137"/>
      <c r="GF65" s="137"/>
      <c r="GG65" s="137"/>
      <c r="GH65" s="137"/>
      <c r="GI65" s="137"/>
      <c r="GJ65" s="137"/>
      <c r="GK65" s="137"/>
      <c r="GL65" s="137"/>
      <c r="GM65" s="137"/>
      <c r="GN65" s="137"/>
      <c r="GO65" s="137"/>
      <c r="GP65" s="137"/>
      <c r="GQ65" s="137"/>
      <c r="GR65" s="137"/>
      <c r="GS65" s="137"/>
      <c r="GT65" s="137"/>
      <c r="GU65" s="137"/>
      <c r="GV65" s="137"/>
      <c r="GW65" s="137"/>
      <c r="GX65" s="137"/>
      <c r="GY65" s="137"/>
      <c r="GZ65" s="137"/>
      <c r="HA65" s="137"/>
      <c r="HB65" s="137"/>
      <c r="HC65" s="137"/>
      <c r="HD65" s="137"/>
      <c r="HE65" s="137"/>
      <c r="HF65" s="137"/>
      <c r="HG65" s="137"/>
      <c r="HH65" s="137"/>
      <c r="HI65" s="137"/>
      <c r="HJ65" s="137"/>
      <c r="HK65" s="137"/>
      <c r="HL65" s="137"/>
      <c r="HM65" s="137"/>
      <c r="HN65" s="137"/>
      <c r="HO65" s="137"/>
      <c r="HP65" s="137"/>
      <c r="HQ65" s="137"/>
      <c r="HR65" s="137"/>
      <c r="HS65" s="137"/>
      <c r="HT65" s="137"/>
      <c r="HU65" s="137"/>
      <c r="HV65" s="137"/>
      <c r="HW65" s="137"/>
      <c r="HX65" s="137"/>
      <c r="HY65" s="137"/>
      <c r="HZ65" s="137"/>
      <c r="IA65" s="137"/>
      <c r="IB65" s="137"/>
      <c r="IC65" s="137"/>
      <c r="ID65" s="137"/>
      <c r="IE65" s="137"/>
      <c r="IF65" s="137"/>
      <c r="IG65" s="137"/>
      <c r="IH65" s="137"/>
      <c r="II65" s="137"/>
      <c r="IJ65" s="137"/>
      <c r="IK65" s="137"/>
      <c r="IL65" s="137"/>
      <c r="IM65" s="137"/>
      <c r="IN65" s="137"/>
      <c r="IO65" s="137"/>
      <c r="IP65" s="137"/>
      <c r="IQ65" s="137"/>
      <c r="IR65" s="137"/>
      <c r="IS65" s="137"/>
      <c r="IT65" s="137"/>
      <c r="IU65" s="137"/>
      <c r="IV65" s="137"/>
      <c r="IW65" s="137"/>
      <c r="IX65" s="137"/>
      <c r="IY65" s="137"/>
      <c r="IZ65" s="137"/>
      <c r="JA65" s="137"/>
      <c r="JB65" s="137"/>
      <c r="JC65" s="137"/>
      <c r="JD65" s="137"/>
      <c r="JE65" s="137"/>
      <c r="JF65" s="137"/>
      <c r="JG65" s="137"/>
      <c r="JH65" s="137"/>
      <c r="JI65" s="137"/>
      <c r="JJ65" s="137"/>
      <c r="JK65" s="137"/>
      <c r="JL65" s="137"/>
      <c r="JM65" s="137"/>
      <c r="JN65" s="137"/>
      <c r="JO65" s="137"/>
      <c r="JP65" s="137"/>
      <c r="JQ65" s="137"/>
      <c r="JR65" s="137"/>
      <c r="JS65" s="137"/>
      <c r="JT65" s="137"/>
      <c r="JU65" s="137"/>
      <c r="JV65" s="137"/>
      <c r="JW65" s="137"/>
      <c r="JX65" s="137"/>
      <c r="JY65" s="137"/>
      <c r="JZ65" s="137"/>
      <c r="KA65" s="137"/>
      <c r="KB65" s="137"/>
      <c r="KC65" s="137"/>
      <c r="KD65" s="137"/>
      <c r="KE65" s="137"/>
      <c r="KF65" s="137"/>
      <c r="KG65" s="137"/>
      <c r="KH65" s="137"/>
      <c r="KI65" s="137"/>
      <c r="KJ65" s="137"/>
      <c r="KK65" s="137"/>
      <c r="KL65" s="137"/>
      <c r="KM65" s="137"/>
      <c r="KN65" s="137"/>
      <c r="KO65" s="137"/>
      <c r="KP65" s="137"/>
      <c r="KQ65" s="137"/>
      <c r="KR65" s="137"/>
      <c r="KS65" s="137"/>
      <c r="KT65" s="137"/>
      <c r="KU65" s="137"/>
      <c r="KV65" s="137"/>
      <c r="KW65" s="137"/>
      <c r="KX65" s="137"/>
      <c r="KY65" s="137"/>
      <c r="KZ65" s="137"/>
      <c r="LA65" s="137"/>
      <c r="LB65" s="137"/>
      <c r="LC65" s="137"/>
      <c r="LD65" s="137"/>
      <c r="LE65" s="137"/>
      <c r="LF65" s="137"/>
      <c r="LG65" s="137"/>
      <c r="LH65" s="137"/>
      <c r="LI65" s="137"/>
      <c r="LJ65" s="137"/>
      <c r="LK65" s="137"/>
      <c r="LL65" s="137"/>
      <c r="LM65" s="137"/>
      <c r="LN65" s="137"/>
      <c r="LO65" s="137"/>
      <c r="LP65" s="137"/>
      <c r="LQ65" s="137"/>
      <c r="LR65" s="137"/>
      <c r="LS65" s="137"/>
      <c r="LT65" s="137"/>
      <c r="LU65" s="137"/>
      <c r="LV65" s="137"/>
      <c r="LW65" s="137"/>
      <c r="LX65" s="137"/>
      <c r="LY65" s="137"/>
      <c r="LZ65" s="137"/>
      <c r="MA65" s="137"/>
      <c r="MB65" s="137"/>
      <c r="MC65" s="137"/>
      <c r="MD65" s="137"/>
      <c r="ME65" s="137"/>
      <c r="MF65" s="137"/>
      <c r="MG65" s="137"/>
      <c r="MH65" s="137"/>
      <c r="MI65" s="137"/>
      <c r="MJ65" s="137"/>
      <c r="MK65" s="137"/>
      <c r="ML65" s="137"/>
      <c r="MM65" s="137"/>
      <c r="MN65" s="137"/>
      <c r="MO65" s="137"/>
      <c r="MP65" s="137"/>
      <c r="MQ65" s="137"/>
      <c r="MR65" s="137"/>
      <c r="MS65" s="137"/>
      <c r="MT65" s="137"/>
      <c r="MU65" s="137"/>
      <c r="MV65" s="137"/>
      <c r="MW65" s="137"/>
      <c r="MX65" s="137"/>
      <c r="MY65" s="137"/>
      <c r="MZ65" s="137"/>
      <c r="NA65" s="137"/>
      <c r="NB65" s="137"/>
      <c r="NC65" s="137"/>
      <c r="ND65" s="137"/>
      <c r="NE65" s="137"/>
      <c r="NF65" s="137"/>
      <c r="NG65" s="137"/>
      <c r="NH65" s="137"/>
      <c r="NI65" s="137"/>
      <c r="NJ65" s="137"/>
      <c r="NK65" s="137"/>
      <c r="NL65" s="137"/>
      <c r="NM65" s="137"/>
      <c r="NN65" s="137"/>
      <c r="NO65" s="137"/>
      <c r="NP65" s="137"/>
      <c r="NQ65" s="137"/>
      <c r="NR65" s="137"/>
      <c r="NS65" s="137"/>
      <c r="NT65" s="137"/>
      <c r="NU65" s="137"/>
      <c r="NV65" s="137"/>
      <c r="NW65" s="137"/>
      <c r="NX65" s="137"/>
      <c r="NY65" s="137"/>
      <c r="NZ65" s="137"/>
      <c r="OA65" s="137"/>
      <c r="OB65" s="137"/>
      <c r="OC65" s="137"/>
      <c r="OD65" s="137"/>
      <c r="OE65" s="137"/>
      <c r="OF65" s="137"/>
      <c r="OG65" s="137"/>
      <c r="OH65" s="137"/>
      <c r="OI65" s="137"/>
      <c r="OJ65" s="137"/>
      <c r="OK65" s="137"/>
      <c r="OL65" s="137"/>
      <c r="OM65" s="137"/>
      <c r="ON65" s="137"/>
      <c r="OO65" s="137"/>
      <c r="OP65" s="137"/>
      <c r="OQ65" s="137"/>
      <c r="OR65" s="137"/>
      <c r="OS65" s="137"/>
      <c r="OT65" s="137"/>
      <c r="OU65" s="137"/>
      <c r="OV65" s="137"/>
      <c r="OW65" s="137"/>
      <c r="OX65" s="137"/>
      <c r="OY65" s="137"/>
      <c r="OZ65" s="137"/>
      <c r="PA65" s="137"/>
      <c r="PB65" s="137"/>
      <c r="PC65" s="137"/>
      <c r="PD65" s="137"/>
      <c r="PE65" s="137"/>
      <c r="PF65" s="137"/>
      <c r="PG65" s="137"/>
      <c r="PH65" s="137"/>
      <c r="PI65" s="137"/>
      <c r="PJ65" s="137"/>
      <c r="PK65" s="137"/>
      <c r="PL65" s="137"/>
      <c r="PM65" s="137"/>
      <c r="PN65" s="137"/>
      <c r="PO65" s="137"/>
      <c r="PP65" s="137"/>
      <c r="PQ65" s="137"/>
      <c r="PR65" s="137"/>
      <c r="PS65" s="137"/>
      <c r="PT65" s="137"/>
      <c r="PU65" s="137"/>
      <c r="PV65" s="137"/>
      <c r="PW65" s="137"/>
      <c r="PX65" s="137"/>
      <c r="PY65" s="137"/>
      <c r="PZ65" s="137"/>
      <c r="QA65" s="137"/>
      <c r="QB65" s="137"/>
      <c r="QC65" s="137"/>
      <c r="QD65" s="137"/>
      <c r="QE65" s="137"/>
      <c r="QF65" s="137"/>
      <c r="QG65" s="137"/>
      <c r="QH65" s="137"/>
      <c r="QI65" s="137"/>
      <c r="QJ65" s="137"/>
      <c r="QK65" s="137"/>
      <c r="QL65" s="137"/>
      <c r="QM65" s="137"/>
      <c r="QN65" s="137"/>
      <c r="QO65" s="137"/>
      <c r="QP65" s="137"/>
      <c r="QQ65" s="137"/>
      <c r="QR65" s="137"/>
      <c r="QS65" s="137"/>
      <c r="QT65" s="137"/>
      <c r="QU65" s="137"/>
      <c r="QV65" s="137"/>
      <c r="QW65" s="137"/>
      <c r="QX65" s="137"/>
      <c r="QY65" s="137"/>
      <c r="QZ65" s="137"/>
      <c r="RA65" s="137"/>
      <c r="RB65" s="137"/>
      <c r="RC65" s="137"/>
      <c r="RD65" s="137"/>
      <c r="RE65" s="137"/>
      <c r="RF65" s="137"/>
      <c r="RG65" s="137"/>
      <c r="RH65" s="137"/>
      <c r="RI65" s="137"/>
      <c r="RJ65" s="137"/>
      <c r="RK65" s="137"/>
      <c r="RL65" s="137"/>
      <c r="RM65" s="137"/>
      <c r="RN65" s="137"/>
      <c r="RO65" s="137"/>
      <c r="RP65" s="137"/>
      <c r="RQ65" s="137"/>
      <c r="RR65" s="137"/>
      <c r="RS65" s="137"/>
      <c r="RT65" s="137"/>
      <c r="RU65" s="137"/>
      <c r="RV65" s="137"/>
      <c r="RW65" s="137"/>
      <c r="RX65" s="137"/>
      <c r="RY65" s="137"/>
      <c r="RZ65" s="137"/>
      <c r="SA65" s="137"/>
      <c r="SB65" s="137"/>
      <c r="SC65" s="137"/>
      <c r="SD65" s="137"/>
      <c r="SE65" s="137"/>
      <c r="SF65" s="137"/>
      <c r="SG65" s="137"/>
      <c r="SH65" s="137"/>
      <c r="SI65" s="137"/>
      <c r="SJ65" s="137"/>
      <c r="SK65" s="137"/>
      <c r="SL65" s="137"/>
      <c r="SM65" s="137"/>
      <c r="SN65" s="137"/>
      <c r="SO65" s="137"/>
      <c r="SP65" s="137"/>
      <c r="SQ65" s="137"/>
      <c r="SR65" s="137"/>
      <c r="SS65" s="137"/>
      <c r="ST65" s="137"/>
      <c r="SU65" s="137"/>
      <c r="SV65" s="137"/>
      <c r="SW65" s="137"/>
      <c r="SX65" s="137"/>
      <c r="SY65" s="137"/>
      <c r="SZ65" s="137"/>
      <c r="TA65" s="137"/>
      <c r="TB65" s="137"/>
      <c r="TC65" s="137"/>
      <c r="TD65" s="137"/>
      <c r="TE65" s="137"/>
      <c r="TF65" s="137"/>
      <c r="TG65" s="137"/>
      <c r="TH65" s="137"/>
      <c r="TI65" s="137"/>
      <c r="TJ65" s="137"/>
      <c r="TK65" s="137"/>
      <c r="TL65" s="137"/>
      <c r="TM65" s="137"/>
      <c r="TN65" s="137"/>
      <c r="TO65" s="137"/>
      <c r="TP65" s="137"/>
      <c r="TQ65" s="137"/>
      <c r="TR65" s="137"/>
      <c r="TS65" s="137"/>
      <c r="TT65" s="137"/>
      <c r="TU65" s="137"/>
      <c r="TV65" s="137"/>
      <c r="TW65" s="137"/>
      <c r="TX65" s="137"/>
      <c r="TY65" s="137"/>
      <c r="TZ65" s="137"/>
      <c r="UA65" s="137"/>
      <c r="UB65" s="137"/>
      <c r="UC65" s="137"/>
      <c r="UD65" s="137"/>
      <c r="UE65" s="137"/>
      <c r="UF65" s="137"/>
      <c r="UG65" s="137"/>
      <c r="UH65" s="137"/>
      <c r="UI65" s="137"/>
      <c r="UJ65" s="137"/>
      <c r="UK65" s="137"/>
      <c r="UL65" s="137"/>
      <c r="UM65" s="137"/>
      <c r="UN65" s="137"/>
      <c r="UO65" s="137"/>
      <c r="UP65" s="137"/>
      <c r="UQ65" s="137"/>
      <c r="UR65" s="137"/>
      <c r="US65" s="137"/>
      <c r="UT65" s="137"/>
      <c r="UU65" s="137"/>
      <c r="UV65" s="137"/>
      <c r="UW65" s="137"/>
      <c r="UX65" s="137"/>
      <c r="UY65" s="137"/>
      <c r="UZ65" s="137"/>
      <c r="VA65" s="137"/>
      <c r="VB65" s="137"/>
      <c r="VC65" s="137"/>
      <c r="VD65" s="137"/>
      <c r="VE65" s="137"/>
      <c r="VF65" s="137"/>
      <c r="VG65" s="137"/>
      <c r="VH65" s="137"/>
      <c r="VI65" s="137"/>
      <c r="VJ65" s="137"/>
      <c r="VK65" s="137"/>
      <c r="VL65" s="137"/>
      <c r="VM65" s="137"/>
      <c r="VN65" s="137"/>
      <c r="VO65" s="137"/>
      <c r="VP65" s="137"/>
      <c r="VQ65" s="137"/>
      <c r="VR65" s="137"/>
      <c r="VS65" s="137"/>
      <c r="VT65" s="137"/>
      <c r="VU65" s="137"/>
      <c r="VV65" s="137"/>
      <c r="VW65" s="137"/>
      <c r="VX65" s="137"/>
      <c r="VY65" s="137"/>
      <c r="VZ65" s="137"/>
      <c r="WA65" s="137"/>
      <c r="WB65" s="137"/>
      <c r="WC65" s="137"/>
      <c r="WD65" s="137"/>
      <c r="WE65" s="137"/>
      <c r="WF65" s="137"/>
      <c r="WG65" s="137"/>
      <c r="WH65" s="137"/>
      <c r="WI65" s="137"/>
      <c r="WJ65" s="137"/>
      <c r="WK65" s="137"/>
      <c r="WL65" s="137"/>
      <c r="WM65" s="137"/>
      <c r="WN65" s="137"/>
      <c r="WO65" s="137"/>
      <c r="WP65" s="137"/>
      <c r="WQ65" s="137"/>
      <c r="WR65" s="137"/>
      <c r="WS65" s="137"/>
      <c r="WT65" s="137"/>
      <c r="WU65" s="137"/>
      <c r="WV65" s="137"/>
      <c r="WW65" s="137"/>
      <c r="WX65" s="137"/>
      <c r="WY65" s="137"/>
      <c r="WZ65" s="137"/>
      <c r="XA65" s="137"/>
      <c r="XB65" s="137"/>
      <c r="XC65" s="137"/>
      <c r="XD65" s="137"/>
      <c r="XE65" s="137"/>
      <c r="XF65" s="137"/>
      <c r="XG65" s="137"/>
      <c r="XH65" s="137"/>
      <c r="XI65" s="137"/>
      <c r="XJ65" s="137"/>
      <c r="XK65" s="137"/>
      <c r="XL65" s="137"/>
      <c r="XM65" s="137"/>
      <c r="XN65" s="137"/>
      <c r="XO65" s="137"/>
      <c r="XP65" s="137"/>
      <c r="XQ65" s="137"/>
      <c r="XR65" s="137"/>
      <c r="XS65" s="137"/>
      <c r="XT65" s="137"/>
      <c r="XU65" s="137"/>
      <c r="XV65" s="137"/>
      <c r="XW65" s="137"/>
      <c r="XX65" s="137"/>
      <c r="XY65" s="137"/>
      <c r="XZ65" s="137"/>
      <c r="YA65" s="137"/>
      <c r="YB65" s="137"/>
      <c r="YC65" s="137"/>
      <c r="YD65" s="137"/>
      <c r="YE65" s="137"/>
      <c r="YF65" s="137"/>
      <c r="YG65" s="137"/>
      <c r="YH65" s="137"/>
      <c r="YI65" s="137"/>
      <c r="YJ65" s="137"/>
      <c r="YK65" s="137"/>
      <c r="YL65" s="137"/>
      <c r="YM65" s="137"/>
      <c r="YN65" s="137"/>
      <c r="YO65" s="137"/>
      <c r="YP65" s="137"/>
      <c r="YQ65" s="137"/>
      <c r="YR65" s="137"/>
      <c r="YS65" s="137"/>
      <c r="YT65" s="137"/>
      <c r="YU65" s="137"/>
      <c r="YV65" s="137"/>
      <c r="YW65" s="137"/>
      <c r="YX65" s="137"/>
      <c r="YY65" s="137"/>
      <c r="YZ65" s="137"/>
      <c r="ZA65" s="137"/>
      <c r="ZB65" s="137"/>
      <c r="ZC65" s="137"/>
      <c r="ZD65" s="137"/>
      <c r="ZE65" s="137"/>
      <c r="ZF65" s="137"/>
      <c r="ZG65" s="137"/>
      <c r="ZH65" s="137"/>
      <c r="ZI65" s="137"/>
      <c r="ZJ65" s="137"/>
      <c r="ZK65" s="137"/>
      <c r="ZL65" s="137"/>
      <c r="ZM65" s="137"/>
      <c r="ZN65" s="137"/>
      <c r="ZO65" s="137"/>
      <c r="ZP65" s="137"/>
      <c r="ZQ65" s="137"/>
      <c r="ZR65" s="137"/>
      <c r="ZS65" s="137"/>
      <c r="ZT65" s="137"/>
      <c r="ZU65" s="137"/>
      <c r="ZV65" s="137"/>
      <c r="ZW65" s="137"/>
      <c r="ZX65" s="137"/>
      <c r="ZY65" s="137"/>
      <c r="ZZ65" s="137"/>
      <c r="AAA65" s="137"/>
      <c r="AAB65" s="137"/>
      <c r="AAC65" s="137"/>
      <c r="AAD65" s="137"/>
      <c r="AAE65" s="137"/>
      <c r="AAF65" s="137"/>
      <c r="AAG65" s="137"/>
      <c r="AAH65" s="137"/>
      <c r="AAI65" s="137"/>
      <c r="AAJ65" s="137"/>
      <c r="AAK65" s="137"/>
      <c r="AAL65" s="137"/>
      <c r="AAM65" s="137"/>
      <c r="AAN65" s="137"/>
      <c r="AAO65" s="137"/>
      <c r="AAP65" s="137"/>
      <c r="AAQ65" s="137"/>
      <c r="AAR65" s="137"/>
      <c r="AAS65" s="137"/>
      <c r="AAT65" s="137"/>
      <c r="AAU65" s="137"/>
      <c r="AAV65" s="137"/>
      <c r="AAW65" s="137"/>
      <c r="AAX65" s="137"/>
      <c r="AAY65" s="137"/>
      <c r="AAZ65" s="137"/>
      <c r="ABA65" s="137"/>
      <c r="ABB65" s="137"/>
      <c r="ABC65" s="137"/>
      <c r="ABD65" s="137"/>
      <c r="ABE65" s="137"/>
      <c r="ABF65" s="137"/>
      <c r="ABG65" s="137"/>
      <c r="ABH65" s="137"/>
      <c r="ABI65" s="137"/>
      <c r="ABJ65" s="137"/>
      <c r="ABK65" s="137"/>
      <c r="ABL65" s="137"/>
      <c r="ABM65" s="137"/>
      <c r="ABN65" s="137"/>
      <c r="ABO65" s="137"/>
      <c r="ABP65" s="137"/>
      <c r="ABQ65" s="137"/>
      <c r="ABR65" s="137"/>
      <c r="ABS65" s="137"/>
      <c r="ABT65" s="137"/>
      <c r="ABU65" s="137"/>
      <c r="ABV65" s="137"/>
      <c r="ABW65" s="137"/>
      <c r="ABX65" s="137"/>
      <c r="ABY65" s="137"/>
      <c r="ABZ65" s="137"/>
      <c r="ACA65" s="137"/>
      <c r="ACB65" s="137"/>
      <c r="ACC65" s="137"/>
      <c r="ACD65" s="137"/>
      <c r="ACE65" s="137"/>
      <c r="ACF65" s="137"/>
      <c r="ACG65" s="137"/>
      <c r="ACH65" s="137"/>
      <c r="ACI65" s="137"/>
      <c r="ACJ65" s="137"/>
      <c r="ACK65" s="137"/>
      <c r="ACL65" s="137"/>
      <c r="ACM65" s="137"/>
      <c r="ACN65" s="137"/>
      <c r="ACO65" s="137"/>
      <c r="ACP65" s="137"/>
      <c r="ACQ65" s="137"/>
      <c r="ACR65" s="137"/>
      <c r="ACS65" s="137"/>
      <c r="ACT65" s="137"/>
      <c r="ACU65" s="137"/>
      <c r="ACV65" s="137"/>
      <c r="ACW65" s="137"/>
      <c r="ACX65" s="137"/>
      <c r="ACY65" s="137"/>
      <c r="ACZ65" s="137"/>
      <c r="ADA65" s="137"/>
      <c r="ADB65" s="137"/>
      <c r="ADC65" s="137"/>
      <c r="ADD65" s="137"/>
      <c r="ADE65" s="137"/>
      <c r="ADF65" s="137"/>
      <c r="ADG65" s="137"/>
      <c r="ADH65" s="137"/>
      <c r="ADI65" s="137"/>
      <c r="ADJ65" s="137"/>
      <c r="ADK65" s="137"/>
      <c r="ADL65" s="137"/>
      <c r="ADM65" s="137"/>
      <c r="ADN65" s="137"/>
      <c r="ADO65" s="137"/>
      <c r="ADP65" s="137"/>
      <c r="ADQ65" s="137"/>
      <c r="ADR65" s="137"/>
      <c r="ADS65" s="137"/>
      <c r="ADT65" s="137"/>
      <c r="ADU65" s="137"/>
      <c r="ADV65" s="137"/>
      <c r="ADW65" s="137"/>
      <c r="ADX65" s="137"/>
      <c r="ADY65" s="137"/>
      <c r="ADZ65" s="137"/>
      <c r="AEA65" s="137"/>
      <c r="AEB65" s="137"/>
      <c r="AEC65" s="137"/>
      <c r="AED65" s="137"/>
      <c r="AEE65" s="137"/>
      <c r="AEF65" s="137"/>
      <c r="AEG65" s="137"/>
      <c r="AEH65" s="137"/>
      <c r="AEI65" s="137"/>
      <c r="AEJ65" s="137"/>
      <c r="AEK65" s="137"/>
      <c r="AEL65" s="137"/>
      <c r="AEM65" s="137"/>
      <c r="AEN65" s="137"/>
      <c r="AEO65" s="137"/>
      <c r="AEP65" s="137"/>
      <c r="AEQ65" s="137"/>
      <c r="AER65" s="137"/>
      <c r="AES65" s="137"/>
      <c r="AET65" s="137"/>
      <c r="AEU65" s="137"/>
      <c r="AEV65" s="137"/>
      <c r="AEW65" s="137"/>
      <c r="AEX65" s="137"/>
      <c r="AEY65" s="137"/>
      <c r="AEZ65" s="137"/>
      <c r="AFA65" s="137"/>
      <c r="AFB65" s="137"/>
      <c r="AFC65" s="137"/>
      <c r="AFD65" s="137"/>
      <c r="AFE65" s="137"/>
      <c r="AFF65" s="137"/>
      <c r="AFG65" s="137"/>
      <c r="AFH65" s="137"/>
      <c r="AFI65" s="137"/>
      <c r="AFJ65" s="137"/>
      <c r="AFK65" s="137"/>
      <c r="AFL65" s="137"/>
      <c r="AFM65" s="137"/>
      <c r="AFN65" s="137"/>
      <c r="AFO65" s="137"/>
      <c r="AFP65" s="137"/>
      <c r="AFQ65" s="137"/>
      <c r="AFR65" s="137"/>
      <c r="AFS65" s="137"/>
      <c r="AFT65" s="137"/>
      <c r="AFU65" s="137"/>
      <c r="AFV65" s="137"/>
      <c r="AFW65" s="137"/>
      <c r="AFX65" s="137"/>
      <c r="AFY65" s="137"/>
      <c r="AFZ65" s="137"/>
      <c r="AGA65" s="137"/>
      <c r="AGB65" s="137"/>
      <c r="AGC65" s="137"/>
      <c r="AGD65" s="137"/>
      <c r="AGE65" s="137"/>
      <c r="AGF65" s="137"/>
      <c r="AGG65" s="137"/>
      <c r="AGH65" s="137"/>
      <c r="AGI65" s="137"/>
      <c r="AGJ65" s="137"/>
      <c r="AGK65" s="137"/>
      <c r="AGL65" s="137"/>
      <c r="AGM65" s="137"/>
      <c r="AGN65" s="137"/>
      <c r="AGO65" s="137"/>
      <c r="AGP65" s="137"/>
      <c r="AGQ65" s="137"/>
      <c r="AGR65" s="137"/>
      <c r="AGS65" s="137"/>
      <c r="AGT65" s="137"/>
      <c r="AGU65" s="137"/>
      <c r="AGV65" s="137"/>
      <c r="AGW65" s="137"/>
      <c r="AGX65" s="137"/>
      <c r="AGY65" s="137"/>
      <c r="AGZ65" s="137"/>
      <c r="AHA65" s="137"/>
      <c r="AHB65" s="137"/>
      <c r="AHC65" s="137"/>
      <c r="AHD65" s="137"/>
      <c r="AHE65" s="137"/>
      <c r="AHF65" s="137"/>
      <c r="AHG65" s="137"/>
      <c r="AHH65" s="137"/>
      <c r="AHI65" s="137"/>
      <c r="AHJ65" s="137"/>
      <c r="AHK65" s="137"/>
      <c r="AHL65" s="137"/>
      <c r="AHM65" s="137"/>
      <c r="AHN65" s="137"/>
      <c r="AHO65" s="137"/>
      <c r="AHP65" s="137"/>
      <c r="AHQ65" s="137"/>
      <c r="AHR65" s="137"/>
      <c r="AHS65" s="137"/>
      <c r="AHT65" s="137"/>
      <c r="AHU65" s="137"/>
      <c r="AHV65" s="137"/>
      <c r="AHW65" s="137"/>
      <c r="AHX65" s="137"/>
      <c r="AHY65" s="137"/>
      <c r="AHZ65" s="137"/>
      <c r="AIA65" s="137"/>
      <c r="AIB65" s="137"/>
      <c r="AIC65" s="137"/>
      <c r="AID65" s="137"/>
      <c r="AIE65" s="137"/>
      <c r="AIF65" s="137"/>
      <c r="AIG65" s="137"/>
      <c r="AIH65" s="137"/>
      <c r="AII65" s="137"/>
      <c r="AIJ65" s="137"/>
      <c r="AIK65" s="137"/>
      <c r="AIL65" s="137"/>
      <c r="AIM65" s="137"/>
      <c r="AIN65" s="137"/>
      <c r="AIO65" s="137"/>
      <c r="AIP65" s="137"/>
      <c r="AIQ65" s="137"/>
      <c r="AIR65" s="137"/>
      <c r="AIS65" s="137"/>
      <c r="AIT65" s="137"/>
      <c r="AIU65" s="137"/>
      <c r="AIV65" s="137"/>
      <c r="AIW65" s="137"/>
      <c r="AIX65" s="137"/>
      <c r="AIY65" s="137"/>
      <c r="AIZ65" s="137"/>
      <c r="AJA65" s="137"/>
      <c r="AJB65" s="137"/>
      <c r="AJC65" s="137"/>
      <c r="AJD65" s="137"/>
      <c r="AJE65" s="137"/>
      <c r="AJF65" s="137"/>
      <c r="AJG65" s="137"/>
      <c r="AJH65" s="137"/>
      <c r="AJI65" s="137"/>
      <c r="AJJ65" s="137"/>
      <c r="AJK65" s="137"/>
      <c r="AJL65" s="137"/>
      <c r="AJM65" s="137"/>
      <c r="AJN65" s="137"/>
      <c r="AJO65" s="137"/>
      <c r="AJP65" s="137"/>
      <c r="AJQ65" s="137"/>
      <c r="AJR65" s="137"/>
      <c r="AJS65" s="137"/>
      <c r="AJT65" s="137"/>
      <c r="AJU65" s="137"/>
      <c r="AJV65" s="137"/>
      <c r="AJW65" s="137"/>
      <c r="AJX65" s="137"/>
      <c r="AJY65" s="137"/>
      <c r="AJZ65" s="137"/>
      <c r="AKA65" s="137"/>
      <c r="AKB65" s="137"/>
      <c r="AKC65" s="137"/>
      <c r="AKD65" s="137"/>
      <c r="AKE65" s="137"/>
      <c r="AKF65" s="137"/>
      <c r="AKG65" s="137"/>
      <c r="AKH65" s="137"/>
      <c r="AKI65" s="137"/>
      <c r="AKJ65" s="137"/>
      <c r="AKK65" s="137"/>
      <c r="AKL65" s="137"/>
      <c r="AKM65" s="137"/>
      <c r="AKN65" s="137"/>
      <c r="AKO65" s="137"/>
      <c r="AKP65" s="137"/>
      <c r="AKQ65" s="137"/>
      <c r="AKR65" s="137"/>
      <c r="AKS65" s="137"/>
      <c r="AKT65" s="137"/>
      <c r="AKU65" s="137"/>
      <c r="AKV65" s="137"/>
      <c r="AKW65" s="137"/>
      <c r="AKX65" s="137"/>
      <c r="AKY65" s="137"/>
      <c r="AKZ65" s="137"/>
      <c r="ALA65" s="137"/>
      <c r="ALB65" s="137"/>
      <c r="ALC65" s="137"/>
      <c r="ALD65" s="137"/>
      <c r="ALE65" s="137"/>
      <c r="ALF65" s="137"/>
      <c r="ALG65" s="137"/>
      <c r="ALH65" s="137"/>
      <c r="ALI65" s="137"/>
      <c r="ALJ65" s="137"/>
      <c r="ALK65" s="137"/>
      <c r="ALL65" s="137"/>
      <c r="ALM65" s="137"/>
      <c r="ALN65" s="137"/>
      <c r="ALO65" s="137"/>
      <c r="ALP65" s="137"/>
      <c r="ALQ65" s="137"/>
      <c r="ALR65" s="137"/>
      <c r="ALS65" s="137"/>
      <c r="ALT65" s="137"/>
      <c r="ALU65" s="137"/>
      <c r="ALV65" s="137"/>
      <c r="ALW65" s="137"/>
      <c r="ALX65" s="137"/>
      <c r="ALY65" s="137"/>
      <c r="ALZ65" s="137"/>
      <c r="AMA65" s="137"/>
      <c r="AMB65" s="137"/>
      <c r="AMC65" s="137"/>
      <c r="AMD65" s="137"/>
      <c r="AME65" s="137"/>
      <c r="AMF65" s="137"/>
      <c r="AMG65" s="137"/>
      <c r="AMH65" s="137"/>
      <c r="AMI65" s="137"/>
      <c r="AMJ65" s="137"/>
      <c r="AMK65" s="137"/>
      <c r="AML65" s="137"/>
      <c r="AMM65" s="137"/>
      <c r="AMN65" s="137"/>
      <c r="AMO65" s="137"/>
      <c r="AMP65" s="137"/>
      <c r="AMQ65" s="137"/>
      <c r="AMR65" s="137"/>
      <c r="AMS65" s="137"/>
      <c r="AMT65" s="137"/>
      <c r="AMU65" s="137"/>
      <c r="AMV65" s="137"/>
      <c r="AMW65" s="137"/>
      <c r="AMX65" s="137"/>
      <c r="AMY65" s="137"/>
      <c r="AMZ65" s="137"/>
      <c r="ANA65" s="137"/>
      <c r="ANB65" s="137"/>
      <c r="ANC65" s="137"/>
      <c r="AND65" s="137"/>
      <c r="ANE65" s="137"/>
      <c r="ANF65" s="137"/>
      <c r="ANG65" s="137"/>
      <c r="ANH65" s="137"/>
      <c r="ANI65" s="137"/>
      <c r="ANJ65" s="137"/>
      <c r="ANK65" s="137"/>
      <c r="ANL65" s="137"/>
      <c r="ANM65" s="137"/>
      <c r="ANN65" s="137"/>
      <c r="ANO65" s="137"/>
      <c r="ANP65" s="137"/>
      <c r="ANQ65" s="137"/>
      <c r="ANR65" s="137"/>
      <c r="ANS65" s="137"/>
      <c r="ANT65" s="137"/>
      <c r="ANU65" s="137"/>
      <c r="ANV65" s="137"/>
      <c r="ANW65" s="137"/>
      <c r="ANX65" s="137"/>
      <c r="ANY65" s="137"/>
      <c r="ANZ65" s="137"/>
      <c r="AOA65" s="137"/>
      <c r="AOB65" s="137"/>
      <c r="AOC65" s="137"/>
      <c r="AOD65" s="137"/>
      <c r="AOE65" s="137"/>
      <c r="AOF65" s="137"/>
      <c r="AOG65" s="137"/>
      <c r="AOH65" s="137"/>
      <c r="AOI65" s="137"/>
      <c r="AOJ65" s="137"/>
      <c r="AOK65" s="137"/>
      <c r="AOL65" s="137"/>
      <c r="AOM65" s="137"/>
      <c r="AON65" s="137"/>
      <c r="AOO65" s="137"/>
      <c r="AOP65" s="137"/>
      <c r="AOQ65" s="137"/>
      <c r="AOR65" s="137"/>
      <c r="AOS65" s="137"/>
      <c r="AOT65" s="137"/>
      <c r="AOU65" s="137"/>
      <c r="AOV65" s="137"/>
      <c r="AOW65" s="137"/>
      <c r="AOX65" s="137"/>
      <c r="AOY65" s="137"/>
      <c r="AOZ65" s="137"/>
      <c r="APA65" s="137"/>
      <c r="APB65" s="137"/>
      <c r="APC65" s="137"/>
      <c r="APD65" s="137"/>
      <c r="APE65" s="137"/>
      <c r="APF65" s="137"/>
      <c r="APG65" s="137"/>
      <c r="APH65" s="137"/>
      <c r="API65" s="137"/>
      <c r="APJ65" s="137"/>
      <c r="APK65" s="137"/>
      <c r="APL65" s="137"/>
      <c r="APM65" s="137"/>
      <c r="APN65" s="137"/>
      <c r="APO65" s="137"/>
      <c r="APP65" s="137"/>
      <c r="APQ65" s="137"/>
      <c r="APR65" s="137"/>
      <c r="APS65" s="137"/>
      <c r="APT65" s="137"/>
      <c r="APU65" s="137"/>
      <c r="APV65" s="137"/>
      <c r="APW65" s="137"/>
      <c r="APX65" s="137"/>
      <c r="APY65" s="137"/>
      <c r="APZ65" s="137"/>
      <c r="AQA65" s="137"/>
      <c r="AQB65" s="137"/>
      <c r="AQC65" s="137"/>
      <c r="AQD65" s="137"/>
      <c r="AQE65" s="137"/>
      <c r="AQF65" s="137"/>
      <c r="AQG65" s="137"/>
      <c r="AQH65" s="137"/>
      <c r="AQI65" s="137"/>
      <c r="AQJ65" s="137"/>
      <c r="AQK65" s="137"/>
      <c r="AQL65" s="137"/>
      <c r="AQM65" s="137"/>
      <c r="AQN65" s="137"/>
      <c r="AQO65" s="137"/>
      <c r="AQP65" s="137"/>
      <c r="AQQ65" s="137"/>
      <c r="AQR65" s="137"/>
      <c r="AQS65" s="137"/>
      <c r="AQT65" s="137"/>
      <c r="AQU65" s="137"/>
      <c r="AQV65" s="137"/>
      <c r="AQW65" s="137"/>
      <c r="AQX65" s="137"/>
      <c r="AQY65" s="137"/>
      <c r="AQZ65" s="137"/>
      <c r="ARA65" s="137"/>
      <c r="ARB65" s="137"/>
      <c r="ARC65" s="137"/>
      <c r="ARD65" s="137"/>
      <c r="ARE65" s="137"/>
      <c r="ARF65" s="137"/>
      <c r="ARG65" s="137"/>
      <c r="ARH65" s="137"/>
      <c r="ARI65" s="137"/>
      <c r="ARJ65" s="137"/>
      <c r="ARK65" s="137"/>
      <c r="ARL65" s="137"/>
      <c r="ARM65" s="137"/>
      <c r="ARN65" s="137"/>
      <c r="ARO65" s="137"/>
      <c r="ARP65" s="137"/>
      <c r="ARQ65" s="137"/>
      <c r="ARR65" s="137"/>
      <c r="ARS65" s="137"/>
      <c r="ART65" s="137"/>
      <c r="ARU65" s="137"/>
      <c r="ARV65" s="137"/>
      <c r="ARW65" s="137"/>
      <c r="ARX65" s="137"/>
      <c r="ARY65" s="137"/>
      <c r="ARZ65" s="137"/>
      <c r="ASA65" s="137"/>
      <c r="ASB65" s="137"/>
      <c r="ASC65" s="137"/>
      <c r="ASD65" s="137"/>
      <c r="ASE65" s="137"/>
      <c r="ASF65" s="137"/>
      <c r="ASG65" s="137"/>
      <c r="ASH65" s="137"/>
      <c r="ASI65" s="137"/>
      <c r="ASJ65" s="137"/>
      <c r="ASK65" s="137"/>
      <c r="ASL65" s="137"/>
      <c r="ASM65" s="137"/>
      <c r="ASN65" s="137"/>
      <c r="ASO65" s="137"/>
      <c r="ASP65" s="137"/>
      <c r="ASQ65" s="137"/>
      <c r="ASR65" s="137"/>
      <c r="ASS65" s="137"/>
      <c r="AST65" s="137"/>
      <c r="ASU65" s="137"/>
      <c r="ASV65" s="137"/>
      <c r="ASW65" s="137"/>
      <c r="ASX65" s="137"/>
      <c r="ASY65" s="137"/>
      <c r="ASZ65" s="137"/>
      <c r="ATA65" s="137"/>
      <c r="ATB65" s="137"/>
      <c r="ATC65" s="137"/>
      <c r="ATD65" s="137"/>
      <c r="ATE65" s="137"/>
      <c r="ATF65" s="137"/>
      <c r="ATG65" s="137"/>
      <c r="ATH65" s="137"/>
      <c r="ATI65" s="137"/>
      <c r="ATJ65" s="137"/>
      <c r="ATK65" s="137"/>
      <c r="ATL65" s="137"/>
      <c r="ATM65" s="137"/>
      <c r="ATN65" s="137"/>
      <c r="ATO65" s="137"/>
      <c r="ATP65" s="137"/>
      <c r="ATQ65" s="137"/>
      <c r="ATR65" s="137"/>
      <c r="ATS65" s="137"/>
      <c r="ATT65" s="137"/>
      <c r="ATU65" s="137"/>
      <c r="ATV65" s="137"/>
      <c r="ATW65" s="137"/>
      <c r="ATX65" s="137"/>
      <c r="ATY65" s="137"/>
      <c r="ATZ65" s="137"/>
      <c r="AUA65" s="137"/>
      <c r="AUB65" s="137"/>
      <c r="AUC65" s="137"/>
      <c r="AUD65" s="137"/>
      <c r="AUE65" s="137"/>
      <c r="AUF65" s="137"/>
      <c r="AUG65" s="137"/>
      <c r="AUH65" s="137"/>
      <c r="AUI65" s="137"/>
      <c r="AUJ65" s="137"/>
      <c r="AUK65" s="137"/>
      <c r="AUL65" s="137"/>
      <c r="AUM65" s="137"/>
      <c r="AUN65" s="137"/>
      <c r="AUO65" s="137"/>
      <c r="AUP65" s="137"/>
      <c r="AUQ65" s="137"/>
      <c r="AUR65" s="137"/>
      <c r="AUS65" s="137"/>
      <c r="AUT65" s="137"/>
      <c r="AUU65" s="137"/>
      <c r="AUV65" s="137"/>
      <c r="AUW65" s="137"/>
      <c r="AUX65" s="137"/>
      <c r="AUY65" s="137"/>
      <c r="AUZ65" s="137"/>
      <c r="AVA65" s="137"/>
      <c r="AVB65" s="137"/>
      <c r="AVC65" s="137"/>
      <c r="AVD65" s="137"/>
      <c r="AVE65" s="137"/>
      <c r="AVF65" s="137"/>
      <c r="AVG65" s="137"/>
      <c r="AVH65" s="137"/>
      <c r="AVI65" s="137"/>
      <c r="AVJ65" s="137"/>
      <c r="AVK65" s="137"/>
      <c r="AVL65" s="137"/>
      <c r="AVM65" s="137"/>
      <c r="AVN65" s="137"/>
      <c r="AVO65" s="137"/>
      <c r="AVP65" s="137"/>
      <c r="AVQ65" s="137"/>
      <c r="AVR65" s="137"/>
      <c r="AVS65" s="137"/>
      <c r="AVT65" s="137"/>
      <c r="AVU65" s="137"/>
      <c r="AVV65" s="137"/>
      <c r="AVW65" s="137"/>
      <c r="AVX65" s="137"/>
      <c r="AVY65" s="137"/>
      <c r="AVZ65" s="137"/>
      <c r="AWA65" s="137"/>
      <c r="AWB65" s="137"/>
      <c r="AWC65" s="137"/>
      <c r="AWD65" s="137"/>
      <c r="AWE65" s="137"/>
      <c r="AWF65" s="137"/>
      <c r="AWG65" s="137"/>
      <c r="AWH65" s="137"/>
      <c r="AWI65" s="137"/>
      <c r="AWJ65" s="137"/>
      <c r="AWK65" s="137"/>
      <c r="AWL65" s="137"/>
      <c r="AWM65" s="137"/>
      <c r="AWN65" s="137"/>
      <c r="AWO65" s="137"/>
      <c r="AWP65" s="137"/>
      <c r="AWQ65" s="137"/>
      <c r="AWR65" s="137"/>
      <c r="AWS65" s="137"/>
      <c r="AWT65" s="137"/>
      <c r="AWU65" s="137"/>
      <c r="AWV65" s="137"/>
      <c r="AWW65" s="137"/>
      <c r="AWX65" s="137"/>
      <c r="AWY65" s="137"/>
      <c r="AWZ65" s="137"/>
      <c r="AXA65" s="137"/>
      <c r="AXB65" s="137"/>
      <c r="AXC65" s="137"/>
      <c r="AXD65" s="137"/>
      <c r="AXE65" s="137"/>
      <c r="AXF65" s="137"/>
      <c r="AXG65" s="137"/>
      <c r="AXH65" s="137"/>
      <c r="AXI65" s="137"/>
      <c r="AXJ65" s="137"/>
      <c r="AXK65" s="137"/>
      <c r="AXL65" s="137"/>
      <c r="AXM65" s="137"/>
      <c r="AXN65" s="137"/>
      <c r="AXO65" s="137"/>
      <c r="AXP65" s="137"/>
      <c r="AXQ65" s="137"/>
      <c r="AXR65" s="137"/>
      <c r="AXS65" s="137"/>
      <c r="AXT65" s="137"/>
      <c r="AXU65" s="137"/>
      <c r="AXV65" s="137"/>
      <c r="AXW65" s="137"/>
      <c r="AXX65" s="137"/>
      <c r="AXY65" s="137"/>
      <c r="AXZ65" s="137"/>
      <c r="AYA65" s="137"/>
      <c r="AYB65" s="137"/>
      <c r="AYC65" s="137"/>
      <c r="AYD65" s="137"/>
      <c r="AYE65" s="137"/>
      <c r="AYF65" s="137"/>
      <c r="AYG65" s="137"/>
      <c r="AYH65" s="137"/>
      <c r="AYI65" s="137"/>
      <c r="AYJ65" s="137"/>
      <c r="AYK65" s="137"/>
      <c r="AYL65" s="137"/>
      <c r="AYM65" s="137"/>
      <c r="AYN65" s="137"/>
      <c r="AYO65" s="137"/>
      <c r="AYP65" s="137"/>
      <c r="AYQ65" s="137"/>
      <c r="AYR65" s="137"/>
      <c r="AYS65" s="137"/>
      <c r="AYT65" s="137"/>
      <c r="AYU65" s="137"/>
      <c r="AYV65" s="137"/>
      <c r="AYW65" s="137"/>
      <c r="AYX65" s="137"/>
      <c r="AYY65" s="137"/>
      <c r="AYZ65" s="137"/>
      <c r="AZA65" s="137"/>
      <c r="AZB65" s="137"/>
      <c r="AZC65" s="137"/>
      <c r="AZD65" s="137"/>
      <c r="AZE65" s="137"/>
      <c r="AZF65" s="137"/>
      <c r="AZG65" s="137"/>
      <c r="AZH65" s="137"/>
      <c r="AZI65" s="137"/>
      <c r="AZJ65" s="137"/>
      <c r="AZK65" s="137"/>
      <c r="AZL65" s="137"/>
      <c r="AZM65" s="137"/>
      <c r="AZN65" s="137"/>
      <c r="AZO65" s="137"/>
      <c r="AZP65" s="137"/>
      <c r="AZQ65" s="137"/>
      <c r="AZR65" s="137"/>
      <c r="AZS65" s="137"/>
      <c r="AZT65" s="137"/>
      <c r="AZU65" s="137"/>
      <c r="AZV65" s="137"/>
      <c r="AZW65" s="137"/>
      <c r="AZX65" s="137"/>
      <c r="AZY65" s="137"/>
      <c r="AZZ65" s="137"/>
      <c r="BAA65" s="137"/>
      <c r="BAB65" s="137"/>
      <c r="BAC65" s="137"/>
      <c r="BAD65" s="137"/>
      <c r="BAE65" s="137"/>
      <c r="BAF65" s="137"/>
      <c r="BAG65" s="137"/>
      <c r="BAH65" s="137"/>
      <c r="BAI65" s="137"/>
      <c r="BAJ65" s="137"/>
      <c r="BAK65" s="137"/>
      <c r="BAL65" s="137"/>
      <c r="BAM65" s="137"/>
      <c r="BAN65" s="137"/>
      <c r="BAO65" s="137"/>
      <c r="BAP65" s="137"/>
      <c r="BAQ65" s="137"/>
      <c r="BAR65" s="137"/>
      <c r="BAS65" s="137"/>
      <c r="BAT65" s="137"/>
      <c r="BAU65" s="137"/>
      <c r="BAV65" s="137"/>
      <c r="BAW65" s="137"/>
      <c r="BAX65" s="137"/>
      <c r="BAY65" s="137"/>
      <c r="BAZ65" s="137"/>
      <c r="BBA65" s="137"/>
      <c r="BBB65" s="137"/>
      <c r="BBC65" s="137"/>
      <c r="BBD65" s="137"/>
      <c r="BBE65" s="137"/>
      <c r="BBF65" s="137"/>
      <c r="BBG65" s="137"/>
      <c r="BBH65" s="137"/>
      <c r="BBI65" s="137"/>
      <c r="BBJ65" s="137"/>
      <c r="BBK65" s="137"/>
      <c r="BBL65" s="137"/>
      <c r="BBM65" s="137"/>
      <c r="BBN65" s="137"/>
      <c r="BBO65" s="137"/>
      <c r="BBP65" s="137"/>
      <c r="BBQ65" s="137"/>
      <c r="BBR65" s="137"/>
      <c r="BBS65" s="137"/>
      <c r="BBT65" s="137"/>
      <c r="BBU65" s="137"/>
      <c r="BBV65" s="137"/>
      <c r="BBW65" s="137"/>
      <c r="BBX65" s="137"/>
      <c r="BBY65" s="137"/>
      <c r="BBZ65" s="137"/>
      <c r="BCA65" s="137"/>
      <c r="BCB65" s="137"/>
      <c r="BCC65" s="137"/>
      <c r="BCD65" s="137"/>
      <c r="BCE65" s="137"/>
      <c r="BCF65" s="137"/>
      <c r="BCG65" s="137"/>
      <c r="BCH65" s="137"/>
      <c r="BCI65" s="137"/>
      <c r="BCJ65" s="137"/>
      <c r="BCK65" s="137"/>
      <c r="BCL65" s="137"/>
      <c r="BCM65" s="137"/>
      <c r="BCN65" s="137"/>
      <c r="BCO65" s="137"/>
      <c r="BCP65" s="137"/>
      <c r="BCQ65" s="137"/>
      <c r="BCR65" s="137"/>
      <c r="BCS65" s="137"/>
      <c r="BCT65" s="137"/>
      <c r="BCU65" s="137"/>
      <c r="BCV65" s="137"/>
      <c r="BCW65" s="137"/>
      <c r="BCX65" s="137"/>
      <c r="BCY65" s="137"/>
      <c r="BCZ65" s="137"/>
      <c r="BDA65" s="137"/>
      <c r="BDB65" s="137"/>
      <c r="BDC65" s="137"/>
      <c r="BDD65" s="137"/>
      <c r="BDE65" s="137"/>
      <c r="BDF65" s="137"/>
      <c r="BDG65" s="137"/>
      <c r="BDH65" s="137"/>
      <c r="BDI65" s="137"/>
      <c r="BDJ65" s="137"/>
      <c r="BDK65" s="137"/>
      <c r="BDL65" s="137"/>
      <c r="BDM65" s="137"/>
      <c r="BDN65" s="137"/>
      <c r="BDO65" s="137"/>
      <c r="BDP65" s="137"/>
      <c r="BDQ65" s="137"/>
      <c r="BDR65" s="137"/>
      <c r="BDS65" s="137"/>
      <c r="BDT65" s="137"/>
      <c r="BDU65" s="137"/>
      <c r="BDV65" s="137"/>
      <c r="BDW65" s="137"/>
      <c r="BDX65" s="137"/>
      <c r="BDY65" s="137"/>
      <c r="BDZ65" s="137"/>
      <c r="BEA65" s="137"/>
      <c r="BEB65" s="137"/>
      <c r="BEC65" s="137"/>
      <c r="BED65" s="137"/>
      <c r="BEE65" s="137"/>
      <c r="BEF65" s="137"/>
      <c r="BEG65" s="137"/>
      <c r="BEH65" s="137"/>
      <c r="BEI65" s="137"/>
      <c r="BEJ65" s="137"/>
      <c r="BEK65" s="137"/>
      <c r="BEL65" s="137"/>
      <c r="BEM65" s="137"/>
      <c r="BEN65" s="137"/>
      <c r="BEO65" s="137"/>
      <c r="BEP65" s="137"/>
      <c r="BEQ65" s="137"/>
      <c r="BER65" s="137"/>
      <c r="BES65" s="137"/>
      <c r="BET65" s="137"/>
      <c r="BEU65" s="137"/>
      <c r="BEV65" s="137"/>
      <c r="BEW65" s="137"/>
      <c r="BEX65" s="137"/>
      <c r="BEY65" s="137"/>
      <c r="BEZ65" s="137"/>
      <c r="BFA65" s="137"/>
      <c r="BFB65" s="137"/>
      <c r="BFC65" s="137"/>
      <c r="BFD65" s="137"/>
      <c r="BFE65" s="137"/>
      <c r="BFF65" s="137"/>
      <c r="BFG65" s="137"/>
      <c r="BFH65" s="137"/>
      <c r="BFI65" s="137"/>
      <c r="BFJ65" s="137"/>
      <c r="BFK65" s="137"/>
      <c r="BFL65" s="137"/>
      <c r="BFM65" s="137"/>
      <c r="BFN65" s="137"/>
      <c r="BFO65" s="137"/>
      <c r="BFP65" s="137"/>
      <c r="BFQ65" s="137"/>
      <c r="BFR65" s="137"/>
      <c r="BFS65" s="137"/>
      <c r="BFT65" s="137"/>
      <c r="BFU65" s="137"/>
      <c r="BFV65" s="137"/>
      <c r="BFW65" s="137"/>
      <c r="BFX65" s="137"/>
      <c r="BFY65" s="137"/>
      <c r="BFZ65" s="137"/>
      <c r="BGA65" s="137"/>
      <c r="BGB65" s="137"/>
      <c r="BGC65" s="137"/>
      <c r="BGD65" s="137"/>
      <c r="BGE65" s="137"/>
      <c r="BGF65" s="137"/>
      <c r="BGG65" s="137"/>
      <c r="BGH65" s="137"/>
      <c r="BGI65" s="137"/>
      <c r="BGJ65" s="137"/>
      <c r="BGK65" s="137"/>
      <c r="BGL65" s="137"/>
      <c r="BGM65" s="137"/>
      <c r="BGN65" s="137"/>
      <c r="BGO65" s="137"/>
      <c r="BGP65" s="137"/>
      <c r="BGQ65" s="137"/>
      <c r="BGR65" s="137"/>
      <c r="BGS65" s="137"/>
      <c r="BGT65" s="137"/>
      <c r="BGU65" s="137"/>
      <c r="BGV65" s="137"/>
      <c r="BGW65" s="137"/>
      <c r="BGX65" s="137"/>
      <c r="BGY65" s="137"/>
      <c r="BGZ65" s="137"/>
      <c r="BHA65" s="137"/>
      <c r="BHB65" s="137"/>
      <c r="BHC65" s="137"/>
      <c r="BHD65" s="137"/>
      <c r="BHE65" s="137"/>
      <c r="BHF65" s="137"/>
      <c r="BHG65" s="137"/>
      <c r="BHH65" s="137"/>
      <c r="BHI65" s="137"/>
      <c r="BHJ65" s="137"/>
      <c r="BHK65" s="137"/>
      <c r="BHL65" s="137"/>
      <c r="BHM65" s="137"/>
      <c r="BHN65" s="137"/>
      <c r="BHO65" s="137"/>
      <c r="BHP65" s="137"/>
      <c r="BHQ65" s="137"/>
      <c r="BHR65" s="137"/>
      <c r="BHS65" s="137"/>
      <c r="BHT65" s="137"/>
      <c r="BHU65" s="137"/>
      <c r="BHV65" s="137"/>
      <c r="BHW65" s="137"/>
      <c r="BHX65" s="137"/>
      <c r="BHY65" s="137"/>
      <c r="BHZ65" s="137"/>
      <c r="BIA65" s="137"/>
      <c r="BIB65" s="137"/>
      <c r="BIC65" s="137"/>
      <c r="BID65" s="137"/>
      <c r="BIE65" s="137"/>
      <c r="BIF65" s="137"/>
      <c r="BIG65" s="137"/>
      <c r="BIH65" s="137"/>
      <c r="BII65" s="137"/>
      <c r="BIJ65" s="137"/>
      <c r="BIK65" s="137"/>
      <c r="BIL65" s="137"/>
      <c r="BIM65" s="137"/>
      <c r="BIN65" s="137"/>
      <c r="BIO65" s="137"/>
      <c r="BIP65" s="137"/>
      <c r="BIQ65" s="137"/>
      <c r="BIR65" s="137"/>
      <c r="BIS65" s="137"/>
      <c r="BIT65" s="137"/>
      <c r="BIU65" s="137"/>
      <c r="BIV65" s="137"/>
      <c r="BIW65" s="137"/>
      <c r="BIX65" s="137"/>
      <c r="BIY65" s="137"/>
      <c r="BIZ65" s="137"/>
      <c r="BJA65" s="137"/>
      <c r="BJB65" s="137"/>
      <c r="BJC65" s="137"/>
      <c r="BJD65" s="137"/>
      <c r="BJE65" s="137"/>
      <c r="BJF65" s="137"/>
      <c r="BJG65" s="137"/>
      <c r="BJH65" s="137"/>
      <c r="BJI65" s="137"/>
      <c r="BJJ65" s="137"/>
      <c r="BJK65" s="137"/>
      <c r="BJL65" s="137"/>
      <c r="BJM65" s="137"/>
      <c r="BJN65" s="137"/>
      <c r="BJO65" s="137"/>
      <c r="BJP65" s="137"/>
      <c r="BJQ65" s="137"/>
      <c r="BJR65" s="137"/>
      <c r="BJS65" s="137"/>
      <c r="BJT65" s="137"/>
      <c r="BJU65" s="137"/>
      <c r="BJV65" s="137"/>
      <c r="BJW65" s="137"/>
      <c r="BJX65" s="137"/>
      <c r="BJY65" s="137"/>
      <c r="BJZ65" s="137"/>
      <c r="BKA65" s="137"/>
      <c r="BKB65" s="137"/>
      <c r="BKC65" s="137"/>
      <c r="BKD65" s="137"/>
      <c r="BKE65" s="137"/>
      <c r="BKF65" s="137"/>
      <c r="BKG65" s="137"/>
      <c r="BKH65" s="137"/>
      <c r="BKI65" s="137"/>
      <c r="BKJ65" s="137"/>
      <c r="BKK65" s="137"/>
      <c r="BKL65" s="137"/>
      <c r="BKM65" s="137"/>
      <c r="BKN65" s="137"/>
      <c r="BKO65" s="137"/>
      <c r="BKP65" s="137"/>
      <c r="BKQ65" s="137"/>
      <c r="BKR65" s="137"/>
      <c r="BKS65" s="137"/>
      <c r="BKT65" s="137"/>
      <c r="BKU65" s="137"/>
      <c r="BKV65" s="137"/>
      <c r="BKW65" s="137"/>
      <c r="BKX65" s="137"/>
      <c r="BKY65" s="137"/>
      <c r="BKZ65" s="137"/>
      <c r="BLA65" s="137"/>
      <c r="BLB65" s="137"/>
      <c r="BLC65" s="137"/>
      <c r="BLD65" s="137"/>
      <c r="BLE65" s="137"/>
      <c r="BLF65" s="137"/>
      <c r="BLG65" s="137"/>
      <c r="BLH65" s="137"/>
      <c r="BLI65" s="137"/>
      <c r="BLJ65" s="137"/>
      <c r="BLK65" s="137"/>
      <c r="BLL65" s="137"/>
      <c r="BLM65" s="137"/>
      <c r="BLN65" s="137"/>
      <c r="BLO65" s="137"/>
      <c r="BLP65" s="137"/>
      <c r="BLQ65" s="137"/>
      <c r="BLR65" s="137"/>
      <c r="BLS65" s="137"/>
      <c r="BLT65" s="137"/>
      <c r="BLU65" s="137"/>
      <c r="BLV65" s="137"/>
      <c r="BLW65" s="137"/>
      <c r="BLX65" s="137"/>
      <c r="BLY65" s="137"/>
      <c r="BLZ65" s="137"/>
      <c r="BMA65" s="137"/>
      <c r="BMB65" s="137"/>
      <c r="BMC65" s="137"/>
      <c r="BMD65" s="137"/>
      <c r="BME65" s="137"/>
      <c r="BMF65" s="137"/>
      <c r="BMG65" s="137"/>
      <c r="BMH65" s="137"/>
      <c r="BMI65" s="137"/>
      <c r="BMJ65" s="137"/>
      <c r="BMK65" s="137"/>
      <c r="BML65" s="137"/>
      <c r="BMM65" s="137"/>
      <c r="BMN65" s="137"/>
      <c r="BMO65" s="137"/>
      <c r="BMP65" s="137"/>
      <c r="BMQ65" s="137"/>
      <c r="BMR65" s="137"/>
      <c r="BMS65" s="137"/>
      <c r="BMT65" s="137"/>
      <c r="BMU65" s="137"/>
      <c r="BMV65" s="137"/>
      <c r="BMW65" s="137"/>
      <c r="BMX65" s="137"/>
      <c r="BMY65" s="137"/>
      <c r="BMZ65" s="137"/>
      <c r="BNA65" s="137"/>
      <c r="BNB65" s="137"/>
      <c r="BNC65" s="137"/>
      <c r="BND65" s="137"/>
      <c r="BNE65" s="137"/>
      <c r="BNF65" s="137"/>
      <c r="BNG65" s="137"/>
      <c r="BNH65" s="137"/>
      <c r="BNI65" s="137"/>
      <c r="BNJ65" s="137"/>
      <c r="BNK65" s="137"/>
      <c r="BNL65" s="137"/>
      <c r="BNM65" s="137"/>
      <c r="BNN65" s="137"/>
      <c r="BNO65" s="137"/>
      <c r="BNP65" s="137"/>
      <c r="BNQ65" s="137"/>
      <c r="BNR65" s="137"/>
      <c r="BNS65" s="137"/>
      <c r="BNT65" s="137"/>
      <c r="BNU65" s="137"/>
      <c r="BNV65" s="137"/>
      <c r="BNW65" s="137"/>
      <c r="BNX65" s="137"/>
      <c r="BNY65" s="137"/>
      <c r="BNZ65" s="137"/>
      <c r="BOA65" s="137"/>
      <c r="BOB65" s="137"/>
      <c r="BOC65" s="137"/>
      <c r="BOD65" s="137"/>
      <c r="BOE65" s="137"/>
      <c r="BOF65" s="137"/>
      <c r="BOG65" s="137"/>
      <c r="BOH65" s="137"/>
      <c r="BOI65" s="137"/>
      <c r="BOJ65" s="137"/>
      <c r="BOK65" s="137"/>
      <c r="BOL65" s="137"/>
      <c r="BOM65" s="137"/>
      <c r="BON65" s="137"/>
      <c r="BOO65" s="137"/>
      <c r="BOP65" s="137"/>
      <c r="BOQ65" s="137"/>
      <c r="BOR65" s="137"/>
      <c r="BOS65" s="137"/>
      <c r="BOT65" s="137"/>
      <c r="BOU65" s="137"/>
      <c r="BOV65" s="137"/>
      <c r="BOW65" s="137"/>
      <c r="BOX65" s="137"/>
      <c r="BOY65" s="137"/>
      <c r="BOZ65" s="137"/>
      <c r="BPA65" s="137"/>
      <c r="BPB65" s="137"/>
      <c r="BPC65" s="137"/>
      <c r="BPD65" s="137"/>
      <c r="BPE65" s="137"/>
      <c r="BPF65" s="137"/>
      <c r="BPG65" s="137"/>
      <c r="BPH65" s="137"/>
      <c r="BPI65" s="137"/>
      <c r="BPJ65" s="137"/>
      <c r="BPK65" s="137"/>
      <c r="BPL65" s="137"/>
      <c r="BPM65" s="137"/>
      <c r="BPN65" s="137"/>
      <c r="BPO65" s="137"/>
      <c r="BPP65" s="137"/>
      <c r="BPQ65" s="137"/>
      <c r="BPR65" s="137"/>
      <c r="BPS65" s="137"/>
      <c r="BPT65" s="137"/>
      <c r="BPU65" s="137"/>
      <c r="BPV65" s="137"/>
      <c r="BPW65" s="137"/>
      <c r="BPX65" s="137"/>
      <c r="BPY65" s="137"/>
      <c r="BPZ65" s="137"/>
      <c r="BQA65" s="137"/>
      <c r="BQB65" s="137"/>
      <c r="BQC65" s="137"/>
      <c r="BQD65" s="137"/>
      <c r="BQE65" s="137"/>
      <c r="BQF65" s="137"/>
      <c r="BQG65" s="137"/>
      <c r="BQH65" s="137"/>
      <c r="BQI65" s="137"/>
      <c r="BQJ65" s="137"/>
      <c r="BQK65" s="137"/>
      <c r="BQL65" s="137"/>
      <c r="BQM65" s="137"/>
      <c r="BQN65" s="137"/>
      <c r="BQO65" s="137"/>
      <c r="BQP65" s="137"/>
      <c r="BQQ65" s="137"/>
      <c r="BQR65" s="137"/>
      <c r="BQS65" s="137"/>
      <c r="BQT65" s="137"/>
      <c r="BQU65" s="137"/>
      <c r="BQV65" s="137"/>
      <c r="BQW65" s="137"/>
      <c r="BQX65" s="137"/>
      <c r="BQY65" s="137"/>
      <c r="BQZ65" s="137"/>
      <c r="BRA65" s="137"/>
      <c r="BRB65" s="137"/>
      <c r="BRC65" s="137"/>
      <c r="BRD65" s="137"/>
      <c r="BRE65" s="137"/>
      <c r="BRF65" s="137"/>
      <c r="BRG65" s="137"/>
      <c r="BRH65" s="137"/>
      <c r="BRI65" s="137"/>
      <c r="BRJ65" s="137"/>
      <c r="BRK65" s="137"/>
      <c r="BRL65" s="137"/>
      <c r="BRM65" s="137"/>
      <c r="BRN65" s="137"/>
      <c r="BRO65" s="137"/>
      <c r="BRP65" s="137"/>
      <c r="BRQ65" s="137"/>
      <c r="BRR65" s="137"/>
      <c r="BRS65" s="137"/>
      <c r="BRT65" s="137"/>
      <c r="BRU65" s="137"/>
      <c r="BRV65" s="137"/>
      <c r="BRW65" s="137"/>
      <c r="BRX65" s="137"/>
      <c r="BRY65" s="137"/>
      <c r="BRZ65" s="137"/>
      <c r="BSA65" s="137"/>
      <c r="BSB65" s="137"/>
      <c r="BSC65" s="137"/>
      <c r="BSD65" s="137"/>
      <c r="BSE65" s="137"/>
      <c r="BSF65" s="137"/>
      <c r="BSG65" s="137"/>
      <c r="BSH65" s="137"/>
      <c r="BSI65" s="137"/>
      <c r="BSJ65" s="137"/>
      <c r="BSK65" s="137"/>
      <c r="BSL65" s="137"/>
      <c r="BSM65" s="137"/>
      <c r="BSN65" s="137"/>
      <c r="BSO65" s="137"/>
      <c r="BSP65" s="137"/>
      <c r="BSQ65" s="137"/>
      <c r="BSR65" s="137"/>
      <c r="BSS65" s="137"/>
      <c r="BST65" s="137"/>
      <c r="BSU65" s="137"/>
      <c r="BSV65" s="137"/>
      <c r="BSW65" s="137"/>
      <c r="BSX65" s="137"/>
      <c r="BSY65" s="137"/>
      <c r="BSZ65" s="137"/>
      <c r="BTA65" s="137"/>
      <c r="BTB65" s="137"/>
      <c r="BTC65" s="137"/>
      <c r="BTD65" s="137"/>
      <c r="BTE65" s="137"/>
      <c r="BTF65" s="137"/>
      <c r="BTG65" s="137"/>
      <c r="BTH65" s="137"/>
      <c r="BTI65" s="137"/>
      <c r="BTJ65" s="137"/>
      <c r="BTK65" s="137"/>
      <c r="BTL65" s="137"/>
      <c r="BTM65" s="137"/>
      <c r="BTN65" s="137"/>
      <c r="BTO65" s="137"/>
      <c r="BTP65" s="137"/>
      <c r="BTQ65" s="137"/>
      <c r="BTR65" s="137"/>
      <c r="BTS65" s="137"/>
      <c r="BTT65" s="137"/>
      <c r="BTU65" s="137"/>
      <c r="BTV65" s="137"/>
      <c r="BTW65" s="137"/>
      <c r="BTX65" s="137"/>
      <c r="BTY65" s="137"/>
      <c r="BTZ65" s="137"/>
      <c r="BUA65" s="137"/>
      <c r="BUB65" s="137"/>
      <c r="BUC65" s="137"/>
      <c r="BUD65" s="137"/>
      <c r="BUE65" s="137"/>
      <c r="BUF65" s="137"/>
      <c r="BUG65" s="137"/>
      <c r="BUH65" s="137"/>
      <c r="BUI65" s="137"/>
      <c r="BUJ65" s="137"/>
      <c r="BUK65" s="137"/>
      <c r="BUL65" s="137"/>
      <c r="BUM65" s="137"/>
      <c r="BUN65" s="137"/>
      <c r="BUO65" s="137"/>
      <c r="BUP65" s="137"/>
      <c r="BUQ65" s="137"/>
      <c r="BUR65" s="137"/>
      <c r="BUS65" s="137"/>
      <c r="BUT65" s="137"/>
      <c r="BUU65" s="137"/>
      <c r="BUV65" s="137"/>
      <c r="BUW65" s="137"/>
      <c r="BUX65" s="137"/>
      <c r="BUY65" s="137"/>
      <c r="BUZ65" s="137"/>
      <c r="BVA65" s="137"/>
      <c r="BVB65" s="137"/>
      <c r="BVC65" s="137"/>
      <c r="BVD65" s="137"/>
      <c r="BVE65" s="137"/>
      <c r="BVF65" s="137"/>
      <c r="BVG65" s="137"/>
      <c r="BVH65" s="137"/>
      <c r="BVI65" s="137"/>
      <c r="BVJ65" s="137"/>
      <c r="BVK65" s="137"/>
      <c r="BVL65" s="137"/>
      <c r="BVM65" s="137"/>
      <c r="BVN65" s="137"/>
      <c r="BVO65" s="137"/>
      <c r="BVP65" s="137"/>
      <c r="BVQ65" s="137"/>
      <c r="BVR65" s="137"/>
      <c r="BVS65" s="137"/>
      <c r="BVT65" s="137"/>
      <c r="BVU65" s="137"/>
      <c r="BVV65" s="137"/>
      <c r="BVW65" s="137"/>
      <c r="BVX65" s="137"/>
      <c r="BVY65" s="137"/>
      <c r="BVZ65" s="137"/>
      <c r="BWA65" s="137"/>
      <c r="BWB65" s="137"/>
      <c r="BWC65" s="137"/>
      <c r="BWD65" s="137"/>
      <c r="BWE65" s="137"/>
      <c r="BWF65" s="137"/>
      <c r="BWG65" s="137"/>
      <c r="BWH65" s="137"/>
      <c r="BWI65" s="137"/>
      <c r="BWJ65" s="137"/>
      <c r="BWK65" s="137"/>
      <c r="BWL65" s="137"/>
      <c r="BWM65" s="137"/>
      <c r="BWN65" s="137"/>
      <c r="BWO65" s="137"/>
      <c r="BWP65" s="137"/>
      <c r="BWQ65" s="137"/>
      <c r="BWR65" s="137"/>
      <c r="BWS65" s="137"/>
      <c r="BWT65" s="137"/>
      <c r="BWU65" s="137"/>
      <c r="BWV65" s="137"/>
      <c r="BWW65" s="137"/>
      <c r="BWX65" s="137"/>
      <c r="BWY65" s="137"/>
      <c r="BWZ65" s="137"/>
      <c r="BXA65" s="137"/>
      <c r="BXB65" s="137"/>
      <c r="BXC65" s="137"/>
      <c r="BXD65" s="137"/>
      <c r="BXE65" s="137"/>
      <c r="BXF65" s="137"/>
      <c r="BXG65" s="137"/>
      <c r="BXH65" s="137"/>
      <c r="BXI65" s="137"/>
      <c r="BXJ65" s="137"/>
      <c r="BXK65" s="137"/>
      <c r="BXL65" s="137"/>
      <c r="BXM65" s="137"/>
      <c r="BXN65" s="137"/>
      <c r="BXO65" s="137"/>
      <c r="BXP65" s="137"/>
      <c r="BXQ65" s="137"/>
      <c r="BXR65" s="137"/>
      <c r="BXS65" s="137"/>
      <c r="BXT65" s="137"/>
      <c r="BXU65" s="137"/>
      <c r="BXV65" s="137"/>
      <c r="BXW65" s="137"/>
      <c r="BXX65" s="137"/>
      <c r="BXY65" s="137"/>
      <c r="BXZ65" s="137"/>
      <c r="BYA65" s="137"/>
      <c r="BYB65" s="137"/>
      <c r="BYC65" s="137"/>
      <c r="BYD65" s="137"/>
      <c r="BYE65" s="137"/>
      <c r="BYF65" s="137"/>
      <c r="BYG65" s="137"/>
      <c r="BYH65" s="137"/>
      <c r="BYI65" s="137"/>
      <c r="BYJ65" s="137"/>
      <c r="BYK65" s="137"/>
      <c r="BYL65" s="137"/>
      <c r="BYM65" s="137"/>
      <c r="BYN65" s="137"/>
      <c r="BYO65" s="137"/>
      <c r="BYP65" s="137"/>
      <c r="BYQ65" s="137"/>
      <c r="BYR65" s="137"/>
      <c r="BYS65" s="137"/>
      <c r="BYT65" s="137"/>
      <c r="BYU65" s="137"/>
      <c r="BYV65" s="137"/>
      <c r="BYW65" s="137"/>
      <c r="BYX65" s="137"/>
      <c r="BYY65" s="137"/>
      <c r="BYZ65" s="137"/>
      <c r="BZA65" s="137"/>
      <c r="BZB65" s="137"/>
      <c r="BZC65" s="137"/>
      <c r="BZD65" s="137"/>
      <c r="BZE65" s="137"/>
      <c r="BZF65" s="137"/>
      <c r="BZG65" s="137"/>
      <c r="BZH65" s="137"/>
      <c r="BZI65" s="137"/>
      <c r="BZJ65" s="137"/>
      <c r="BZK65" s="137"/>
      <c r="BZL65" s="137"/>
      <c r="BZM65" s="137"/>
      <c r="BZN65" s="137"/>
      <c r="BZO65" s="137"/>
      <c r="BZP65" s="137"/>
      <c r="BZQ65" s="137"/>
      <c r="BZR65" s="137"/>
      <c r="BZS65" s="137"/>
      <c r="BZT65" s="137"/>
      <c r="BZU65" s="137"/>
      <c r="BZV65" s="137"/>
      <c r="BZW65" s="137"/>
      <c r="BZX65" s="137"/>
      <c r="BZY65" s="137"/>
      <c r="BZZ65" s="137"/>
      <c r="CAA65" s="137"/>
      <c r="CAB65" s="137"/>
      <c r="CAC65" s="137"/>
      <c r="CAD65" s="137"/>
      <c r="CAE65" s="137"/>
      <c r="CAF65" s="137"/>
      <c r="CAG65" s="137"/>
      <c r="CAH65" s="137"/>
      <c r="CAI65" s="137"/>
      <c r="CAJ65" s="137"/>
      <c r="CAK65" s="137"/>
      <c r="CAL65" s="137"/>
      <c r="CAM65" s="137"/>
      <c r="CAN65" s="137"/>
      <c r="CAO65" s="137"/>
      <c r="CAP65" s="137"/>
      <c r="CAQ65" s="137"/>
      <c r="CAR65" s="137"/>
      <c r="CAS65" s="137"/>
      <c r="CAT65" s="137"/>
      <c r="CAU65" s="137"/>
      <c r="CAV65" s="137"/>
      <c r="CAW65" s="137"/>
      <c r="CAX65" s="137"/>
      <c r="CAY65" s="137"/>
      <c r="CAZ65" s="137"/>
      <c r="CBA65" s="137"/>
      <c r="CBB65" s="137"/>
      <c r="CBC65" s="137"/>
      <c r="CBD65" s="137"/>
      <c r="CBE65" s="137"/>
      <c r="CBF65" s="137"/>
      <c r="CBG65" s="137"/>
      <c r="CBH65" s="137"/>
      <c r="CBI65" s="137"/>
      <c r="CBJ65" s="137"/>
      <c r="CBK65" s="137"/>
      <c r="CBL65" s="137"/>
      <c r="CBM65" s="137"/>
      <c r="CBN65" s="137"/>
      <c r="CBO65" s="137"/>
      <c r="CBP65" s="137"/>
      <c r="CBQ65" s="137"/>
      <c r="CBR65" s="137"/>
      <c r="CBS65" s="137"/>
      <c r="CBT65" s="137"/>
      <c r="CBU65" s="137"/>
      <c r="CBV65" s="137"/>
      <c r="CBW65" s="137"/>
      <c r="CBX65" s="137"/>
      <c r="CBY65" s="137"/>
      <c r="CBZ65" s="137"/>
      <c r="CCA65" s="137"/>
      <c r="CCB65" s="137"/>
      <c r="CCC65" s="137"/>
      <c r="CCD65" s="137"/>
      <c r="CCE65" s="137"/>
      <c r="CCF65" s="137"/>
      <c r="CCG65" s="137"/>
      <c r="CCH65" s="137"/>
      <c r="CCI65" s="137"/>
      <c r="CCJ65" s="137"/>
      <c r="CCK65" s="137"/>
      <c r="CCL65" s="137"/>
      <c r="CCM65" s="137"/>
      <c r="CCN65" s="137"/>
      <c r="CCO65" s="137"/>
      <c r="CCP65" s="137"/>
      <c r="CCQ65" s="137"/>
      <c r="CCR65" s="137"/>
      <c r="CCS65" s="137"/>
      <c r="CCT65" s="137"/>
      <c r="CCU65" s="137"/>
      <c r="CCV65" s="137"/>
      <c r="CCW65" s="137"/>
      <c r="CCX65" s="137"/>
      <c r="CCY65" s="137"/>
      <c r="CCZ65" s="137"/>
      <c r="CDA65" s="137"/>
      <c r="CDB65" s="137"/>
      <c r="CDC65" s="137"/>
      <c r="CDD65" s="137"/>
      <c r="CDE65" s="137"/>
      <c r="CDF65" s="137"/>
      <c r="CDG65" s="137"/>
      <c r="CDH65" s="137"/>
      <c r="CDI65" s="137"/>
      <c r="CDJ65" s="137"/>
      <c r="CDK65" s="137"/>
      <c r="CDL65" s="137"/>
      <c r="CDM65" s="137"/>
      <c r="CDN65" s="137"/>
      <c r="CDO65" s="137"/>
      <c r="CDP65" s="137"/>
      <c r="CDQ65" s="137"/>
      <c r="CDR65" s="137"/>
      <c r="CDS65" s="137"/>
      <c r="CDT65" s="137"/>
      <c r="CDU65" s="137"/>
      <c r="CDV65" s="137"/>
      <c r="CDW65" s="137"/>
      <c r="CDX65" s="137"/>
      <c r="CDY65" s="137"/>
      <c r="CDZ65" s="137"/>
      <c r="CEA65" s="137"/>
      <c r="CEB65" s="137"/>
      <c r="CEC65" s="137"/>
      <c r="CED65" s="137"/>
      <c r="CEE65" s="137"/>
      <c r="CEF65" s="137"/>
      <c r="CEG65" s="137"/>
      <c r="CEH65" s="137"/>
      <c r="CEI65" s="137"/>
      <c r="CEJ65" s="137"/>
      <c r="CEK65" s="137"/>
      <c r="CEL65" s="137"/>
      <c r="CEM65" s="137"/>
      <c r="CEN65" s="137"/>
      <c r="CEO65" s="137"/>
      <c r="CEP65" s="137"/>
      <c r="CEQ65" s="137"/>
      <c r="CER65" s="137"/>
      <c r="CES65" s="137"/>
      <c r="CET65" s="137"/>
      <c r="CEU65" s="137"/>
      <c r="CEV65" s="137"/>
      <c r="CEW65" s="137"/>
      <c r="CEX65" s="137"/>
      <c r="CEY65" s="137"/>
      <c r="CEZ65" s="137"/>
      <c r="CFA65" s="137"/>
      <c r="CFB65" s="137"/>
      <c r="CFC65" s="137"/>
      <c r="CFD65" s="137"/>
      <c r="CFE65" s="137"/>
      <c r="CFF65" s="137"/>
      <c r="CFG65" s="137"/>
      <c r="CFH65" s="137"/>
      <c r="CFI65" s="137"/>
      <c r="CFJ65" s="137"/>
      <c r="CFK65" s="137"/>
      <c r="CFL65" s="137"/>
      <c r="CFM65" s="137"/>
      <c r="CFN65" s="137"/>
      <c r="CFO65" s="137"/>
      <c r="CFP65" s="137"/>
      <c r="CFQ65" s="137"/>
      <c r="CFR65" s="137"/>
      <c r="CFS65" s="137"/>
      <c r="CFT65" s="137"/>
      <c r="CFU65" s="137"/>
      <c r="CFV65" s="137"/>
      <c r="CFW65" s="137"/>
      <c r="CFX65" s="137"/>
      <c r="CFY65" s="137"/>
      <c r="CFZ65" s="137"/>
      <c r="CGA65" s="137"/>
      <c r="CGB65" s="137"/>
      <c r="CGC65" s="137"/>
      <c r="CGD65" s="137"/>
      <c r="CGE65" s="137"/>
      <c r="CGF65" s="137"/>
      <c r="CGG65" s="137"/>
      <c r="CGH65" s="137"/>
      <c r="CGI65" s="137"/>
      <c r="CGJ65" s="137"/>
      <c r="CGK65" s="137"/>
      <c r="CGL65" s="137"/>
      <c r="CGM65" s="137"/>
      <c r="CGN65" s="137"/>
      <c r="CGO65" s="137"/>
      <c r="CGP65" s="137"/>
      <c r="CGQ65" s="137"/>
      <c r="CGR65" s="137"/>
      <c r="CGS65" s="137"/>
      <c r="CGT65" s="137"/>
      <c r="CGU65" s="137"/>
      <c r="CGV65" s="137"/>
      <c r="CGW65" s="137"/>
      <c r="CGX65" s="137"/>
      <c r="CGY65" s="137"/>
      <c r="CGZ65" s="137"/>
      <c r="CHA65" s="137"/>
      <c r="CHB65" s="137"/>
      <c r="CHC65" s="137"/>
      <c r="CHD65" s="137"/>
      <c r="CHE65" s="137"/>
      <c r="CHF65" s="137"/>
      <c r="CHG65" s="137"/>
      <c r="CHH65" s="137"/>
      <c r="CHI65" s="137"/>
      <c r="CHJ65" s="137"/>
      <c r="CHK65" s="137"/>
      <c r="CHL65" s="137"/>
      <c r="CHM65" s="137"/>
      <c r="CHN65" s="137"/>
      <c r="CHO65" s="137"/>
      <c r="CHP65" s="137"/>
      <c r="CHQ65" s="137"/>
      <c r="CHR65" s="137"/>
      <c r="CHS65" s="137"/>
      <c r="CHT65" s="137"/>
      <c r="CHU65" s="137"/>
      <c r="CHV65" s="137"/>
      <c r="CHW65" s="137"/>
      <c r="CHX65" s="137"/>
      <c r="CHY65" s="137"/>
      <c r="CHZ65" s="137"/>
      <c r="CIA65" s="137"/>
      <c r="CIB65" s="137"/>
      <c r="CIC65" s="137"/>
      <c r="CID65" s="137"/>
      <c r="CIE65" s="137"/>
      <c r="CIF65" s="137"/>
      <c r="CIG65" s="137"/>
      <c r="CIH65" s="137"/>
      <c r="CII65" s="137"/>
      <c r="CIJ65" s="137"/>
      <c r="CIK65" s="137"/>
      <c r="CIL65" s="137"/>
      <c r="CIM65" s="137"/>
      <c r="CIN65" s="137"/>
      <c r="CIO65" s="137"/>
      <c r="CIP65" s="137"/>
      <c r="CIQ65" s="137"/>
      <c r="CIR65" s="137"/>
      <c r="CIS65" s="137"/>
      <c r="CIT65" s="137"/>
      <c r="CIU65" s="137"/>
      <c r="CIV65" s="137"/>
      <c r="CIW65" s="137"/>
      <c r="CIX65" s="137"/>
      <c r="CIY65" s="137"/>
      <c r="CIZ65" s="137"/>
      <c r="CJA65" s="137"/>
      <c r="CJB65" s="137"/>
      <c r="CJC65" s="137"/>
      <c r="CJD65" s="137"/>
      <c r="CJE65" s="137"/>
      <c r="CJF65" s="137"/>
      <c r="CJG65" s="137"/>
      <c r="CJH65" s="137"/>
      <c r="CJI65" s="137"/>
      <c r="CJJ65" s="137"/>
      <c r="CJK65" s="137"/>
      <c r="CJL65" s="137"/>
      <c r="CJM65" s="137"/>
      <c r="CJN65" s="137"/>
      <c r="CJO65" s="137"/>
      <c r="CJP65" s="137"/>
      <c r="CJQ65" s="137"/>
      <c r="CJR65" s="137"/>
      <c r="CJS65" s="137"/>
      <c r="CJT65" s="137"/>
      <c r="CJU65" s="137"/>
      <c r="CJV65" s="137"/>
      <c r="CJW65" s="137"/>
      <c r="CJX65" s="137"/>
      <c r="CJY65" s="137"/>
      <c r="CJZ65" s="137"/>
      <c r="CKA65" s="137"/>
      <c r="CKB65" s="137"/>
      <c r="CKC65" s="137"/>
      <c r="CKD65" s="137"/>
      <c r="CKE65" s="137"/>
      <c r="CKF65" s="137"/>
      <c r="CKG65" s="137"/>
      <c r="CKH65" s="137"/>
      <c r="CKI65" s="137"/>
      <c r="CKJ65" s="137"/>
      <c r="CKK65" s="137"/>
      <c r="CKL65" s="137"/>
      <c r="CKM65" s="137"/>
      <c r="CKN65" s="137"/>
      <c r="CKO65" s="137"/>
      <c r="CKP65" s="137"/>
      <c r="CKQ65" s="137"/>
      <c r="CKR65" s="137"/>
      <c r="CKS65" s="137"/>
      <c r="CKT65" s="137"/>
      <c r="CKU65" s="137"/>
      <c r="CKV65" s="137"/>
      <c r="CKW65" s="137"/>
      <c r="CKX65" s="137"/>
      <c r="CKY65" s="137"/>
      <c r="CKZ65" s="137"/>
      <c r="CLA65" s="137"/>
      <c r="CLB65" s="137"/>
      <c r="CLC65" s="137"/>
      <c r="CLD65" s="137"/>
      <c r="CLE65" s="137"/>
      <c r="CLF65" s="137"/>
      <c r="CLG65" s="137"/>
      <c r="CLH65" s="137"/>
      <c r="CLI65" s="137"/>
      <c r="CLJ65" s="137"/>
      <c r="CLK65" s="137"/>
      <c r="CLL65" s="137"/>
      <c r="CLM65" s="137"/>
      <c r="CLN65" s="137"/>
      <c r="CLO65" s="137"/>
      <c r="CLP65" s="137"/>
      <c r="CLQ65" s="137"/>
      <c r="CLR65" s="137"/>
      <c r="CLS65" s="137"/>
      <c r="CLT65" s="137"/>
      <c r="CLU65" s="137"/>
      <c r="CLV65" s="137"/>
      <c r="CLW65" s="137"/>
      <c r="CLX65" s="137"/>
      <c r="CLY65" s="137"/>
      <c r="CLZ65" s="137"/>
      <c r="CMA65" s="137"/>
      <c r="CMB65" s="137"/>
      <c r="CMC65" s="137"/>
      <c r="CMD65" s="137"/>
      <c r="CME65" s="137"/>
      <c r="CMF65" s="137"/>
      <c r="CMG65" s="137"/>
      <c r="CMH65" s="137"/>
      <c r="CMI65" s="137"/>
      <c r="CMJ65" s="137"/>
      <c r="CMK65" s="137"/>
      <c r="CML65" s="137"/>
      <c r="CMM65" s="137"/>
      <c r="CMN65" s="137"/>
      <c r="CMO65" s="137"/>
      <c r="CMP65" s="137"/>
      <c r="CMQ65" s="137"/>
      <c r="CMR65" s="137"/>
      <c r="CMS65" s="137"/>
      <c r="CMT65" s="137"/>
      <c r="CMU65" s="137"/>
      <c r="CMV65" s="137"/>
      <c r="CMW65" s="137"/>
      <c r="CMX65" s="137"/>
      <c r="CMY65" s="137"/>
      <c r="CMZ65" s="137"/>
      <c r="CNA65" s="137"/>
      <c r="CNB65" s="137"/>
      <c r="CNC65" s="137"/>
      <c r="CND65" s="137"/>
      <c r="CNE65" s="137"/>
      <c r="CNF65" s="137"/>
      <c r="CNG65" s="137"/>
      <c r="CNH65" s="137"/>
      <c r="CNI65" s="137"/>
      <c r="CNJ65" s="137"/>
      <c r="CNK65" s="137"/>
      <c r="CNL65" s="137"/>
      <c r="CNM65" s="137"/>
      <c r="CNN65" s="137"/>
      <c r="CNO65" s="137"/>
      <c r="CNP65" s="137"/>
      <c r="CNQ65" s="137"/>
      <c r="CNR65" s="137"/>
      <c r="CNS65" s="137"/>
      <c r="CNT65" s="137"/>
      <c r="CNU65" s="137"/>
      <c r="CNV65" s="137"/>
      <c r="CNW65" s="137"/>
      <c r="CNX65" s="137"/>
      <c r="CNY65" s="137"/>
      <c r="CNZ65" s="137"/>
      <c r="COA65" s="137"/>
      <c r="COB65" s="137"/>
      <c r="COC65" s="137"/>
      <c r="COD65" s="137"/>
      <c r="COE65" s="137"/>
      <c r="COF65" s="137"/>
      <c r="COG65" s="137"/>
      <c r="COH65" s="137"/>
      <c r="COI65" s="137"/>
      <c r="COJ65" s="137"/>
      <c r="COK65" s="137"/>
      <c r="COL65" s="137"/>
      <c r="COM65" s="137"/>
      <c r="CON65" s="137"/>
      <c r="COO65" s="137"/>
      <c r="COP65" s="137"/>
      <c r="COQ65" s="137"/>
      <c r="COR65" s="137"/>
      <c r="COS65" s="137"/>
      <c r="COT65" s="137"/>
      <c r="COU65" s="137"/>
      <c r="COV65" s="137"/>
      <c r="COW65" s="137"/>
      <c r="COX65" s="137"/>
      <c r="COY65" s="137"/>
      <c r="COZ65" s="137"/>
      <c r="CPA65" s="137"/>
      <c r="CPB65" s="137"/>
      <c r="CPC65" s="137"/>
      <c r="CPD65" s="137"/>
      <c r="CPE65" s="137"/>
      <c r="CPF65" s="137"/>
      <c r="CPG65" s="137"/>
      <c r="CPH65" s="137"/>
      <c r="CPI65" s="137"/>
      <c r="CPJ65" s="137"/>
      <c r="CPK65" s="137"/>
      <c r="CPL65" s="137"/>
      <c r="CPM65" s="137"/>
      <c r="CPN65" s="137"/>
      <c r="CPO65" s="137"/>
      <c r="CPP65" s="137"/>
      <c r="CPQ65" s="137"/>
      <c r="CPR65" s="137"/>
      <c r="CPS65" s="137"/>
      <c r="CPT65" s="137"/>
      <c r="CPU65" s="137"/>
      <c r="CPV65" s="137"/>
      <c r="CPW65" s="137"/>
      <c r="CPX65" s="137"/>
      <c r="CPY65" s="137"/>
      <c r="CPZ65" s="137"/>
      <c r="CQA65" s="137"/>
      <c r="CQB65" s="137"/>
      <c r="CQC65" s="137"/>
      <c r="CQD65" s="137"/>
      <c r="CQE65" s="137"/>
      <c r="CQF65" s="137"/>
      <c r="CQG65" s="137"/>
      <c r="CQH65" s="137"/>
      <c r="CQI65" s="137"/>
      <c r="CQJ65" s="137"/>
      <c r="CQK65" s="137"/>
      <c r="CQL65" s="137"/>
      <c r="CQM65" s="137"/>
      <c r="CQN65" s="137"/>
      <c r="CQO65" s="137"/>
      <c r="CQP65" s="137"/>
      <c r="CQQ65" s="137"/>
      <c r="CQR65" s="137"/>
      <c r="CQS65" s="137"/>
      <c r="CQT65" s="137"/>
      <c r="CQU65" s="137"/>
      <c r="CQV65" s="137"/>
      <c r="CQW65" s="137"/>
      <c r="CQX65" s="137"/>
      <c r="CQY65" s="137"/>
      <c r="CQZ65" s="137"/>
      <c r="CRA65" s="137"/>
      <c r="CRB65" s="137"/>
      <c r="CRC65" s="137"/>
      <c r="CRD65" s="137"/>
      <c r="CRE65" s="137"/>
      <c r="CRF65" s="137"/>
      <c r="CRG65" s="137"/>
      <c r="CRH65" s="137"/>
      <c r="CRI65" s="137"/>
      <c r="CRJ65" s="137"/>
      <c r="CRK65" s="137"/>
      <c r="CRL65" s="137"/>
      <c r="CRM65" s="137"/>
      <c r="CRN65" s="137"/>
      <c r="CRO65" s="137"/>
      <c r="CRP65" s="137"/>
      <c r="CRQ65" s="137"/>
      <c r="CRR65" s="137"/>
      <c r="CRS65" s="137"/>
      <c r="CRT65" s="137"/>
      <c r="CRU65" s="137"/>
      <c r="CRV65" s="137"/>
      <c r="CRW65" s="137"/>
      <c r="CRX65" s="137"/>
      <c r="CRY65" s="137"/>
      <c r="CRZ65" s="137"/>
      <c r="CSA65" s="137"/>
      <c r="CSB65" s="137"/>
      <c r="CSC65" s="137"/>
      <c r="CSD65" s="137"/>
      <c r="CSE65" s="137"/>
      <c r="CSF65" s="137"/>
      <c r="CSG65" s="137"/>
      <c r="CSH65" s="137"/>
      <c r="CSI65" s="137"/>
      <c r="CSJ65" s="137"/>
      <c r="CSK65" s="137"/>
      <c r="CSL65" s="137"/>
      <c r="CSM65" s="137"/>
      <c r="CSN65" s="137"/>
      <c r="CSO65" s="137"/>
      <c r="CSP65" s="137"/>
      <c r="CSQ65" s="137"/>
      <c r="CSR65" s="137"/>
      <c r="CSS65" s="137"/>
      <c r="CST65" s="137"/>
      <c r="CSU65" s="137"/>
      <c r="CSV65" s="137"/>
      <c r="CSW65" s="137"/>
      <c r="CSX65" s="137"/>
      <c r="CSY65" s="137"/>
      <c r="CSZ65" s="137"/>
      <c r="CTA65" s="137"/>
      <c r="CTB65" s="137"/>
      <c r="CTC65" s="137"/>
      <c r="CTD65" s="137"/>
      <c r="CTE65" s="137"/>
      <c r="CTF65" s="137"/>
      <c r="CTG65" s="137"/>
      <c r="CTH65" s="137"/>
      <c r="CTI65" s="137"/>
      <c r="CTJ65" s="137"/>
      <c r="CTK65" s="137"/>
      <c r="CTL65" s="137"/>
      <c r="CTM65" s="137"/>
      <c r="CTN65" s="137"/>
      <c r="CTO65" s="137"/>
      <c r="CTP65" s="137"/>
      <c r="CTQ65" s="137"/>
      <c r="CTR65" s="137"/>
      <c r="CTS65" s="137"/>
      <c r="CTT65" s="137"/>
      <c r="CTU65" s="137"/>
      <c r="CTV65" s="137"/>
      <c r="CTW65" s="137"/>
      <c r="CTX65" s="137"/>
      <c r="CTY65" s="137"/>
      <c r="CTZ65" s="137"/>
      <c r="CUA65" s="137"/>
      <c r="CUB65" s="137"/>
      <c r="CUC65" s="137"/>
      <c r="CUD65" s="137"/>
      <c r="CUE65" s="137"/>
      <c r="CUF65" s="137"/>
      <c r="CUG65" s="137"/>
      <c r="CUH65" s="137"/>
      <c r="CUI65" s="137"/>
      <c r="CUJ65" s="137"/>
      <c r="CUK65" s="137"/>
      <c r="CUL65" s="137"/>
      <c r="CUM65" s="137"/>
      <c r="CUN65" s="137"/>
      <c r="CUO65" s="137"/>
      <c r="CUP65" s="137"/>
      <c r="CUQ65" s="137"/>
      <c r="CUR65" s="137"/>
      <c r="CUS65" s="137"/>
      <c r="CUT65" s="137"/>
      <c r="CUU65" s="137"/>
      <c r="CUV65" s="137"/>
      <c r="CUW65" s="137"/>
      <c r="CUX65" s="137"/>
      <c r="CUY65" s="137"/>
      <c r="CUZ65" s="137"/>
      <c r="CVA65" s="137"/>
      <c r="CVB65" s="137"/>
      <c r="CVC65" s="137"/>
      <c r="CVD65" s="137"/>
      <c r="CVE65" s="137"/>
      <c r="CVF65" s="137"/>
      <c r="CVG65" s="137"/>
      <c r="CVH65" s="137"/>
      <c r="CVI65" s="137"/>
      <c r="CVJ65" s="137"/>
      <c r="CVK65" s="137"/>
      <c r="CVL65" s="137"/>
      <c r="CVM65" s="137"/>
      <c r="CVN65" s="137"/>
      <c r="CVO65" s="137"/>
      <c r="CVP65" s="137"/>
      <c r="CVQ65" s="137"/>
      <c r="CVR65" s="137"/>
      <c r="CVS65" s="137"/>
      <c r="CVT65" s="137"/>
      <c r="CVU65" s="137"/>
      <c r="CVV65" s="137"/>
      <c r="CVW65" s="137"/>
      <c r="CVX65" s="137"/>
      <c r="CVY65" s="137"/>
      <c r="CVZ65" s="137"/>
      <c r="CWA65" s="137"/>
      <c r="CWB65" s="137"/>
      <c r="CWC65" s="137"/>
      <c r="CWD65" s="137"/>
      <c r="CWE65" s="137"/>
      <c r="CWF65" s="137"/>
      <c r="CWG65" s="137"/>
      <c r="CWH65" s="137"/>
      <c r="CWI65" s="137"/>
      <c r="CWJ65" s="137"/>
      <c r="CWK65" s="137"/>
      <c r="CWL65" s="137"/>
      <c r="CWM65" s="137"/>
      <c r="CWN65" s="137"/>
      <c r="CWO65" s="137"/>
      <c r="CWP65" s="137"/>
      <c r="CWQ65" s="137"/>
      <c r="CWR65" s="137"/>
      <c r="CWS65" s="137"/>
      <c r="CWT65" s="137"/>
      <c r="CWU65" s="137"/>
      <c r="CWV65" s="137"/>
      <c r="CWW65" s="137"/>
      <c r="CWX65" s="137"/>
      <c r="CWY65" s="137"/>
      <c r="CWZ65" s="137"/>
      <c r="CXA65" s="137"/>
      <c r="CXB65" s="137"/>
      <c r="CXC65" s="137"/>
      <c r="CXD65" s="137"/>
      <c r="CXE65" s="137"/>
      <c r="CXF65" s="137"/>
      <c r="CXG65" s="137"/>
      <c r="CXH65" s="137"/>
      <c r="CXI65" s="137"/>
      <c r="CXJ65" s="137"/>
      <c r="CXK65" s="137"/>
      <c r="CXL65" s="137"/>
      <c r="CXM65" s="137"/>
      <c r="CXN65" s="137"/>
      <c r="CXO65" s="137"/>
      <c r="CXP65" s="137"/>
      <c r="CXQ65" s="137"/>
      <c r="CXR65" s="137"/>
      <c r="CXS65" s="137"/>
      <c r="CXT65" s="137"/>
      <c r="CXU65" s="137"/>
      <c r="CXV65" s="137"/>
      <c r="CXW65" s="137"/>
      <c r="CXX65" s="137"/>
      <c r="CXY65" s="137"/>
      <c r="CXZ65" s="137"/>
      <c r="CYA65" s="137"/>
      <c r="CYB65" s="137"/>
      <c r="CYC65" s="137"/>
      <c r="CYD65" s="137"/>
      <c r="CYE65" s="137"/>
      <c r="CYF65" s="137"/>
      <c r="CYG65" s="137"/>
      <c r="CYH65" s="137"/>
      <c r="CYI65" s="137"/>
      <c r="CYJ65" s="137"/>
      <c r="CYK65" s="137"/>
      <c r="CYL65" s="137"/>
      <c r="CYM65" s="137"/>
      <c r="CYN65" s="137"/>
      <c r="CYO65" s="137"/>
      <c r="CYP65" s="137"/>
      <c r="CYQ65" s="137"/>
      <c r="CYR65" s="137"/>
      <c r="CYS65" s="137"/>
      <c r="CYT65" s="137"/>
      <c r="CYU65" s="137"/>
      <c r="CYV65" s="137"/>
      <c r="CYW65" s="137"/>
      <c r="CYX65" s="137"/>
      <c r="CYY65" s="137"/>
      <c r="CYZ65" s="137"/>
      <c r="CZA65" s="137"/>
      <c r="CZB65" s="137"/>
      <c r="CZC65" s="137"/>
      <c r="CZD65" s="137"/>
      <c r="CZE65" s="137"/>
      <c r="CZF65" s="137"/>
      <c r="CZG65" s="137"/>
      <c r="CZH65" s="137"/>
      <c r="CZI65" s="137"/>
      <c r="CZJ65" s="137"/>
      <c r="CZK65" s="137"/>
      <c r="CZL65" s="137"/>
      <c r="CZM65" s="137"/>
      <c r="CZN65" s="137"/>
      <c r="CZO65" s="137"/>
      <c r="CZP65" s="137"/>
      <c r="CZQ65" s="137"/>
      <c r="CZR65" s="137"/>
      <c r="CZS65" s="137"/>
      <c r="CZT65" s="137"/>
      <c r="CZU65" s="137"/>
      <c r="CZV65" s="137"/>
      <c r="CZW65" s="137"/>
      <c r="CZX65" s="137"/>
      <c r="CZY65" s="137"/>
      <c r="CZZ65" s="137"/>
      <c r="DAA65" s="137"/>
      <c r="DAB65" s="137"/>
      <c r="DAC65" s="137"/>
      <c r="DAD65" s="137"/>
      <c r="DAE65" s="137"/>
      <c r="DAF65" s="137"/>
      <c r="DAG65" s="137"/>
      <c r="DAH65" s="137"/>
      <c r="DAI65" s="137"/>
      <c r="DAJ65" s="137"/>
      <c r="DAK65" s="137"/>
      <c r="DAL65" s="137"/>
      <c r="DAM65" s="137"/>
      <c r="DAN65" s="137"/>
      <c r="DAO65" s="137"/>
      <c r="DAP65" s="137"/>
      <c r="DAQ65" s="137"/>
      <c r="DAR65" s="137"/>
      <c r="DAS65" s="137"/>
      <c r="DAT65" s="137"/>
      <c r="DAU65" s="137"/>
      <c r="DAV65" s="137"/>
      <c r="DAW65" s="137"/>
      <c r="DAX65" s="137"/>
      <c r="DAY65" s="137"/>
      <c r="DAZ65" s="137"/>
      <c r="DBA65" s="137"/>
      <c r="DBB65" s="137"/>
      <c r="DBC65" s="137"/>
      <c r="DBD65" s="137"/>
      <c r="DBE65" s="137"/>
      <c r="DBF65" s="137"/>
      <c r="DBG65" s="137"/>
      <c r="DBH65" s="137"/>
      <c r="DBI65" s="137"/>
      <c r="DBJ65" s="137"/>
      <c r="DBK65" s="137"/>
      <c r="DBL65" s="137"/>
      <c r="DBM65" s="137"/>
      <c r="DBN65" s="137"/>
      <c r="DBO65" s="137"/>
      <c r="DBP65" s="137"/>
      <c r="DBQ65" s="137"/>
      <c r="DBR65" s="137"/>
      <c r="DBS65" s="137"/>
      <c r="DBT65" s="137"/>
      <c r="DBU65" s="137"/>
      <c r="DBV65" s="137"/>
      <c r="DBW65" s="137"/>
      <c r="DBX65" s="137"/>
      <c r="DBY65" s="137"/>
      <c r="DBZ65" s="137"/>
      <c r="DCA65" s="137"/>
      <c r="DCB65" s="137"/>
      <c r="DCC65" s="137"/>
      <c r="DCD65" s="137"/>
      <c r="DCE65" s="137"/>
      <c r="DCF65" s="137"/>
      <c r="DCG65" s="137"/>
      <c r="DCH65" s="137"/>
      <c r="DCI65" s="137"/>
      <c r="DCJ65" s="137"/>
      <c r="DCK65" s="137"/>
      <c r="DCL65" s="137"/>
      <c r="DCM65" s="137"/>
      <c r="DCN65" s="137"/>
      <c r="DCO65" s="137"/>
      <c r="DCP65" s="137"/>
      <c r="DCQ65" s="137"/>
      <c r="DCR65" s="137"/>
      <c r="DCS65" s="137"/>
      <c r="DCT65" s="137"/>
      <c r="DCU65" s="137"/>
      <c r="DCV65" s="137"/>
      <c r="DCW65" s="137"/>
      <c r="DCX65" s="137"/>
      <c r="DCY65" s="137"/>
      <c r="DCZ65" s="137"/>
      <c r="DDA65" s="137"/>
      <c r="DDB65" s="137"/>
      <c r="DDC65" s="137"/>
      <c r="DDD65" s="137"/>
      <c r="DDE65" s="137"/>
      <c r="DDF65" s="137"/>
      <c r="DDG65" s="137"/>
      <c r="DDH65" s="137"/>
      <c r="DDI65" s="137"/>
      <c r="DDJ65" s="137"/>
      <c r="DDK65" s="137"/>
      <c r="DDL65" s="137"/>
      <c r="DDM65" s="137"/>
      <c r="DDN65" s="137"/>
      <c r="DDO65" s="137"/>
      <c r="DDP65" s="137"/>
      <c r="DDQ65" s="137"/>
      <c r="DDR65" s="137"/>
      <c r="DDS65" s="137"/>
      <c r="DDT65" s="137"/>
      <c r="DDU65" s="137"/>
      <c r="DDV65" s="137"/>
      <c r="DDW65" s="137"/>
      <c r="DDX65" s="137"/>
      <c r="DDY65" s="137"/>
      <c r="DDZ65" s="137"/>
      <c r="DEA65" s="137"/>
      <c r="DEB65" s="137"/>
      <c r="DEC65" s="137"/>
      <c r="DED65" s="137"/>
      <c r="DEE65" s="137"/>
      <c r="DEF65" s="137"/>
      <c r="DEG65" s="137"/>
      <c r="DEH65" s="137"/>
      <c r="DEI65" s="137"/>
      <c r="DEJ65" s="137"/>
      <c r="DEK65" s="137"/>
      <c r="DEL65" s="137"/>
      <c r="DEM65" s="137"/>
      <c r="DEN65" s="137"/>
      <c r="DEO65" s="137"/>
      <c r="DEP65" s="137"/>
      <c r="DEQ65" s="137"/>
      <c r="DER65" s="137"/>
      <c r="DES65" s="137"/>
      <c r="DET65" s="137"/>
      <c r="DEU65" s="137"/>
      <c r="DEV65" s="137"/>
      <c r="DEW65" s="137"/>
      <c r="DEX65" s="137"/>
      <c r="DEY65" s="137"/>
      <c r="DEZ65" s="137"/>
      <c r="DFA65" s="137"/>
      <c r="DFB65" s="137"/>
      <c r="DFC65" s="137"/>
      <c r="DFD65" s="137"/>
      <c r="DFE65" s="137"/>
      <c r="DFF65" s="137"/>
      <c r="DFG65" s="137"/>
      <c r="DFH65" s="137"/>
      <c r="DFI65" s="137"/>
      <c r="DFJ65" s="137"/>
      <c r="DFK65" s="137"/>
      <c r="DFL65" s="137"/>
      <c r="DFM65" s="137"/>
      <c r="DFN65" s="137"/>
      <c r="DFO65" s="137"/>
      <c r="DFP65" s="137"/>
      <c r="DFQ65" s="137"/>
      <c r="DFR65" s="137"/>
      <c r="DFS65" s="137"/>
      <c r="DFT65" s="137"/>
      <c r="DFU65" s="137"/>
      <c r="DFV65" s="137"/>
      <c r="DFW65" s="137"/>
      <c r="DFX65" s="137"/>
      <c r="DFY65" s="137"/>
      <c r="DFZ65" s="137"/>
      <c r="DGA65" s="137"/>
      <c r="DGB65" s="137"/>
      <c r="DGC65" s="137"/>
      <c r="DGD65" s="137"/>
      <c r="DGE65" s="137"/>
      <c r="DGF65" s="137"/>
      <c r="DGG65" s="137"/>
      <c r="DGH65" s="137"/>
      <c r="DGI65" s="137"/>
      <c r="DGJ65" s="137"/>
      <c r="DGK65" s="137"/>
      <c r="DGL65" s="137"/>
      <c r="DGM65" s="137"/>
      <c r="DGN65" s="137"/>
      <c r="DGO65" s="137"/>
      <c r="DGP65" s="137"/>
      <c r="DGQ65" s="137"/>
      <c r="DGR65" s="137"/>
      <c r="DGS65" s="137"/>
      <c r="DGT65" s="137"/>
      <c r="DGU65" s="137"/>
      <c r="DGV65" s="137"/>
      <c r="DGW65" s="137"/>
      <c r="DGX65" s="137"/>
      <c r="DGY65" s="137"/>
      <c r="DGZ65" s="137"/>
      <c r="DHA65" s="137"/>
      <c r="DHB65" s="137"/>
      <c r="DHC65" s="137"/>
      <c r="DHD65" s="137"/>
      <c r="DHE65" s="137"/>
      <c r="DHF65" s="137"/>
      <c r="DHG65" s="137"/>
      <c r="DHH65" s="137"/>
      <c r="DHI65" s="137"/>
      <c r="DHJ65" s="137"/>
      <c r="DHK65" s="137"/>
      <c r="DHL65" s="137"/>
      <c r="DHM65" s="137"/>
      <c r="DHN65" s="137"/>
      <c r="DHO65" s="137"/>
      <c r="DHP65" s="137"/>
      <c r="DHQ65" s="137"/>
      <c r="DHR65" s="137"/>
      <c r="DHS65" s="137"/>
      <c r="DHT65" s="137"/>
      <c r="DHU65" s="137"/>
      <c r="DHV65" s="137"/>
      <c r="DHW65" s="137"/>
      <c r="DHX65" s="137"/>
      <c r="DHY65" s="137"/>
      <c r="DHZ65" s="137"/>
      <c r="DIA65" s="137"/>
      <c r="DIB65" s="137"/>
      <c r="DIC65" s="137"/>
      <c r="DID65" s="137"/>
      <c r="DIE65" s="137"/>
      <c r="DIF65" s="137"/>
      <c r="DIG65" s="137"/>
      <c r="DIH65" s="137"/>
      <c r="DII65" s="137"/>
      <c r="DIJ65" s="137"/>
      <c r="DIK65" s="137"/>
      <c r="DIL65" s="137"/>
      <c r="DIM65" s="137"/>
      <c r="DIN65" s="137"/>
      <c r="DIO65" s="137"/>
      <c r="DIP65" s="137"/>
      <c r="DIQ65" s="137"/>
      <c r="DIR65" s="137"/>
      <c r="DIS65" s="137"/>
      <c r="DIT65" s="137"/>
      <c r="DIU65" s="137"/>
      <c r="DIV65" s="137"/>
      <c r="DIW65" s="137"/>
      <c r="DIX65" s="137"/>
      <c r="DIY65" s="137"/>
      <c r="DIZ65" s="137"/>
      <c r="DJA65" s="137"/>
      <c r="DJB65" s="137"/>
      <c r="DJC65" s="137"/>
      <c r="DJD65" s="137"/>
      <c r="DJE65" s="137"/>
      <c r="DJF65" s="137"/>
      <c r="DJG65" s="137"/>
      <c r="DJH65" s="137"/>
      <c r="DJI65" s="137"/>
      <c r="DJJ65" s="137"/>
      <c r="DJK65" s="137"/>
      <c r="DJL65" s="137"/>
      <c r="DJM65" s="137"/>
      <c r="DJN65" s="137"/>
      <c r="DJO65" s="137"/>
      <c r="DJP65" s="137"/>
      <c r="DJQ65" s="137"/>
      <c r="DJR65" s="137"/>
      <c r="DJS65" s="137"/>
      <c r="DJT65" s="137"/>
      <c r="DJU65" s="137"/>
      <c r="DJV65" s="137"/>
      <c r="DJW65" s="137"/>
      <c r="DJX65" s="137"/>
      <c r="DJY65" s="137"/>
      <c r="DJZ65" s="137"/>
      <c r="DKA65" s="137"/>
      <c r="DKB65" s="137"/>
      <c r="DKC65" s="137"/>
      <c r="DKD65" s="137"/>
      <c r="DKE65" s="137"/>
      <c r="DKF65" s="137"/>
      <c r="DKG65" s="137"/>
      <c r="DKH65" s="137"/>
      <c r="DKI65" s="137"/>
      <c r="DKJ65" s="137"/>
      <c r="DKK65" s="137"/>
      <c r="DKL65" s="137"/>
      <c r="DKM65" s="137"/>
      <c r="DKN65" s="137"/>
      <c r="DKO65" s="137"/>
      <c r="DKP65" s="137"/>
      <c r="DKQ65" s="137"/>
      <c r="DKR65" s="137"/>
      <c r="DKS65" s="137"/>
      <c r="DKT65" s="137"/>
      <c r="DKU65" s="137"/>
      <c r="DKV65" s="137"/>
      <c r="DKW65" s="137"/>
      <c r="DKX65" s="137"/>
      <c r="DKY65" s="137"/>
      <c r="DKZ65" s="137"/>
      <c r="DLA65" s="137"/>
      <c r="DLB65" s="137"/>
      <c r="DLC65" s="137"/>
      <c r="DLD65" s="137"/>
      <c r="DLE65" s="137"/>
      <c r="DLF65" s="137"/>
      <c r="DLG65" s="137"/>
      <c r="DLH65" s="137"/>
      <c r="DLI65" s="137"/>
      <c r="DLJ65" s="137"/>
      <c r="DLK65" s="137"/>
      <c r="DLL65" s="137"/>
      <c r="DLM65" s="137"/>
      <c r="DLN65" s="137"/>
      <c r="DLO65" s="137"/>
      <c r="DLP65" s="137"/>
      <c r="DLQ65" s="137"/>
      <c r="DLR65" s="137"/>
      <c r="DLS65" s="137"/>
      <c r="DLT65" s="137"/>
      <c r="DLU65" s="137"/>
      <c r="DLV65" s="137"/>
      <c r="DLW65" s="137"/>
      <c r="DLX65" s="137"/>
      <c r="DLY65" s="137"/>
      <c r="DLZ65" s="137"/>
      <c r="DMA65" s="137"/>
      <c r="DMB65" s="137"/>
      <c r="DMC65" s="137"/>
      <c r="DMD65" s="137"/>
      <c r="DME65" s="137"/>
      <c r="DMF65" s="137"/>
      <c r="DMG65" s="137"/>
      <c r="DMH65" s="137"/>
      <c r="DMI65" s="137"/>
      <c r="DMJ65" s="137"/>
      <c r="DMK65" s="137"/>
      <c r="DML65" s="137"/>
      <c r="DMM65" s="137"/>
      <c r="DMN65" s="137"/>
      <c r="DMO65" s="137"/>
      <c r="DMP65" s="137"/>
      <c r="DMQ65" s="137"/>
      <c r="DMR65" s="137"/>
      <c r="DMS65" s="137"/>
      <c r="DMT65" s="137"/>
      <c r="DMU65" s="137"/>
      <c r="DMV65" s="137"/>
      <c r="DMW65" s="137"/>
      <c r="DMX65" s="137"/>
      <c r="DMY65" s="137"/>
      <c r="DMZ65" s="137"/>
      <c r="DNA65" s="137"/>
      <c r="DNB65" s="137"/>
      <c r="DNC65" s="137"/>
      <c r="DND65" s="137"/>
      <c r="DNE65" s="137"/>
      <c r="DNF65" s="137"/>
      <c r="DNG65" s="137"/>
      <c r="DNH65" s="137"/>
      <c r="DNI65" s="137"/>
      <c r="DNJ65" s="137"/>
      <c r="DNK65" s="137"/>
      <c r="DNL65" s="137"/>
      <c r="DNM65" s="137"/>
      <c r="DNN65" s="137"/>
      <c r="DNO65" s="137"/>
      <c r="DNP65" s="137"/>
      <c r="DNQ65" s="137"/>
      <c r="DNR65" s="137"/>
      <c r="DNS65" s="137"/>
      <c r="DNT65" s="137"/>
      <c r="DNU65" s="137"/>
      <c r="DNV65" s="137"/>
      <c r="DNW65" s="137"/>
      <c r="DNX65" s="137"/>
      <c r="DNY65" s="137"/>
      <c r="DNZ65" s="137"/>
      <c r="DOA65" s="137"/>
      <c r="DOB65" s="137"/>
      <c r="DOC65" s="137"/>
      <c r="DOD65" s="137"/>
      <c r="DOE65" s="137"/>
      <c r="DOF65" s="137"/>
      <c r="DOG65" s="137"/>
      <c r="DOH65" s="137"/>
      <c r="DOI65" s="137"/>
      <c r="DOJ65" s="137"/>
      <c r="DOK65" s="137"/>
      <c r="DOL65" s="137"/>
      <c r="DOM65" s="137"/>
      <c r="DON65" s="137"/>
      <c r="DOO65" s="137"/>
      <c r="DOP65" s="137"/>
      <c r="DOQ65" s="137"/>
      <c r="DOR65" s="137"/>
      <c r="DOS65" s="137"/>
      <c r="DOT65" s="137"/>
      <c r="DOU65" s="137"/>
      <c r="DOV65" s="137"/>
      <c r="DOW65" s="137"/>
      <c r="DOX65" s="137"/>
      <c r="DOY65" s="137"/>
      <c r="DOZ65" s="137"/>
      <c r="DPA65" s="137"/>
      <c r="DPB65" s="137"/>
      <c r="DPC65" s="137"/>
      <c r="DPD65" s="137"/>
      <c r="DPE65" s="137"/>
      <c r="DPF65" s="137"/>
      <c r="DPG65" s="137"/>
      <c r="DPH65" s="137"/>
      <c r="DPI65" s="137"/>
      <c r="DPJ65" s="137"/>
      <c r="DPK65" s="137"/>
      <c r="DPL65" s="137"/>
      <c r="DPM65" s="137"/>
      <c r="DPN65" s="137"/>
      <c r="DPO65" s="137"/>
      <c r="DPP65" s="137"/>
      <c r="DPQ65" s="137"/>
      <c r="DPR65" s="137"/>
      <c r="DPS65" s="137"/>
      <c r="DPT65" s="137"/>
      <c r="DPU65" s="137"/>
      <c r="DPV65" s="137"/>
      <c r="DPW65" s="137"/>
      <c r="DPX65" s="137"/>
      <c r="DPY65" s="137"/>
      <c r="DPZ65" s="137"/>
      <c r="DQA65" s="137"/>
      <c r="DQB65" s="137"/>
      <c r="DQC65" s="137"/>
      <c r="DQD65" s="137"/>
      <c r="DQE65" s="137"/>
      <c r="DQF65" s="137"/>
      <c r="DQG65" s="137"/>
      <c r="DQH65" s="137"/>
      <c r="DQI65" s="137"/>
      <c r="DQJ65" s="137"/>
      <c r="DQK65" s="137"/>
      <c r="DQL65" s="137"/>
      <c r="DQM65" s="137"/>
      <c r="DQN65" s="137"/>
      <c r="DQO65" s="137"/>
      <c r="DQP65" s="137"/>
      <c r="DQQ65" s="137"/>
      <c r="DQR65" s="137"/>
      <c r="DQS65" s="137"/>
      <c r="DQT65" s="137"/>
      <c r="DQU65" s="137"/>
      <c r="DQV65" s="137"/>
      <c r="DQW65" s="137"/>
      <c r="DQX65" s="137"/>
      <c r="DQY65" s="137"/>
      <c r="DQZ65" s="137"/>
      <c r="DRA65" s="137"/>
      <c r="DRB65" s="137"/>
      <c r="DRC65" s="137"/>
      <c r="DRD65" s="137"/>
      <c r="DRE65" s="137"/>
      <c r="DRF65" s="137"/>
      <c r="DRG65" s="137"/>
      <c r="DRH65" s="137"/>
      <c r="DRI65" s="137"/>
      <c r="DRJ65" s="137"/>
      <c r="DRK65" s="137"/>
      <c r="DRL65" s="137"/>
      <c r="DRM65" s="137"/>
      <c r="DRN65" s="137"/>
      <c r="DRO65" s="137"/>
      <c r="DRP65" s="137"/>
      <c r="DRQ65" s="137"/>
      <c r="DRR65" s="137"/>
      <c r="DRS65" s="137"/>
      <c r="DRT65" s="137"/>
      <c r="DRU65" s="137"/>
      <c r="DRV65" s="137"/>
      <c r="DRW65" s="137"/>
      <c r="DRX65" s="137"/>
      <c r="DRY65" s="137"/>
      <c r="DRZ65" s="137"/>
      <c r="DSA65" s="137"/>
      <c r="DSB65" s="137"/>
      <c r="DSC65" s="137"/>
      <c r="DSD65" s="137"/>
      <c r="DSE65" s="137"/>
      <c r="DSF65" s="137"/>
      <c r="DSG65" s="137"/>
      <c r="DSH65" s="137"/>
      <c r="DSI65" s="137"/>
      <c r="DSJ65" s="137"/>
      <c r="DSK65" s="137"/>
      <c r="DSL65" s="137"/>
      <c r="DSM65" s="137"/>
      <c r="DSN65" s="137"/>
      <c r="DSO65" s="137"/>
      <c r="DSP65" s="137"/>
      <c r="DSQ65" s="137"/>
      <c r="DSR65" s="137"/>
      <c r="DSS65" s="137"/>
      <c r="DST65" s="137"/>
      <c r="DSU65" s="137"/>
      <c r="DSV65" s="137"/>
      <c r="DSW65" s="137"/>
      <c r="DSX65" s="137"/>
      <c r="DSY65" s="137"/>
      <c r="DSZ65" s="137"/>
      <c r="DTA65" s="137"/>
      <c r="DTB65" s="137"/>
      <c r="DTC65" s="137"/>
      <c r="DTD65" s="137"/>
      <c r="DTE65" s="137"/>
      <c r="DTF65" s="137"/>
      <c r="DTG65" s="137"/>
      <c r="DTH65" s="137"/>
      <c r="DTI65" s="137"/>
      <c r="DTJ65" s="137"/>
      <c r="DTK65" s="137"/>
      <c r="DTL65" s="137"/>
      <c r="DTM65" s="137"/>
      <c r="DTN65" s="137"/>
      <c r="DTO65" s="137"/>
      <c r="DTP65" s="137"/>
      <c r="DTQ65" s="137"/>
      <c r="DTR65" s="137"/>
      <c r="DTS65" s="137"/>
      <c r="DTT65" s="137"/>
      <c r="DTU65" s="137"/>
      <c r="DTV65" s="137"/>
      <c r="DTW65" s="137"/>
      <c r="DTX65" s="137"/>
      <c r="DTY65" s="137"/>
      <c r="DTZ65" s="137"/>
      <c r="DUA65" s="137"/>
      <c r="DUB65" s="137"/>
      <c r="DUC65" s="137"/>
      <c r="DUD65" s="137"/>
      <c r="DUE65" s="137"/>
      <c r="DUF65" s="137"/>
      <c r="DUG65" s="137"/>
      <c r="DUH65" s="137"/>
      <c r="DUI65" s="137"/>
      <c r="DUJ65" s="137"/>
      <c r="DUK65" s="137"/>
      <c r="DUL65" s="137"/>
      <c r="DUM65" s="137"/>
      <c r="DUN65" s="137"/>
      <c r="DUO65" s="137"/>
      <c r="DUP65" s="137"/>
      <c r="DUQ65" s="137"/>
      <c r="DUR65" s="137"/>
      <c r="DUS65" s="137"/>
      <c r="DUT65" s="137"/>
      <c r="DUU65" s="137"/>
      <c r="DUV65" s="137"/>
      <c r="DUW65" s="137"/>
      <c r="DUX65" s="137"/>
      <c r="DUY65" s="137"/>
      <c r="DUZ65" s="137"/>
      <c r="DVA65" s="137"/>
      <c r="DVB65" s="137"/>
      <c r="DVC65" s="137"/>
      <c r="DVD65" s="137"/>
      <c r="DVE65" s="137"/>
      <c r="DVF65" s="137"/>
      <c r="DVG65" s="137"/>
      <c r="DVH65" s="137"/>
      <c r="DVI65" s="137"/>
      <c r="DVJ65" s="137"/>
      <c r="DVK65" s="137"/>
      <c r="DVL65" s="137"/>
      <c r="DVM65" s="137"/>
      <c r="DVN65" s="137"/>
      <c r="DVO65" s="137"/>
      <c r="DVP65" s="137"/>
      <c r="DVQ65" s="137"/>
      <c r="DVR65" s="137"/>
      <c r="DVS65" s="137"/>
      <c r="DVT65" s="137"/>
      <c r="DVU65" s="137"/>
      <c r="DVV65" s="137"/>
      <c r="DVW65" s="137"/>
      <c r="DVX65" s="137"/>
      <c r="DVY65" s="137"/>
      <c r="DVZ65" s="137"/>
      <c r="DWA65" s="137"/>
      <c r="DWB65" s="137"/>
      <c r="DWC65" s="137"/>
      <c r="DWD65" s="137"/>
      <c r="DWE65" s="137"/>
      <c r="DWF65" s="137"/>
      <c r="DWG65" s="137"/>
      <c r="DWH65" s="137"/>
      <c r="DWI65" s="137"/>
      <c r="DWJ65" s="137"/>
      <c r="DWK65" s="137"/>
      <c r="DWL65" s="137"/>
      <c r="DWM65" s="137"/>
      <c r="DWN65" s="137"/>
      <c r="DWO65" s="137"/>
      <c r="DWP65" s="137"/>
      <c r="DWQ65" s="137"/>
      <c r="DWR65" s="137"/>
      <c r="DWS65" s="137"/>
      <c r="DWT65" s="137"/>
      <c r="DWU65" s="137"/>
      <c r="DWV65" s="137"/>
      <c r="DWW65" s="137"/>
      <c r="DWX65" s="137"/>
      <c r="DWY65" s="137"/>
      <c r="DWZ65" s="137"/>
      <c r="DXA65" s="137"/>
      <c r="DXB65" s="137"/>
      <c r="DXC65" s="137"/>
      <c r="DXD65" s="137"/>
      <c r="DXE65" s="137"/>
      <c r="DXF65" s="137"/>
      <c r="DXG65" s="137"/>
      <c r="DXH65" s="137"/>
      <c r="DXI65" s="137"/>
      <c r="DXJ65" s="137"/>
      <c r="DXK65" s="137"/>
      <c r="DXL65" s="137"/>
      <c r="DXM65" s="137"/>
      <c r="DXN65" s="137"/>
      <c r="DXO65" s="137"/>
      <c r="DXP65" s="137"/>
      <c r="DXQ65" s="137"/>
      <c r="DXR65" s="137"/>
      <c r="DXS65" s="137"/>
      <c r="DXT65" s="137"/>
      <c r="DXU65" s="137"/>
      <c r="DXV65" s="137"/>
      <c r="DXW65" s="137"/>
      <c r="DXX65" s="137"/>
      <c r="DXY65" s="137"/>
      <c r="DXZ65" s="137"/>
      <c r="DYA65" s="137"/>
      <c r="DYB65" s="137"/>
      <c r="DYC65" s="137"/>
      <c r="DYD65" s="137"/>
      <c r="DYE65" s="137"/>
      <c r="DYF65" s="137"/>
      <c r="DYG65" s="137"/>
      <c r="DYH65" s="137"/>
      <c r="DYI65" s="137"/>
      <c r="DYJ65" s="137"/>
      <c r="DYK65" s="137"/>
      <c r="DYL65" s="137"/>
      <c r="DYM65" s="137"/>
      <c r="DYN65" s="137"/>
      <c r="DYO65" s="137"/>
      <c r="DYP65" s="137"/>
      <c r="DYQ65" s="137"/>
      <c r="DYR65" s="137"/>
      <c r="DYS65" s="137"/>
      <c r="DYT65" s="137"/>
      <c r="DYU65" s="137"/>
      <c r="DYV65" s="137"/>
      <c r="DYW65" s="137"/>
      <c r="DYX65" s="137"/>
      <c r="DYY65" s="137"/>
      <c r="DYZ65" s="137"/>
      <c r="DZA65" s="137"/>
      <c r="DZB65" s="137"/>
      <c r="DZC65" s="137"/>
      <c r="DZD65" s="137"/>
      <c r="DZE65" s="137"/>
      <c r="DZF65" s="137"/>
      <c r="DZG65" s="137"/>
      <c r="DZH65" s="137"/>
      <c r="DZI65" s="137"/>
      <c r="DZJ65" s="137"/>
      <c r="DZK65" s="137"/>
      <c r="DZL65" s="137"/>
      <c r="DZM65" s="137"/>
      <c r="DZN65" s="137"/>
      <c r="DZO65" s="137"/>
      <c r="DZP65" s="137"/>
      <c r="DZQ65" s="137"/>
      <c r="DZR65" s="137"/>
      <c r="DZS65" s="137"/>
      <c r="DZT65" s="137"/>
      <c r="DZU65" s="137"/>
      <c r="DZV65" s="137"/>
      <c r="DZW65" s="137"/>
      <c r="DZX65" s="137"/>
      <c r="DZY65" s="137"/>
      <c r="DZZ65" s="137"/>
      <c r="EAA65" s="137"/>
      <c r="EAB65" s="137"/>
      <c r="EAC65" s="137"/>
      <c r="EAD65" s="137"/>
      <c r="EAE65" s="137"/>
      <c r="EAF65" s="137"/>
      <c r="EAG65" s="137"/>
      <c r="EAH65" s="137"/>
      <c r="EAI65" s="137"/>
      <c r="EAJ65" s="137"/>
      <c r="EAK65" s="137"/>
      <c r="EAL65" s="137"/>
      <c r="EAM65" s="137"/>
      <c r="EAN65" s="137"/>
      <c r="EAO65" s="137"/>
      <c r="EAP65" s="137"/>
      <c r="EAQ65" s="137"/>
      <c r="EAR65" s="137"/>
      <c r="EAS65" s="137"/>
      <c r="EAT65" s="137"/>
      <c r="EAU65" s="137"/>
      <c r="EAV65" s="137"/>
      <c r="EAW65" s="137"/>
      <c r="EAX65" s="137"/>
      <c r="EAY65" s="137"/>
      <c r="EAZ65" s="137"/>
      <c r="EBA65" s="137"/>
      <c r="EBB65" s="137"/>
      <c r="EBC65" s="137"/>
      <c r="EBD65" s="137"/>
      <c r="EBE65" s="137"/>
      <c r="EBF65" s="137"/>
      <c r="EBG65" s="137"/>
      <c r="EBH65" s="137"/>
      <c r="EBI65" s="137"/>
      <c r="EBJ65" s="137"/>
      <c r="EBK65" s="137"/>
      <c r="EBL65" s="137"/>
      <c r="EBM65" s="137"/>
      <c r="EBN65" s="137"/>
      <c r="EBO65" s="137"/>
      <c r="EBP65" s="137"/>
      <c r="EBQ65" s="137"/>
      <c r="EBR65" s="137"/>
      <c r="EBS65" s="137"/>
      <c r="EBT65" s="137"/>
      <c r="EBU65" s="137"/>
      <c r="EBV65" s="137"/>
      <c r="EBW65" s="137"/>
      <c r="EBX65" s="137"/>
      <c r="EBY65" s="137"/>
      <c r="EBZ65" s="137"/>
      <c r="ECA65" s="137"/>
      <c r="ECB65" s="137"/>
      <c r="ECC65" s="137"/>
      <c r="ECD65" s="137"/>
      <c r="ECE65" s="137"/>
      <c r="ECF65" s="137"/>
      <c r="ECG65" s="137"/>
      <c r="ECH65" s="137"/>
      <c r="ECI65" s="137"/>
      <c r="ECJ65" s="137"/>
      <c r="ECK65" s="137"/>
      <c r="ECL65" s="137"/>
      <c r="ECM65" s="137"/>
      <c r="ECN65" s="137"/>
      <c r="ECO65" s="137"/>
      <c r="ECP65" s="137"/>
      <c r="ECQ65" s="137"/>
      <c r="ECR65" s="137"/>
      <c r="ECS65" s="137"/>
      <c r="ECT65" s="137"/>
      <c r="ECU65" s="137"/>
      <c r="ECV65" s="137"/>
      <c r="ECW65" s="137"/>
      <c r="ECX65" s="137"/>
      <c r="ECY65" s="137"/>
      <c r="ECZ65" s="137"/>
      <c r="EDA65" s="137"/>
      <c r="EDB65" s="137"/>
      <c r="EDC65" s="137"/>
      <c r="EDD65" s="137"/>
      <c r="EDE65" s="137"/>
      <c r="EDF65" s="137"/>
      <c r="EDG65" s="137"/>
      <c r="EDH65" s="137"/>
      <c r="EDI65" s="137"/>
      <c r="EDJ65" s="137"/>
      <c r="EDK65" s="137"/>
      <c r="EDL65" s="137"/>
      <c r="EDM65" s="137"/>
      <c r="EDN65" s="137"/>
      <c r="EDO65" s="137"/>
      <c r="EDP65" s="137"/>
      <c r="EDQ65" s="137"/>
      <c r="EDR65" s="137"/>
      <c r="EDS65" s="137"/>
      <c r="EDT65" s="137"/>
      <c r="EDU65" s="137"/>
      <c r="EDV65" s="137"/>
      <c r="EDW65" s="137"/>
      <c r="EDX65" s="137"/>
      <c r="EDY65" s="137"/>
      <c r="EDZ65" s="137"/>
      <c r="EEA65" s="137"/>
      <c r="EEB65" s="137"/>
      <c r="EEC65" s="137"/>
      <c r="EED65" s="137"/>
      <c r="EEE65" s="137"/>
      <c r="EEF65" s="137"/>
      <c r="EEG65" s="137"/>
      <c r="EEH65" s="137"/>
      <c r="EEI65" s="137"/>
      <c r="EEJ65" s="137"/>
      <c r="EEK65" s="137"/>
      <c r="EEL65" s="137"/>
      <c r="EEM65" s="137"/>
      <c r="EEN65" s="137"/>
      <c r="EEO65" s="137"/>
      <c r="EEP65" s="137"/>
      <c r="EEQ65" s="137"/>
      <c r="EER65" s="137"/>
      <c r="EES65" s="137"/>
      <c r="EET65" s="137"/>
      <c r="EEU65" s="137"/>
      <c r="EEV65" s="137"/>
      <c r="EEW65" s="137"/>
      <c r="EEX65" s="137"/>
      <c r="EEY65" s="137"/>
      <c r="EEZ65" s="137"/>
      <c r="EFA65" s="137"/>
      <c r="EFB65" s="137"/>
      <c r="EFC65" s="137"/>
      <c r="EFD65" s="137"/>
      <c r="EFE65" s="137"/>
      <c r="EFF65" s="137"/>
      <c r="EFG65" s="137"/>
      <c r="EFH65" s="137"/>
      <c r="EFI65" s="137"/>
      <c r="EFJ65" s="137"/>
      <c r="EFK65" s="137"/>
      <c r="EFL65" s="137"/>
      <c r="EFM65" s="137"/>
      <c r="EFN65" s="137"/>
      <c r="EFO65" s="137"/>
      <c r="EFP65" s="137"/>
      <c r="EFQ65" s="137"/>
      <c r="EFR65" s="137"/>
      <c r="EFS65" s="137"/>
      <c r="EFT65" s="137"/>
      <c r="EFU65" s="137"/>
      <c r="EFV65" s="137"/>
      <c r="EFW65" s="137"/>
      <c r="EFX65" s="137"/>
      <c r="EFY65" s="137"/>
      <c r="EFZ65" s="137"/>
      <c r="EGA65" s="137"/>
      <c r="EGB65" s="137"/>
      <c r="EGC65" s="137"/>
      <c r="EGD65" s="137"/>
      <c r="EGE65" s="137"/>
      <c r="EGF65" s="137"/>
      <c r="EGG65" s="137"/>
      <c r="EGH65" s="137"/>
      <c r="EGI65" s="137"/>
      <c r="EGJ65" s="137"/>
      <c r="EGK65" s="137"/>
      <c r="EGL65" s="137"/>
      <c r="EGM65" s="137"/>
      <c r="EGN65" s="137"/>
      <c r="EGO65" s="137"/>
      <c r="EGP65" s="137"/>
      <c r="EGQ65" s="137"/>
      <c r="EGR65" s="137"/>
      <c r="EGS65" s="137"/>
      <c r="EGT65" s="137"/>
      <c r="EGU65" s="137"/>
      <c r="EGV65" s="137"/>
      <c r="EGW65" s="137"/>
      <c r="EGX65" s="137"/>
      <c r="EGY65" s="137"/>
      <c r="EGZ65" s="137"/>
      <c r="EHA65" s="137"/>
      <c r="EHB65" s="137"/>
      <c r="EHC65" s="137"/>
      <c r="EHD65" s="137"/>
      <c r="EHE65" s="137"/>
      <c r="EHF65" s="137"/>
      <c r="EHG65" s="137"/>
      <c r="EHH65" s="137"/>
      <c r="EHI65" s="137"/>
      <c r="EHJ65" s="137"/>
      <c r="EHK65" s="137"/>
      <c r="EHL65" s="137"/>
      <c r="EHM65" s="137"/>
      <c r="EHN65" s="137"/>
      <c r="EHO65" s="137"/>
      <c r="EHP65" s="137"/>
      <c r="EHQ65" s="137"/>
      <c r="EHR65" s="137"/>
      <c r="EHS65" s="137"/>
      <c r="EHT65" s="137"/>
      <c r="EHU65" s="137"/>
      <c r="EHV65" s="137"/>
      <c r="EHW65" s="137"/>
      <c r="EHX65" s="137"/>
      <c r="EHY65" s="137"/>
      <c r="EHZ65" s="137"/>
      <c r="EIA65" s="137"/>
      <c r="EIB65" s="137"/>
      <c r="EIC65" s="137"/>
      <c r="EID65" s="137"/>
      <c r="EIE65" s="137"/>
      <c r="EIF65" s="137"/>
      <c r="EIG65" s="137"/>
      <c r="EIH65" s="137"/>
      <c r="EII65" s="137"/>
      <c r="EIJ65" s="137"/>
      <c r="EIK65" s="137"/>
      <c r="EIL65" s="137"/>
      <c r="EIM65" s="137"/>
      <c r="EIN65" s="137"/>
      <c r="EIO65" s="137"/>
      <c r="EIP65" s="137"/>
      <c r="EIQ65" s="137"/>
      <c r="EIR65" s="137"/>
      <c r="EIS65" s="137"/>
      <c r="EIT65" s="137"/>
      <c r="EIU65" s="137"/>
      <c r="EIV65" s="137"/>
      <c r="EIW65" s="137"/>
      <c r="EIX65" s="137"/>
      <c r="EIY65" s="137"/>
      <c r="EIZ65" s="137"/>
      <c r="EJA65" s="137"/>
      <c r="EJB65" s="137"/>
      <c r="EJC65" s="137"/>
      <c r="EJD65" s="137"/>
      <c r="EJE65" s="137"/>
      <c r="EJF65" s="137"/>
      <c r="EJG65" s="137"/>
      <c r="EJH65" s="137"/>
      <c r="EJI65" s="137"/>
      <c r="EJJ65" s="137"/>
      <c r="EJK65" s="137"/>
      <c r="EJL65" s="137"/>
      <c r="EJM65" s="137"/>
      <c r="EJN65" s="137"/>
      <c r="EJO65" s="137"/>
      <c r="EJP65" s="137"/>
      <c r="EJQ65" s="137"/>
      <c r="EJR65" s="137"/>
      <c r="EJS65" s="137"/>
      <c r="EJT65" s="137"/>
      <c r="EJU65" s="137"/>
      <c r="EJV65" s="137"/>
      <c r="EJW65" s="137"/>
      <c r="EJX65" s="137"/>
      <c r="EJY65" s="137"/>
      <c r="EJZ65" s="137"/>
      <c r="EKA65" s="137"/>
      <c r="EKB65" s="137"/>
      <c r="EKC65" s="137"/>
      <c r="EKD65" s="137"/>
      <c r="EKE65" s="137"/>
      <c r="EKF65" s="137"/>
      <c r="EKG65" s="137"/>
      <c r="EKH65" s="137"/>
      <c r="EKI65" s="137"/>
      <c r="EKJ65" s="137"/>
      <c r="EKK65" s="137"/>
      <c r="EKL65" s="137"/>
      <c r="EKM65" s="137"/>
      <c r="EKN65" s="137"/>
      <c r="EKO65" s="137"/>
      <c r="EKP65" s="137"/>
      <c r="EKQ65" s="137"/>
      <c r="EKR65" s="137"/>
      <c r="EKS65" s="137"/>
      <c r="EKT65" s="137"/>
      <c r="EKU65" s="137"/>
      <c r="EKV65" s="137"/>
      <c r="EKW65" s="137"/>
      <c r="EKX65" s="137"/>
      <c r="EKY65" s="137"/>
      <c r="EKZ65" s="137"/>
      <c r="ELA65" s="137"/>
      <c r="ELB65" s="137"/>
      <c r="ELC65" s="137"/>
      <c r="ELD65" s="137"/>
      <c r="ELE65" s="137"/>
      <c r="ELF65" s="137"/>
      <c r="ELG65" s="137"/>
      <c r="ELH65" s="137"/>
      <c r="ELI65" s="137"/>
      <c r="ELJ65" s="137"/>
      <c r="ELK65" s="137"/>
      <c r="ELL65" s="137"/>
      <c r="ELM65" s="137"/>
      <c r="ELN65" s="137"/>
      <c r="ELO65" s="137"/>
      <c r="ELP65" s="137"/>
      <c r="ELQ65" s="137"/>
      <c r="ELR65" s="137"/>
      <c r="ELS65" s="137"/>
      <c r="ELT65" s="137"/>
      <c r="ELU65" s="137"/>
      <c r="ELV65" s="137"/>
      <c r="ELW65" s="137"/>
      <c r="ELX65" s="137"/>
      <c r="ELY65" s="137"/>
      <c r="ELZ65" s="137"/>
      <c r="EMA65" s="137"/>
      <c r="EMB65" s="137"/>
      <c r="EMC65" s="137"/>
      <c r="EMD65" s="137"/>
      <c r="EME65" s="137"/>
      <c r="EMF65" s="137"/>
      <c r="EMG65" s="137"/>
      <c r="EMH65" s="137"/>
      <c r="EMI65" s="137"/>
      <c r="EMJ65" s="137"/>
      <c r="EMK65" s="137"/>
      <c r="EML65" s="137"/>
      <c r="EMM65" s="137"/>
      <c r="EMN65" s="137"/>
      <c r="EMO65" s="137"/>
      <c r="EMP65" s="137"/>
      <c r="EMQ65" s="137"/>
      <c r="EMR65" s="137"/>
      <c r="EMS65" s="137"/>
      <c r="EMT65" s="137"/>
      <c r="EMU65" s="137"/>
      <c r="EMV65" s="137"/>
      <c r="EMW65" s="137"/>
      <c r="EMX65" s="137"/>
      <c r="EMY65" s="137"/>
      <c r="EMZ65" s="137"/>
      <c r="ENA65" s="137"/>
      <c r="ENB65" s="137"/>
      <c r="ENC65" s="137"/>
      <c r="END65" s="137"/>
      <c r="ENE65" s="137"/>
      <c r="ENF65" s="137"/>
      <c r="ENG65" s="137"/>
      <c r="ENH65" s="137"/>
      <c r="ENI65" s="137"/>
      <c r="ENJ65" s="137"/>
      <c r="ENK65" s="137"/>
      <c r="ENL65" s="137"/>
      <c r="ENM65" s="137"/>
      <c r="ENN65" s="137"/>
      <c r="ENO65" s="137"/>
      <c r="ENP65" s="137"/>
      <c r="ENQ65" s="137"/>
      <c r="ENR65" s="137"/>
      <c r="ENS65" s="137"/>
      <c r="ENT65" s="137"/>
      <c r="ENU65" s="137"/>
      <c r="ENV65" s="137"/>
      <c r="ENW65" s="137"/>
      <c r="ENX65" s="137"/>
      <c r="ENY65" s="137"/>
      <c r="ENZ65" s="137"/>
      <c r="EOA65" s="137"/>
      <c r="EOB65" s="137"/>
      <c r="EOC65" s="137"/>
      <c r="EOD65" s="137"/>
      <c r="EOE65" s="137"/>
      <c r="EOF65" s="137"/>
      <c r="EOG65" s="137"/>
      <c r="EOH65" s="137"/>
      <c r="EOI65" s="137"/>
      <c r="EOJ65" s="137"/>
      <c r="EOK65" s="137"/>
      <c r="EOL65" s="137"/>
      <c r="EOM65" s="137"/>
      <c r="EON65" s="137"/>
      <c r="EOO65" s="137"/>
      <c r="EOP65" s="137"/>
      <c r="EOQ65" s="137"/>
      <c r="EOR65" s="137"/>
      <c r="EOS65" s="137"/>
      <c r="EOT65" s="137"/>
      <c r="EOU65" s="137"/>
      <c r="EOV65" s="137"/>
      <c r="EOW65" s="137"/>
      <c r="EOX65" s="137"/>
      <c r="EOY65" s="137"/>
      <c r="EOZ65" s="137"/>
      <c r="EPA65" s="137"/>
      <c r="EPB65" s="137"/>
      <c r="EPC65" s="137"/>
      <c r="EPD65" s="137"/>
      <c r="EPE65" s="137"/>
      <c r="EPF65" s="137"/>
      <c r="EPG65" s="137"/>
      <c r="EPH65" s="137"/>
      <c r="EPI65" s="137"/>
      <c r="EPJ65" s="137"/>
      <c r="EPK65" s="137"/>
      <c r="EPL65" s="137"/>
      <c r="EPM65" s="137"/>
      <c r="EPN65" s="137"/>
      <c r="EPO65" s="137"/>
      <c r="EPP65" s="137"/>
      <c r="EPQ65" s="137"/>
      <c r="EPR65" s="137"/>
      <c r="EPS65" s="137"/>
      <c r="EPT65" s="137"/>
      <c r="EPU65" s="137"/>
      <c r="EPV65" s="137"/>
      <c r="EPW65" s="137"/>
      <c r="EPX65" s="137"/>
      <c r="EPY65" s="137"/>
      <c r="EPZ65" s="137"/>
      <c r="EQA65" s="137"/>
      <c r="EQB65" s="137"/>
      <c r="EQC65" s="137"/>
      <c r="EQD65" s="137"/>
      <c r="EQE65" s="137"/>
      <c r="EQF65" s="137"/>
      <c r="EQG65" s="137"/>
      <c r="EQH65" s="137"/>
      <c r="EQI65" s="137"/>
      <c r="EQJ65" s="137"/>
      <c r="EQK65" s="137"/>
      <c r="EQL65" s="137"/>
      <c r="EQM65" s="137"/>
      <c r="EQN65" s="137"/>
      <c r="EQO65" s="137"/>
      <c r="EQP65" s="137"/>
      <c r="EQQ65" s="137"/>
      <c r="EQR65" s="137"/>
      <c r="EQS65" s="137"/>
      <c r="EQT65" s="137"/>
      <c r="EQU65" s="137"/>
      <c r="EQV65" s="137"/>
      <c r="EQW65" s="137"/>
      <c r="EQX65" s="137"/>
      <c r="EQY65" s="137"/>
      <c r="EQZ65" s="137"/>
      <c r="ERA65" s="137"/>
      <c r="ERB65" s="137"/>
      <c r="ERC65" s="137"/>
      <c r="ERD65" s="137"/>
      <c r="ERE65" s="137"/>
      <c r="ERF65" s="137"/>
      <c r="ERG65" s="137"/>
      <c r="ERH65" s="137"/>
      <c r="ERI65" s="137"/>
      <c r="ERJ65" s="137"/>
      <c r="ERK65" s="137"/>
      <c r="ERL65" s="137"/>
      <c r="ERM65" s="137"/>
      <c r="ERN65" s="137"/>
      <c r="ERO65" s="137"/>
      <c r="ERP65" s="137"/>
      <c r="ERQ65" s="137"/>
      <c r="ERR65" s="137"/>
      <c r="ERS65" s="137"/>
      <c r="ERT65" s="137"/>
      <c r="ERU65" s="137"/>
      <c r="ERV65" s="137"/>
      <c r="ERW65" s="137"/>
      <c r="ERX65" s="137"/>
      <c r="ERY65" s="137"/>
      <c r="ERZ65" s="137"/>
      <c r="ESA65" s="137"/>
      <c r="ESB65" s="137"/>
      <c r="ESC65" s="137"/>
      <c r="ESD65" s="137"/>
      <c r="ESE65" s="137"/>
      <c r="ESF65" s="137"/>
      <c r="ESG65" s="137"/>
      <c r="ESH65" s="137"/>
      <c r="ESI65" s="137"/>
      <c r="ESJ65" s="137"/>
      <c r="ESK65" s="137"/>
      <c r="ESL65" s="137"/>
      <c r="ESM65" s="137"/>
      <c r="ESN65" s="137"/>
      <c r="ESO65" s="137"/>
      <c r="ESP65" s="137"/>
      <c r="ESQ65" s="137"/>
      <c r="ESR65" s="137"/>
      <c r="ESS65" s="137"/>
      <c r="EST65" s="137"/>
      <c r="ESU65" s="137"/>
      <c r="ESV65" s="137"/>
      <c r="ESW65" s="137"/>
      <c r="ESX65" s="137"/>
      <c r="ESY65" s="137"/>
      <c r="ESZ65" s="137"/>
      <c r="ETA65" s="137"/>
      <c r="ETB65" s="137"/>
      <c r="ETC65" s="137"/>
      <c r="ETD65" s="137"/>
      <c r="ETE65" s="137"/>
      <c r="ETF65" s="137"/>
      <c r="ETG65" s="137"/>
      <c r="ETH65" s="137"/>
      <c r="ETI65" s="137"/>
      <c r="ETJ65" s="137"/>
      <c r="ETK65" s="137"/>
      <c r="ETL65" s="137"/>
      <c r="ETM65" s="137"/>
      <c r="ETN65" s="137"/>
      <c r="ETO65" s="137"/>
      <c r="ETP65" s="137"/>
      <c r="ETQ65" s="137"/>
      <c r="ETR65" s="137"/>
      <c r="ETS65" s="137"/>
      <c r="ETT65" s="137"/>
      <c r="ETU65" s="137"/>
      <c r="ETV65" s="137"/>
      <c r="ETW65" s="137"/>
      <c r="ETX65" s="137"/>
      <c r="ETY65" s="137"/>
      <c r="ETZ65" s="137"/>
      <c r="EUA65" s="137"/>
      <c r="EUB65" s="137"/>
      <c r="EUC65" s="137"/>
      <c r="EUD65" s="137"/>
      <c r="EUE65" s="137"/>
      <c r="EUF65" s="137"/>
      <c r="EUG65" s="137"/>
      <c r="EUH65" s="137"/>
      <c r="EUI65" s="137"/>
      <c r="EUJ65" s="137"/>
      <c r="EUK65" s="137"/>
      <c r="EUL65" s="137"/>
      <c r="EUM65" s="137"/>
      <c r="EUN65" s="137"/>
      <c r="EUO65" s="137"/>
      <c r="EUP65" s="137"/>
      <c r="EUQ65" s="137"/>
      <c r="EUR65" s="137"/>
      <c r="EUS65" s="137"/>
      <c r="EUT65" s="137"/>
      <c r="EUU65" s="137"/>
      <c r="EUV65" s="137"/>
      <c r="EUW65" s="137"/>
      <c r="EUX65" s="137"/>
      <c r="EUY65" s="137"/>
      <c r="EUZ65" s="137"/>
      <c r="EVA65" s="137"/>
      <c r="EVB65" s="137"/>
      <c r="EVC65" s="137"/>
      <c r="EVD65" s="137"/>
      <c r="EVE65" s="137"/>
      <c r="EVF65" s="137"/>
      <c r="EVG65" s="137"/>
      <c r="EVH65" s="137"/>
      <c r="EVI65" s="137"/>
      <c r="EVJ65" s="137"/>
      <c r="EVK65" s="137"/>
      <c r="EVL65" s="137"/>
      <c r="EVM65" s="137"/>
      <c r="EVN65" s="137"/>
      <c r="EVO65" s="137"/>
      <c r="EVP65" s="137"/>
      <c r="EVQ65" s="137"/>
      <c r="EVR65" s="137"/>
      <c r="EVS65" s="137"/>
      <c r="EVT65" s="137"/>
      <c r="EVU65" s="137"/>
      <c r="EVV65" s="137"/>
      <c r="EVW65" s="137"/>
      <c r="EVX65" s="137"/>
      <c r="EVY65" s="137"/>
      <c r="EVZ65" s="137"/>
      <c r="EWA65" s="137"/>
      <c r="EWB65" s="137"/>
      <c r="EWC65" s="137"/>
      <c r="EWD65" s="137"/>
      <c r="EWE65" s="137"/>
      <c r="EWF65" s="137"/>
      <c r="EWG65" s="137"/>
      <c r="EWH65" s="137"/>
      <c r="EWI65" s="137"/>
      <c r="EWJ65" s="137"/>
      <c r="EWK65" s="137"/>
      <c r="EWL65" s="137"/>
      <c r="EWM65" s="137"/>
      <c r="EWN65" s="137"/>
      <c r="EWO65" s="137"/>
      <c r="EWP65" s="137"/>
      <c r="EWQ65" s="137"/>
      <c r="EWR65" s="137"/>
      <c r="EWS65" s="137"/>
      <c r="EWT65" s="137"/>
      <c r="EWU65" s="137"/>
      <c r="EWV65" s="137"/>
      <c r="EWW65" s="137"/>
      <c r="EWX65" s="137"/>
      <c r="EWY65" s="137"/>
      <c r="EWZ65" s="137"/>
      <c r="EXA65" s="137"/>
      <c r="EXB65" s="137"/>
      <c r="EXC65" s="137"/>
      <c r="EXD65" s="137"/>
      <c r="EXE65" s="137"/>
      <c r="EXF65" s="137"/>
      <c r="EXG65" s="137"/>
      <c r="EXH65" s="137"/>
      <c r="EXI65" s="137"/>
      <c r="EXJ65" s="137"/>
      <c r="EXK65" s="137"/>
      <c r="EXL65" s="137"/>
      <c r="EXM65" s="137"/>
      <c r="EXN65" s="137"/>
      <c r="EXO65" s="137"/>
      <c r="EXP65" s="137"/>
      <c r="EXQ65" s="137"/>
      <c r="EXR65" s="137"/>
      <c r="EXS65" s="137"/>
      <c r="EXT65" s="137"/>
      <c r="EXU65" s="137"/>
      <c r="EXV65" s="137"/>
      <c r="EXW65" s="137"/>
      <c r="EXX65" s="137"/>
      <c r="EXY65" s="137"/>
      <c r="EXZ65" s="137"/>
      <c r="EYA65" s="137"/>
      <c r="EYB65" s="137"/>
      <c r="EYC65" s="137"/>
      <c r="EYD65" s="137"/>
      <c r="EYE65" s="137"/>
      <c r="EYF65" s="137"/>
      <c r="EYG65" s="137"/>
      <c r="EYH65" s="137"/>
      <c r="EYI65" s="137"/>
      <c r="EYJ65" s="137"/>
      <c r="EYK65" s="137"/>
      <c r="EYL65" s="137"/>
      <c r="EYM65" s="137"/>
      <c r="EYN65" s="137"/>
      <c r="EYO65" s="137"/>
      <c r="EYP65" s="137"/>
      <c r="EYQ65" s="137"/>
      <c r="EYR65" s="137"/>
      <c r="EYS65" s="137"/>
      <c r="EYT65" s="137"/>
      <c r="EYU65" s="137"/>
      <c r="EYV65" s="137"/>
      <c r="EYW65" s="137"/>
      <c r="EYX65" s="137"/>
      <c r="EYY65" s="137"/>
      <c r="EYZ65" s="137"/>
      <c r="EZA65" s="137"/>
      <c r="EZB65" s="137"/>
      <c r="EZC65" s="137"/>
      <c r="EZD65" s="137"/>
      <c r="EZE65" s="137"/>
      <c r="EZF65" s="137"/>
      <c r="EZG65" s="137"/>
      <c r="EZH65" s="137"/>
      <c r="EZI65" s="137"/>
      <c r="EZJ65" s="137"/>
      <c r="EZK65" s="137"/>
      <c r="EZL65" s="137"/>
      <c r="EZM65" s="137"/>
      <c r="EZN65" s="137"/>
      <c r="EZO65" s="137"/>
      <c r="EZP65" s="137"/>
      <c r="EZQ65" s="137"/>
      <c r="EZR65" s="137"/>
      <c r="EZS65" s="137"/>
      <c r="EZT65" s="137"/>
      <c r="EZU65" s="137"/>
      <c r="EZV65" s="137"/>
      <c r="EZW65" s="137"/>
      <c r="EZX65" s="137"/>
      <c r="EZY65" s="137"/>
      <c r="EZZ65" s="137"/>
      <c r="FAA65" s="137"/>
      <c r="FAB65" s="137"/>
      <c r="FAC65" s="137"/>
      <c r="FAD65" s="137"/>
      <c r="FAE65" s="137"/>
      <c r="FAF65" s="137"/>
      <c r="FAG65" s="137"/>
      <c r="FAH65" s="137"/>
      <c r="FAI65" s="137"/>
      <c r="FAJ65" s="137"/>
      <c r="FAK65" s="137"/>
      <c r="FAL65" s="137"/>
      <c r="FAM65" s="137"/>
      <c r="FAN65" s="137"/>
      <c r="FAO65" s="137"/>
      <c r="FAP65" s="137"/>
      <c r="FAQ65" s="137"/>
      <c r="FAR65" s="137"/>
      <c r="FAS65" s="137"/>
      <c r="FAT65" s="137"/>
      <c r="FAU65" s="137"/>
      <c r="FAV65" s="137"/>
      <c r="FAW65" s="137"/>
      <c r="FAX65" s="137"/>
      <c r="FAY65" s="137"/>
      <c r="FAZ65" s="137"/>
      <c r="FBA65" s="137"/>
      <c r="FBB65" s="137"/>
      <c r="FBC65" s="137"/>
      <c r="FBD65" s="137"/>
      <c r="FBE65" s="137"/>
      <c r="FBF65" s="137"/>
      <c r="FBG65" s="137"/>
      <c r="FBH65" s="137"/>
      <c r="FBI65" s="137"/>
      <c r="FBJ65" s="137"/>
      <c r="FBK65" s="137"/>
      <c r="FBL65" s="137"/>
      <c r="FBM65" s="137"/>
      <c r="FBN65" s="137"/>
      <c r="FBO65" s="137"/>
      <c r="FBP65" s="137"/>
      <c r="FBQ65" s="137"/>
      <c r="FBR65" s="137"/>
      <c r="FBS65" s="137"/>
      <c r="FBT65" s="137"/>
      <c r="FBU65" s="137"/>
      <c r="FBV65" s="137"/>
      <c r="FBW65" s="137"/>
      <c r="FBX65" s="137"/>
      <c r="FBY65" s="137"/>
      <c r="FBZ65" s="137"/>
      <c r="FCA65" s="137"/>
      <c r="FCB65" s="137"/>
      <c r="FCC65" s="137"/>
      <c r="FCD65" s="137"/>
      <c r="FCE65" s="137"/>
      <c r="FCF65" s="137"/>
      <c r="FCG65" s="137"/>
      <c r="FCH65" s="137"/>
      <c r="FCI65" s="137"/>
      <c r="FCJ65" s="137"/>
      <c r="FCK65" s="137"/>
      <c r="FCL65" s="137"/>
      <c r="FCM65" s="137"/>
      <c r="FCN65" s="137"/>
      <c r="FCO65" s="137"/>
      <c r="FCP65" s="137"/>
      <c r="FCQ65" s="137"/>
      <c r="FCR65" s="137"/>
      <c r="FCS65" s="137"/>
      <c r="FCT65" s="137"/>
      <c r="FCU65" s="137"/>
      <c r="FCV65" s="137"/>
      <c r="FCW65" s="137"/>
      <c r="FCX65" s="137"/>
      <c r="FCY65" s="137"/>
      <c r="FCZ65" s="137"/>
      <c r="FDA65" s="137"/>
      <c r="FDB65" s="137"/>
      <c r="FDC65" s="137"/>
      <c r="FDD65" s="137"/>
      <c r="FDE65" s="137"/>
      <c r="FDF65" s="137"/>
      <c r="FDG65" s="137"/>
      <c r="FDH65" s="137"/>
      <c r="FDI65" s="137"/>
      <c r="FDJ65" s="137"/>
      <c r="FDK65" s="137"/>
      <c r="FDL65" s="137"/>
      <c r="FDM65" s="137"/>
      <c r="FDN65" s="137"/>
      <c r="FDO65" s="137"/>
      <c r="FDP65" s="137"/>
      <c r="FDQ65" s="137"/>
      <c r="FDR65" s="137"/>
      <c r="FDS65" s="137"/>
      <c r="FDT65" s="137"/>
      <c r="FDU65" s="137"/>
      <c r="FDV65" s="137"/>
      <c r="FDW65" s="137"/>
      <c r="FDX65" s="137"/>
      <c r="FDY65" s="137"/>
      <c r="FDZ65" s="137"/>
      <c r="FEA65" s="137"/>
      <c r="FEB65" s="137"/>
      <c r="FEC65" s="137"/>
      <c r="FED65" s="137"/>
      <c r="FEE65" s="137"/>
      <c r="FEF65" s="137"/>
      <c r="FEG65" s="137"/>
      <c r="FEH65" s="137"/>
      <c r="FEI65" s="137"/>
      <c r="FEJ65" s="137"/>
      <c r="FEK65" s="137"/>
      <c r="FEL65" s="137"/>
      <c r="FEM65" s="137"/>
      <c r="FEN65" s="137"/>
      <c r="FEO65" s="137"/>
      <c r="FEP65" s="137"/>
      <c r="FEQ65" s="137"/>
      <c r="FER65" s="137"/>
      <c r="FES65" s="137"/>
      <c r="FET65" s="137"/>
      <c r="FEU65" s="137"/>
      <c r="FEV65" s="137"/>
      <c r="FEW65" s="137"/>
      <c r="FEX65" s="137"/>
      <c r="FEY65" s="137"/>
      <c r="FEZ65" s="137"/>
      <c r="FFA65" s="137"/>
      <c r="FFB65" s="137"/>
      <c r="FFC65" s="137"/>
      <c r="FFD65" s="137"/>
      <c r="FFE65" s="137"/>
      <c r="FFF65" s="137"/>
      <c r="FFG65" s="137"/>
      <c r="FFH65" s="137"/>
      <c r="FFI65" s="137"/>
      <c r="FFJ65" s="137"/>
      <c r="FFK65" s="137"/>
      <c r="FFL65" s="137"/>
      <c r="FFM65" s="137"/>
      <c r="FFN65" s="137"/>
      <c r="FFO65" s="137"/>
      <c r="FFP65" s="137"/>
      <c r="FFQ65" s="137"/>
      <c r="FFR65" s="137"/>
      <c r="FFS65" s="137"/>
      <c r="FFT65" s="137"/>
      <c r="FFU65" s="137"/>
      <c r="FFV65" s="137"/>
      <c r="FFW65" s="137"/>
      <c r="FFX65" s="137"/>
      <c r="FFY65" s="137"/>
      <c r="FFZ65" s="137"/>
      <c r="FGA65" s="137"/>
      <c r="FGB65" s="137"/>
      <c r="FGC65" s="137"/>
      <c r="FGD65" s="137"/>
      <c r="FGE65" s="137"/>
      <c r="FGF65" s="137"/>
      <c r="FGG65" s="137"/>
      <c r="FGH65" s="137"/>
      <c r="FGI65" s="137"/>
      <c r="FGJ65" s="137"/>
      <c r="FGK65" s="137"/>
      <c r="FGL65" s="137"/>
      <c r="FGM65" s="137"/>
      <c r="FGN65" s="137"/>
      <c r="FGO65" s="137"/>
      <c r="FGP65" s="137"/>
      <c r="FGQ65" s="137"/>
      <c r="FGR65" s="137"/>
      <c r="FGS65" s="137"/>
      <c r="FGT65" s="137"/>
      <c r="FGU65" s="137"/>
      <c r="FGV65" s="137"/>
      <c r="FGW65" s="137"/>
      <c r="FGX65" s="137"/>
      <c r="FGY65" s="137"/>
      <c r="FGZ65" s="137"/>
      <c r="FHA65" s="137"/>
      <c r="FHB65" s="137"/>
      <c r="FHC65" s="137"/>
      <c r="FHD65" s="137"/>
      <c r="FHE65" s="137"/>
      <c r="FHF65" s="137"/>
      <c r="FHG65" s="137"/>
      <c r="FHH65" s="137"/>
      <c r="FHI65" s="137"/>
      <c r="FHJ65" s="137"/>
      <c r="FHK65" s="137"/>
      <c r="FHL65" s="137"/>
      <c r="FHM65" s="137"/>
      <c r="FHN65" s="137"/>
      <c r="FHO65" s="137"/>
      <c r="FHP65" s="137"/>
      <c r="FHQ65" s="137"/>
      <c r="FHR65" s="137"/>
      <c r="FHS65" s="137"/>
      <c r="FHT65" s="137"/>
      <c r="FHU65" s="137"/>
      <c r="FHV65" s="137"/>
      <c r="FHW65" s="137"/>
      <c r="FHX65" s="137"/>
      <c r="FHY65" s="137"/>
      <c r="FHZ65" s="137"/>
      <c r="FIA65" s="137"/>
      <c r="FIB65" s="137"/>
      <c r="FIC65" s="137"/>
      <c r="FID65" s="137"/>
      <c r="FIE65" s="137"/>
      <c r="FIF65" s="137"/>
      <c r="FIG65" s="137"/>
      <c r="FIH65" s="137"/>
      <c r="FII65" s="137"/>
      <c r="FIJ65" s="137"/>
      <c r="FIK65" s="137"/>
      <c r="FIL65" s="137"/>
      <c r="FIM65" s="137"/>
      <c r="FIN65" s="137"/>
      <c r="FIO65" s="137"/>
      <c r="FIP65" s="137"/>
      <c r="FIQ65" s="137"/>
      <c r="FIR65" s="137"/>
      <c r="FIS65" s="137"/>
      <c r="FIT65" s="137"/>
      <c r="FIU65" s="137"/>
      <c r="FIV65" s="137"/>
      <c r="FIW65" s="137"/>
      <c r="FIX65" s="137"/>
      <c r="FIY65" s="137"/>
      <c r="FIZ65" s="137"/>
      <c r="FJA65" s="137"/>
      <c r="FJB65" s="137"/>
      <c r="FJC65" s="137"/>
      <c r="FJD65" s="137"/>
      <c r="FJE65" s="137"/>
      <c r="FJF65" s="137"/>
      <c r="FJG65" s="137"/>
      <c r="FJH65" s="137"/>
      <c r="FJI65" s="137"/>
      <c r="FJJ65" s="137"/>
      <c r="FJK65" s="137"/>
      <c r="FJL65" s="137"/>
      <c r="FJM65" s="137"/>
      <c r="FJN65" s="137"/>
      <c r="FJO65" s="137"/>
      <c r="FJP65" s="137"/>
      <c r="FJQ65" s="137"/>
      <c r="FJR65" s="137"/>
      <c r="FJS65" s="137"/>
      <c r="FJT65" s="137"/>
      <c r="FJU65" s="137"/>
      <c r="FJV65" s="137"/>
      <c r="FJW65" s="137"/>
      <c r="FJX65" s="137"/>
      <c r="FJY65" s="137"/>
      <c r="FJZ65" s="137"/>
      <c r="FKA65" s="137"/>
      <c r="FKB65" s="137"/>
      <c r="FKC65" s="137"/>
      <c r="FKD65" s="137"/>
      <c r="FKE65" s="137"/>
      <c r="FKF65" s="137"/>
      <c r="FKG65" s="137"/>
      <c r="FKH65" s="137"/>
      <c r="FKI65" s="137"/>
      <c r="FKJ65" s="137"/>
      <c r="FKK65" s="137"/>
      <c r="FKL65" s="137"/>
      <c r="FKM65" s="137"/>
      <c r="FKN65" s="137"/>
      <c r="FKO65" s="137"/>
      <c r="FKP65" s="137"/>
      <c r="FKQ65" s="137"/>
      <c r="FKR65" s="137"/>
      <c r="FKS65" s="137"/>
      <c r="FKT65" s="137"/>
      <c r="FKU65" s="137"/>
      <c r="FKV65" s="137"/>
      <c r="FKW65" s="137"/>
      <c r="FKX65" s="137"/>
      <c r="FKY65" s="137"/>
      <c r="FKZ65" s="137"/>
      <c r="FLA65" s="137"/>
      <c r="FLB65" s="137"/>
      <c r="FLC65" s="137"/>
      <c r="FLD65" s="137"/>
      <c r="FLE65" s="137"/>
      <c r="FLF65" s="137"/>
      <c r="FLG65" s="137"/>
      <c r="FLH65" s="137"/>
      <c r="FLI65" s="137"/>
      <c r="FLJ65" s="137"/>
      <c r="FLK65" s="137"/>
      <c r="FLL65" s="137"/>
      <c r="FLM65" s="137"/>
      <c r="FLN65" s="137"/>
      <c r="FLO65" s="137"/>
      <c r="FLP65" s="137"/>
      <c r="FLQ65" s="137"/>
      <c r="FLR65" s="137"/>
      <c r="FLS65" s="137"/>
      <c r="FLT65" s="137"/>
      <c r="FLU65" s="137"/>
      <c r="FLV65" s="137"/>
      <c r="FLW65" s="137"/>
      <c r="FLX65" s="137"/>
      <c r="FLY65" s="137"/>
      <c r="FLZ65" s="137"/>
      <c r="FMA65" s="137"/>
      <c r="FMB65" s="137"/>
      <c r="FMC65" s="137"/>
      <c r="FMD65" s="137"/>
      <c r="FME65" s="137"/>
      <c r="FMF65" s="137"/>
      <c r="FMG65" s="137"/>
      <c r="FMH65" s="137"/>
      <c r="FMI65" s="137"/>
      <c r="FMJ65" s="137"/>
      <c r="FMK65" s="137"/>
      <c r="FML65" s="137"/>
      <c r="FMM65" s="137"/>
      <c r="FMN65" s="137"/>
      <c r="FMO65" s="137"/>
      <c r="FMP65" s="137"/>
      <c r="FMQ65" s="137"/>
      <c r="FMR65" s="137"/>
      <c r="FMS65" s="137"/>
      <c r="FMT65" s="137"/>
      <c r="FMU65" s="137"/>
      <c r="FMV65" s="137"/>
      <c r="FMW65" s="137"/>
      <c r="FMX65" s="137"/>
      <c r="FMY65" s="137"/>
      <c r="FMZ65" s="137"/>
      <c r="FNA65" s="137"/>
      <c r="FNB65" s="137"/>
      <c r="FNC65" s="137"/>
      <c r="FND65" s="137"/>
      <c r="FNE65" s="137"/>
      <c r="FNF65" s="137"/>
      <c r="FNG65" s="137"/>
      <c r="FNH65" s="137"/>
      <c r="FNI65" s="137"/>
      <c r="FNJ65" s="137"/>
      <c r="FNK65" s="137"/>
      <c r="FNL65" s="137"/>
      <c r="FNM65" s="137"/>
      <c r="FNN65" s="137"/>
      <c r="FNO65" s="137"/>
      <c r="FNP65" s="137"/>
      <c r="FNQ65" s="137"/>
      <c r="FNR65" s="137"/>
      <c r="FNS65" s="137"/>
      <c r="FNT65" s="137"/>
      <c r="FNU65" s="137"/>
      <c r="FNV65" s="137"/>
      <c r="FNW65" s="137"/>
      <c r="FNX65" s="137"/>
      <c r="FNY65" s="137"/>
      <c r="FNZ65" s="137"/>
      <c r="FOA65" s="137"/>
      <c r="FOB65" s="137"/>
      <c r="FOC65" s="137"/>
      <c r="FOD65" s="137"/>
      <c r="FOE65" s="137"/>
      <c r="FOF65" s="137"/>
      <c r="FOG65" s="137"/>
      <c r="FOH65" s="137"/>
      <c r="FOI65" s="137"/>
      <c r="FOJ65" s="137"/>
      <c r="FOK65" s="137"/>
      <c r="FOL65" s="137"/>
      <c r="FOM65" s="137"/>
      <c r="FON65" s="137"/>
      <c r="FOO65" s="137"/>
      <c r="FOP65" s="137"/>
      <c r="FOQ65" s="137"/>
      <c r="FOR65" s="137"/>
      <c r="FOS65" s="137"/>
      <c r="FOT65" s="137"/>
      <c r="FOU65" s="137"/>
      <c r="FOV65" s="137"/>
      <c r="FOW65" s="137"/>
      <c r="FOX65" s="137"/>
      <c r="FOY65" s="137"/>
      <c r="FOZ65" s="137"/>
      <c r="FPA65" s="137"/>
      <c r="FPB65" s="137"/>
      <c r="FPC65" s="137"/>
      <c r="FPD65" s="137"/>
      <c r="FPE65" s="137"/>
      <c r="FPF65" s="137"/>
      <c r="FPG65" s="137"/>
      <c r="FPH65" s="137"/>
      <c r="FPI65" s="137"/>
      <c r="FPJ65" s="137"/>
      <c r="FPK65" s="137"/>
      <c r="FPL65" s="137"/>
      <c r="FPM65" s="137"/>
      <c r="FPN65" s="137"/>
      <c r="FPO65" s="137"/>
      <c r="FPP65" s="137"/>
      <c r="FPQ65" s="137"/>
      <c r="FPR65" s="137"/>
      <c r="FPS65" s="137"/>
      <c r="FPT65" s="137"/>
      <c r="FPU65" s="137"/>
      <c r="FPV65" s="137"/>
      <c r="FPW65" s="137"/>
      <c r="FPX65" s="137"/>
      <c r="FPY65" s="137"/>
      <c r="FPZ65" s="137"/>
      <c r="FQA65" s="137"/>
      <c r="FQB65" s="137"/>
      <c r="FQC65" s="137"/>
      <c r="FQD65" s="137"/>
      <c r="FQE65" s="137"/>
      <c r="FQF65" s="137"/>
      <c r="FQG65" s="137"/>
      <c r="FQH65" s="137"/>
      <c r="FQI65" s="137"/>
      <c r="FQJ65" s="137"/>
      <c r="FQK65" s="137"/>
      <c r="FQL65" s="137"/>
      <c r="FQM65" s="137"/>
      <c r="FQN65" s="137"/>
      <c r="FQO65" s="137"/>
      <c r="FQP65" s="137"/>
      <c r="FQQ65" s="137"/>
      <c r="FQR65" s="137"/>
      <c r="FQS65" s="137"/>
      <c r="FQT65" s="137"/>
      <c r="FQU65" s="137"/>
      <c r="FQV65" s="137"/>
      <c r="FQW65" s="137"/>
      <c r="FQX65" s="137"/>
      <c r="FQY65" s="137"/>
      <c r="FQZ65" s="137"/>
      <c r="FRA65" s="137"/>
      <c r="FRB65" s="137"/>
      <c r="FRC65" s="137"/>
      <c r="FRD65" s="137"/>
      <c r="FRE65" s="137"/>
      <c r="FRF65" s="137"/>
      <c r="FRG65" s="137"/>
      <c r="FRH65" s="137"/>
      <c r="FRI65" s="137"/>
      <c r="FRJ65" s="137"/>
      <c r="FRK65" s="137"/>
      <c r="FRL65" s="137"/>
      <c r="FRM65" s="137"/>
      <c r="FRN65" s="137"/>
      <c r="FRO65" s="137"/>
      <c r="FRP65" s="137"/>
      <c r="FRQ65" s="137"/>
      <c r="FRR65" s="137"/>
      <c r="FRS65" s="137"/>
      <c r="FRT65" s="137"/>
      <c r="FRU65" s="137"/>
      <c r="FRV65" s="137"/>
      <c r="FRW65" s="137"/>
      <c r="FRX65" s="137"/>
      <c r="FRY65" s="137"/>
      <c r="FRZ65" s="137"/>
      <c r="FSA65" s="137"/>
      <c r="FSB65" s="137"/>
      <c r="FSC65" s="137"/>
      <c r="FSD65" s="137"/>
      <c r="FSE65" s="137"/>
      <c r="FSF65" s="137"/>
      <c r="FSG65" s="137"/>
      <c r="FSH65" s="137"/>
      <c r="FSI65" s="137"/>
      <c r="FSJ65" s="137"/>
      <c r="FSK65" s="137"/>
      <c r="FSL65" s="137"/>
      <c r="FSM65" s="137"/>
      <c r="FSN65" s="137"/>
      <c r="FSO65" s="137"/>
      <c r="FSP65" s="137"/>
      <c r="FSQ65" s="137"/>
      <c r="FSR65" s="137"/>
      <c r="FSS65" s="137"/>
      <c r="FST65" s="137"/>
      <c r="FSU65" s="137"/>
      <c r="FSV65" s="137"/>
      <c r="FSW65" s="137"/>
      <c r="FSX65" s="137"/>
      <c r="FSY65" s="137"/>
      <c r="FSZ65" s="137"/>
      <c r="FTA65" s="137"/>
      <c r="FTB65" s="137"/>
      <c r="FTC65" s="137"/>
      <c r="FTD65" s="137"/>
      <c r="FTE65" s="137"/>
      <c r="FTF65" s="137"/>
      <c r="FTG65" s="137"/>
      <c r="FTH65" s="137"/>
      <c r="FTI65" s="137"/>
      <c r="FTJ65" s="137"/>
      <c r="FTK65" s="137"/>
      <c r="FTL65" s="137"/>
      <c r="FTM65" s="137"/>
      <c r="FTN65" s="137"/>
      <c r="FTO65" s="137"/>
      <c r="FTP65" s="137"/>
      <c r="FTQ65" s="137"/>
      <c r="FTR65" s="137"/>
      <c r="FTS65" s="137"/>
      <c r="FTT65" s="137"/>
      <c r="FTU65" s="137"/>
      <c r="FTV65" s="137"/>
      <c r="FTW65" s="137"/>
      <c r="FTX65" s="137"/>
      <c r="FTY65" s="137"/>
      <c r="FTZ65" s="137"/>
      <c r="FUA65" s="137"/>
      <c r="FUB65" s="137"/>
      <c r="FUC65" s="137"/>
      <c r="FUD65" s="137"/>
      <c r="FUE65" s="137"/>
      <c r="FUF65" s="137"/>
      <c r="FUG65" s="137"/>
      <c r="FUH65" s="137"/>
      <c r="FUI65" s="137"/>
      <c r="FUJ65" s="137"/>
      <c r="FUK65" s="137"/>
      <c r="FUL65" s="137"/>
      <c r="FUM65" s="137"/>
      <c r="FUN65" s="137"/>
      <c r="FUO65" s="137"/>
      <c r="FUP65" s="137"/>
      <c r="FUQ65" s="137"/>
      <c r="FUR65" s="137"/>
      <c r="FUS65" s="137"/>
      <c r="FUT65" s="137"/>
      <c r="FUU65" s="137"/>
      <c r="FUV65" s="137"/>
      <c r="FUW65" s="137"/>
      <c r="FUX65" s="137"/>
      <c r="FUY65" s="137"/>
      <c r="FUZ65" s="137"/>
      <c r="FVA65" s="137"/>
      <c r="FVB65" s="137"/>
      <c r="FVC65" s="137"/>
      <c r="FVD65" s="137"/>
      <c r="FVE65" s="137"/>
      <c r="FVF65" s="137"/>
      <c r="FVG65" s="137"/>
      <c r="FVH65" s="137"/>
      <c r="FVI65" s="137"/>
      <c r="FVJ65" s="137"/>
      <c r="FVK65" s="137"/>
      <c r="FVL65" s="137"/>
      <c r="FVM65" s="137"/>
      <c r="FVN65" s="137"/>
      <c r="FVO65" s="137"/>
      <c r="FVP65" s="137"/>
      <c r="FVQ65" s="137"/>
      <c r="FVR65" s="137"/>
      <c r="FVS65" s="137"/>
      <c r="FVT65" s="137"/>
      <c r="FVU65" s="137"/>
      <c r="FVV65" s="137"/>
      <c r="FVW65" s="137"/>
      <c r="FVX65" s="137"/>
      <c r="FVY65" s="137"/>
      <c r="FVZ65" s="137"/>
      <c r="FWA65" s="137"/>
      <c r="FWB65" s="137"/>
      <c r="FWC65" s="137"/>
      <c r="FWD65" s="137"/>
      <c r="FWE65" s="137"/>
      <c r="FWF65" s="137"/>
      <c r="FWG65" s="137"/>
      <c r="FWH65" s="137"/>
      <c r="FWI65" s="137"/>
      <c r="FWJ65" s="137"/>
      <c r="FWK65" s="137"/>
      <c r="FWL65" s="137"/>
      <c r="FWM65" s="137"/>
      <c r="FWN65" s="137"/>
      <c r="FWO65" s="137"/>
      <c r="FWP65" s="137"/>
      <c r="FWQ65" s="137"/>
      <c r="FWR65" s="137"/>
      <c r="FWS65" s="137"/>
      <c r="FWT65" s="137"/>
      <c r="FWU65" s="137"/>
      <c r="FWV65" s="137"/>
      <c r="FWW65" s="137"/>
      <c r="FWX65" s="137"/>
      <c r="FWY65" s="137"/>
      <c r="FWZ65" s="137"/>
      <c r="FXA65" s="137"/>
      <c r="FXB65" s="137"/>
      <c r="FXC65" s="137"/>
      <c r="FXD65" s="137"/>
      <c r="FXE65" s="137"/>
      <c r="FXF65" s="137"/>
      <c r="FXG65" s="137"/>
      <c r="FXH65" s="137"/>
      <c r="FXI65" s="137"/>
      <c r="FXJ65" s="137"/>
      <c r="FXK65" s="137"/>
      <c r="FXL65" s="137"/>
      <c r="FXM65" s="137"/>
      <c r="FXN65" s="137"/>
      <c r="FXO65" s="137"/>
      <c r="FXP65" s="137"/>
      <c r="FXQ65" s="137"/>
      <c r="FXR65" s="137"/>
      <c r="FXS65" s="137"/>
      <c r="FXT65" s="137"/>
      <c r="FXU65" s="137"/>
      <c r="FXV65" s="137"/>
      <c r="FXW65" s="137"/>
      <c r="FXX65" s="137"/>
      <c r="FXY65" s="137"/>
      <c r="FXZ65" s="137"/>
      <c r="FYA65" s="137"/>
      <c r="FYB65" s="137"/>
      <c r="FYC65" s="137"/>
      <c r="FYD65" s="137"/>
      <c r="FYE65" s="137"/>
      <c r="FYF65" s="137"/>
      <c r="FYG65" s="137"/>
      <c r="FYH65" s="137"/>
      <c r="FYI65" s="137"/>
      <c r="FYJ65" s="137"/>
      <c r="FYK65" s="137"/>
      <c r="FYL65" s="137"/>
      <c r="FYM65" s="137"/>
      <c r="FYN65" s="137"/>
      <c r="FYO65" s="137"/>
      <c r="FYP65" s="137"/>
      <c r="FYQ65" s="137"/>
      <c r="FYR65" s="137"/>
      <c r="FYS65" s="137"/>
      <c r="FYT65" s="137"/>
      <c r="FYU65" s="137"/>
      <c r="FYV65" s="137"/>
      <c r="FYW65" s="137"/>
      <c r="FYX65" s="137"/>
      <c r="FYY65" s="137"/>
      <c r="FYZ65" s="137"/>
      <c r="FZA65" s="137"/>
      <c r="FZB65" s="137"/>
      <c r="FZC65" s="137"/>
      <c r="FZD65" s="137"/>
      <c r="FZE65" s="137"/>
      <c r="FZF65" s="137"/>
      <c r="FZG65" s="137"/>
      <c r="FZH65" s="137"/>
      <c r="FZI65" s="137"/>
      <c r="FZJ65" s="137"/>
      <c r="FZK65" s="137"/>
      <c r="FZL65" s="137"/>
      <c r="FZM65" s="137"/>
      <c r="FZN65" s="137"/>
      <c r="FZO65" s="137"/>
      <c r="FZP65" s="137"/>
      <c r="FZQ65" s="137"/>
      <c r="FZR65" s="137"/>
      <c r="FZS65" s="137"/>
      <c r="FZT65" s="137"/>
      <c r="FZU65" s="137"/>
      <c r="FZV65" s="137"/>
      <c r="FZW65" s="137"/>
      <c r="FZX65" s="137"/>
      <c r="FZY65" s="137"/>
      <c r="FZZ65" s="137"/>
      <c r="GAA65" s="137"/>
      <c r="GAB65" s="137"/>
      <c r="GAC65" s="137"/>
      <c r="GAD65" s="137"/>
      <c r="GAE65" s="137"/>
      <c r="GAF65" s="137"/>
      <c r="GAG65" s="137"/>
      <c r="GAH65" s="137"/>
      <c r="GAI65" s="137"/>
      <c r="GAJ65" s="137"/>
      <c r="GAK65" s="137"/>
      <c r="GAL65" s="137"/>
      <c r="GAM65" s="137"/>
      <c r="GAN65" s="137"/>
      <c r="GAO65" s="137"/>
      <c r="GAP65" s="137"/>
      <c r="GAQ65" s="137"/>
      <c r="GAR65" s="137"/>
      <c r="GAS65" s="137"/>
      <c r="GAT65" s="137"/>
      <c r="GAU65" s="137"/>
      <c r="GAV65" s="137"/>
      <c r="GAW65" s="137"/>
      <c r="GAX65" s="137"/>
      <c r="GAY65" s="137"/>
      <c r="GAZ65" s="137"/>
      <c r="GBA65" s="137"/>
      <c r="GBB65" s="137"/>
      <c r="GBC65" s="137"/>
      <c r="GBD65" s="137"/>
      <c r="GBE65" s="137"/>
      <c r="GBF65" s="137"/>
      <c r="GBG65" s="137"/>
      <c r="GBH65" s="137"/>
      <c r="GBI65" s="137"/>
      <c r="GBJ65" s="137"/>
      <c r="GBK65" s="137"/>
      <c r="GBL65" s="137"/>
      <c r="GBM65" s="137"/>
      <c r="GBN65" s="137"/>
      <c r="GBO65" s="137"/>
      <c r="GBP65" s="137"/>
      <c r="GBQ65" s="137"/>
      <c r="GBR65" s="137"/>
      <c r="GBS65" s="137"/>
      <c r="GBT65" s="137"/>
      <c r="GBU65" s="137"/>
      <c r="GBV65" s="137"/>
      <c r="GBW65" s="137"/>
      <c r="GBX65" s="137"/>
      <c r="GBY65" s="137"/>
      <c r="GBZ65" s="137"/>
      <c r="GCA65" s="137"/>
      <c r="GCB65" s="137"/>
      <c r="GCC65" s="137"/>
      <c r="GCD65" s="137"/>
      <c r="GCE65" s="137"/>
      <c r="GCF65" s="137"/>
      <c r="GCG65" s="137"/>
      <c r="GCH65" s="137"/>
      <c r="GCI65" s="137"/>
      <c r="GCJ65" s="137"/>
      <c r="GCK65" s="137"/>
      <c r="GCL65" s="137"/>
      <c r="GCM65" s="137"/>
      <c r="GCN65" s="137"/>
      <c r="GCO65" s="137"/>
      <c r="GCP65" s="137"/>
      <c r="GCQ65" s="137"/>
      <c r="GCR65" s="137"/>
      <c r="GCS65" s="137"/>
      <c r="GCT65" s="137"/>
      <c r="GCU65" s="137"/>
      <c r="GCV65" s="137"/>
      <c r="GCW65" s="137"/>
      <c r="GCX65" s="137"/>
      <c r="GCY65" s="137"/>
      <c r="GCZ65" s="137"/>
      <c r="GDA65" s="137"/>
      <c r="GDB65" s="137"/>
      <c r="GDC65" s="137"/>
      <c r="GDD65" s="137"/>
      <c r="GDE65" s="137"/>
      <c r="GDF65" s="137"/>
      <c r="GDG65" s="137"/>
      <c r="GDH65" s="137"/>
      <c r="GDI65" s="137"/>
      <c r="GDJ65" s="137"/>
      <c r="GDK65" s="137"/>
      <c r="GDL65" s="137"/>
      <c r="GDM65" s="137"/>
      <c r="GDN65" s="137"/>
      <c r="GDO65" s="137"/>
      <c r="GDP65" s="137"/>
      <c r="GDQ65" s="137"/>
      <c r="GDR65" s="137"/>
      <c r="GDS65" s="137"/>
      <c r="GDT65" s="137"/>
      <c r="GDU65" s="137"/>
      <c r="GDV65" s="137"/>
      <c r="GDW65" s="137"/>
      <c r="GDX65" s="137"/>
      <c r="GDY65" s="137"/>
      <c r="GDZ65" s="137"/>
      <c r="GEA65" s="137"/>
      <c r="GEB65" s="137"/>
      <c r="GEC65" s="137"/>
      <c r="GED65" s="137"/>
      <c r="GEE65" s="137"/>
      <c r="GEF65" s="137"/>
      <c r="GEG65" s="137"/>
      <c r="GEH65" s="137"/>
      <c r="GEI65" s="137"/>
      <c r="GEJ65" s="137"/>
      <c r="GEK65" s="137"/>
      <c r="GEL65" s="137"/>
      <c r="GEM65" s="137"/>
      <c r="GEN65" s="137"/>
      <c r="GEO65" s="137"/>
      <c r="GEP65" s="137"/>
      <c r="GEQ65" s="137"/>
      <c r="GER65" s="137"/>
      <c r="GES65" s="137"/>
      <c r="GET65" s="137"/>
      <c r="GEU65" s="137"/>
      <c r="GEV65" s="137"/>
      <c r="GEW65" s="137"/>
      <c r="GEX65" s="137"/>
      <c r="GEY65" s="137"/>
      <c r="GEZ65" s="137"/>
      <c r="GFA65" s="137"/>
      <c r="GFB65" s="137"/>
      <c r="GFC65" s="137"/>
      <c r="GFD65" s="137"/>
      <c r="GFE65" s="137"/>
      <c r="GFF65" s="137"/>
      <c r="GFG65" s="137"/>
      <c r="GFH65" s="137"/>
      <c r="GFI65" s="137"/>
      <c r="GFJ65" s="137"/>
      <c r="GFK65" s="137"/>
      <c r="GFL65" s="137"/>
      <c r="GFM65" s="137"/>
      <c r="GFN65" s="137"/>
      <c r="GFO65" s="137"/>
      <c r="GFP65" s="137"/>
      <c r="GFQ65" s="137"/>
      <c r="GFR65" s="137"/>
      <c r="GFS65" s="137"/>
      <c r="GFT65" s="137"/>
      <c r="GFU65" s="137"/>
      <c r="GFV65" s="137"/>
      <c r="GFW65" s="137"/>
      <c r="GFX65" s="137"/>
      <c r="GFY65" s="137"/>
      <c r="GFZ65" s="137"/>
      <c r="GGA65" s="137"/>
      <c r="GGB65" s="137"/>
      <c r="GGC65" s="137"/>
      <c r="GGD65" s="137"/>
      <c r="GGE65" s="137"/>
      <c r="GGF65" s="137"/>
      <c r="GGG65" s="137"/>
      <c r="GGH65" s="137"/>
      <c r="GGI65" s="137"/>
      <c r="GGJ65" s="137"/>
      <c r="GGK65" s="137"/>
      <c r="GGL65" s="137"/>
      <c r="GGM65" s="137"/>
      <c r="GGN65" s="137"/>
      <c r="GGO65" s="137"/>
      <c r="GGP65" s="137"/>
      <c r="GGQ65" s="137"/>
      <c r="GGR65" s="137"/>
      <c r="GGS65" s="137"/>
      <c r="GGT65" s="137"/>
      <c r="GGU65" s="137"/>
      <c r="GGV65" s="137"/>
      <c r="GGW65" s="137"/>
      <c r="GGX65" s="137"/>
      <c r="GGY65" s="137"/>
      <c r="GGZ65" s="137"/>
      <c r="GHA65" s="137"/>
      <c r="GHB65" s="137"/>
      <c r="GHC65" s="137"/>
      <c r="GHD65" s="137"/>
      <c r="GHE65" s="137"/>
      <c r="GHF65" s="137"/>
      <c r="GHG65" s="137"/>
      <c r="GHH65" s="137"/>
      <c r="GHI65" s="137"/>
      <c r="GHJ65" s="137"/>
      <c r="GHK65" s="137"/>
      <c r="GHL65" s="137"/>
      <c r="GHM65" s="137"/>
      <c r="GHN65" s="137"/>
      <c r="GHO65" s="137"/>
      <c r="GHP65" s="137"/>
      <c r="GHQ65" s="137"/>
      <c r="GHR65" s="137"/>
      <c r="GHS65" s="137"/>
      <c r="GHT65" s="137"/>
      <c r="GHU65" s="137"/>
      <c r="GHV65" s="137"/>
      <c r="GHW65" s="137"/>
      <c r="GHX65" s="137"/>
      <c r="GHY65" s="137"/>
      <c r="GHZ65" s="137"/>
      <c r="GIA65" s="137"/>
      <c r="GIB65" s="137"/>
      <c r="GIC65" s="137"/>
      <c r="GID65" s="137"/>
      <c r="GIE65" s="137"/>
      <c r="GIF65" s="137"/>
      <c r="GIG65" s="137"/>
      <c r="GIH65" s="137"/>
      <c r="GII65" s="137"/>
      <c r="GIJ65" s="137"/>
      <c r="GIK65" s="137"/>
      <c r="GIL65" s="137"/>
      <c r="GIM65" s="137"/>
      <c r="GIN65" s="137"/>
      <c r="GIO65" s="137"/>
      <c r="GIP65" s="137"/>
      <c r="GIQ65" s="137"/>
      <c r="GIR65" s="137"/>
      <c r="GIS65" s="137"/>
      <c r="GIT65" s="137"/>
      <c r="GIU65" s="137"/>
      <c r="GIV65" s="137"/>
      <c r="GIW65" s="137"/>
      <c r="GIX65" s="137"/>
      <c r="GIY65" s="137"/>
      <c r="GIZ65" s="137"/>
      <c r="GJA65" s="137"/>
      <c r="GJB65" s="137"/>
      <c r="GJC65" s="137"/>
      <c r="GJD65" s="137"/>
      <c r="GJE65" s="137"/>
      <c r="GJF65" s="137"/>
      <c r="GJG65" s="137"/>
      <c r="GJH65" s="137"/>
      <c r="GJI65" s="137"/>
      <c r="GJJ65" s="137"/>
      <c r="GJK65" s="137"/>
      <c r="GJL65" s="137"/>
      <c r="GJM65" s="137"/>
      <c r="GJN65" s="137"/>
      <c r="GJO65" s="137"/>
      <c r="GJP65" s="137"/>
      <c r="GJQ65" s="137"/>
      <c r="GJR65" s="137"/>
      <c r="GJS65" s="137"/>
      <c r="GJT65" s="137"/>
      <c r="GJU65" s="137"/>
      <c r="GJV65" s="137"/>
      <c r="GJW65" s="137"/>
      <c r="GJX65" s="137"/>
      <c r="GJY65" s="137"/>
      <c r="GJZ65" s="137"/>
      <c r="GKA65" s="137"/>
      <c r="GKB65" s="137"/>
      <c r="GKC65" s="137"/>
      <c r="GKD65" s="137"/>
      <c r="GKE65" s="137"/>
      <c r="GKF65" s="137"/>
      <c r="GKG65" s="137"/>
      <c r="GKH65" s="137"/>
      <c r="GKI65" s="137"/>
      <c r="GKJ65" s="137"/>
      <c r="GKK65" s="137"/>
      <c r="GKL65" s="137"/>
      <c r="GKM65" s="137"/>
      <c r="GKN65" s="137"/>
      <c r="GKO65" s="137"/>
      <c r="GKP65" s="137"/>
      <c r="GKQ65" s="137"/>
      <c r="GKR65" s="137"/>
      <c r="GKS65" s="137"/>
      <c r="GKT65" s="137"/>
      <c r="GKU65" s="137"/>
      <c r="GKV65" s="137"/>
      <c r="GKW65" s="137"/>
      <c r="GKX65" s="137"/>
      <c r="GKY65" s="137"/>
      <c r="GKZ65" s="137"/>
      <c r="GLA65" s="137"/>
      <c r="GLB65" s="137"/>
      <c r="GLC65" s="137"/>
      <c r="GLD65" s="137"/>
      <c r="GLE65" s="137"/>
      <c r="GLF65" s="137"/>
      <c r="GLG65" s="137"/>
      <c r="GLH65" s="137"/>
      <c r="GLI65" s="137"/>
      <c r="GLJ65" s="137"/>
      <c r="GLK65" s="137"/>
      <c r="GLL65" s="137"/>
      <c r="GLM65" s="137"/>
      <c r="GLN65" s="137"/>
      <c r="GLO65" s="137"/>
      <c r="GLP65" s="137"/>
      <c r="GLQ65" s="137"/>
      <c r="GLR65" s="137"/>
      <c r="GLS65" s="137"/>
      <c r="GLT65" s="137"/>
      <c r="GLU65" s="137"/>
      <c r="GLV65" s="137"/>
      <c r="GLW65" s="137"/>
      <c r="GLX65" s="137"/>
      <c r="GLY65" s="137"/>
      <c r="GLZ65" s="137"/>
      <c r="GMA65" s="137"/>
      <c r="GMB65" s="137"/>
      <c r="GMC65" s="137"/>
      <c r="GMD65" s="137"/>
      <c r="GME65" s="137"/>
      <c r="GMF65" s="137"/>
      <c r="GMG65" s="137"/>
      <c r="GMH65" s="137"/>
      <c r="GMI65" s="137"/>
      <c r="GMJ65" s="137"/>
      <c r="GMK65" s="137"/>
      <c r="GML65" s="137"/>
      <c r="GMM65" s="137"/>
      <c r="GMN65" s="137"/>
      <c r="GMO65" s="137"/>
      <c r="GMP65" s="137"/>
      <c r="GMQ65" s="137"/>
      <c r="GMR65" s="137"/>
      <c r="GMS65" s="137"/>
      <c r="GMT65" s="137"/>
      <c r="GMU65" s="137"/>
      <c r="GMV65" s="137"/>
      <c r="GMW65" s="137"/>
      <c r="GMX65" s="137"/>
      <c r="GMY65" s="137"/>
      <c r="GMZ65" s="137"/>
      <c r="GNA65" s="137"/>
      <c r="GNB65" s="137"/>
      <c r="GNC65" s="137"/>
      <c r="GND65" s="137"/>
      <c r="GNE65" s="137"/>
      <c r="GNF65" s="137"/>
      <c r="GNG65" s="137"/>
      <c r="GNH65" s="137"/>
      <c r="GNI65" s="137"/>
      <c r="GNJ65" s="137"/>
      <c r="GNK65" s="137"/>
      <c r="GNL65" s="137"/>
      <c r="GNM65" s="137"/>
      <c r="GNN65" s="137"/>
      <c r="GNO65" s="137"/>
      <c r="GNP65" s="137"/>
      <c r="GNQ65" s="137"/>
      <c r="GNR65" s="137"/>
      <c r="GNS65" s="137"/>
      <c r="GNT65" s="137"/>
      <c r="GNU65" s="137"/>
      <c r="GNV65" s="137"/>
      <c r="GNW65" s="137"/>
      <c r="GNX65" s="137"/>
      <c r="GNY65" s="137"/>
      <c r="GNZ65" s="137"/>
      <c r="GOA65" s="137"/>
      <c r="GOB65" s="137"/>
      <c r="GOC65" s="137"/>
      <c r="GOD65" s="137"/>
      <c r="GOE65" s="137"/>
      <c r="GOF65" s="137"/>
      <c r="GOG65" s="137"/>
      <c r="GOH65" s="137"/>
      <c r="GOI65" s="137"/>
      <c r="GOJ65" s="137"/>
      <c r="GOK65" s="137"/>
      <c r="GOL65" s="137"/>
      <c r="GOM65" s="137"/>
      <c r="GON65" s="137"/>
      <c r="GOO65" s="137"/>
      <c r="GOP65" s="137"/>
      <c r="GOQ65" s="137"/>
      <c r="GOR65" s="137"/>
      <c r="GOS65" s="137"/>
      <c r="GOT65" s="137"/>
      <c r="GOU65" s="137"/>
      <c r="GOV65" s="137"/>
      <c r="GOW65" s="137"/>
      <c r="GOX65" s="137"/>
      <c r="GOY65" s="137"/>
      <c r="GOZ65" s="137"/>
      <c r="GPA65" s="137"/>
      <c r="GPB65" s="137"/>
      <c r="GPC65" s="137"/>
      <c r="GPD65" s="137"/>
      <c r="GPE65" s="137"/>
      <c r="GPF65" s="137"/>
      <c r="GPG65" s="137"/>
      <c r="GPH65" s="137"/>
      <c r="GPI65" s="137"/>
      <c r="GPJ65" s="137"/>
      <c r="GPK65" s="137"/>
      <c r="GPL65" s="137"/>
      <c r="GPM65" s="137"/>
      <c r="GPN65" s="137"/>
      <c r="GPO65" s="137"/>
      <c r="GPP65" s="137"/>
      <c r="GPQ65" s="137"/>
      <c r="GPR65" s="137"/>
      <c r="GPS65" s="137"/>
      <c r="GPT65" s="137"/>
      <c r="GPU65" s="137"/>
      <c r="GPV65" s="137"/>
      <c r="GPW65" s="137"/>
      <c r="GPX65" s="137"/>
      <c r="GPY65" s="137"/>
      <c r="GPZ65" s="137"/>
      <c r="GQA65" s="137"/>
      <c r="GQB65" s="137"/>
      <c r="GQC65" s="137"/>
      <c r="GQD65" s="137"/>
      <c r="GQE65" s="137"/>
      <c r="GQF65" s="137"/>
      <c r="GQG65" s="137"/>
      <c r="GQH65" s="137"/>
      <c r="GQI65" s="137"/>
      <c r="GQJ65" s="137"/>
      <c r="GQK65" s="137"/>
      <c r="GQL65" s="137"/>
      <c r="GQM65" s="137"/>
      <c r="GQN65" s="137"/>
      <c r="GQO65" s="137"/>
      <c r="GQP65" s="137"/>
      <c r="GQQ65" s="137"/>
      <c r="GQR65" s="137"/>
      <c r="GQS65" s="137"/>
      <c r="GQT65" s="137"/>
      <c r="GQU65" s="137"/>
      <c r="GQV65" s="137"/>
      <c r="GQW65" s="137"/>
      <c r="GQX65" s="137"/>
      <c r="GQY65" s="137"/>
      <c r="GQZ65" s="137"/>
      <c r="GRA65" s="137"/>
      <c r="GRB65" s="137"/>
      <c r="GRC65" s="137"/>
      <c r="GRD65" s="137"/>
      <c r="GRE65" s="137"/>
      <c r="GRF65" s="137"/>
      <c r="GRG65" s="137"/>
      <c r="GRH65" s="137"/>
      <c r="GRI65" s="137"/>
      <c r="GRJ65" s="137"/>
      <c r="GRK65" s="137"/>
      <c r="GRL65" s="137"/>
      <c r="GRM65" s="137"/>
      <c r="GRN65" s="137"/>
      <c r="GRO65" s="137"/>
      <c r="GRP65" s="137"/>
      <c r="GRQ65" s="137"/>
      <c r="GRR65" s="137"/>
      <c r="GRS65" s="137"/>
      <c r="GRT65" s="137"/>
      <c r="GRU65" s="137"/>
      <c r="GRV65" s="137"/>
      <c r="GRW65" s="137"/>
      <c r="GRX65" s="137"/>
      <c r="GRY65" s="137"/>
      <c r="GRZ65" s="137"/>
      <c r="GSA65" s="137"/>
      <c r="GSB65" s="137"/>
      <c r="GSC65" s="137"/>
      <c r="GSD65" s="137"/>
      <c r="GSE65" s="137"/>
      <c r="GSF65" s="137"/>
      <c r="GSG65" s="137"/>
      <c r="GSH65" s="137"/>
      <c r="GSI65" s="137"/>
      <c r="GSJ65" s="137"/>
      <c r="GSK65" s="137"/>
      <c r="GSL65" s="137"/>
      <c r="GSM65" s="137"/>
      <c r="GSN65" s="137"/>
      <c r="GSO65" s="137"/>
      <c r="GSP65" s="137"/>
      <c r="GSQ65" s="137"/>
      <c r="GSR65" s="137"/>
      <c r="GSS65" s="137"/>
      <c r="GST65" s="137"/>
      <c r="GSU65" s="137"/>
      <c r="GSV65" s="137"/>
      <c r="GSW65" s="137"/>
      <c r="GSX65" s="137"/>
      <c r="GSY65" s="137"/>
      <c r="GSZ65" s="137"/>
      <c r="GTA65" s="137"/>
      <c r="GTB65" s="137"/>
      <c r="GTC65" s="137"/>
      <c r="GTD65" s="137"/>
      <c r="GTE65" s="137"/>
      <c r="GTF65" s="137"/>
      <c r="GTG65" s="137"/>
      <c r="GTH65" s="137"/>
      <c r="GTI65" s="137"/>
      <c r="GTJ65" s="137"/>
      <c r="GTK65" s="137"/>
      <c r="GTL65" s="137"/>
      <c r="GTM65" s="137"/>
      <c r="GTN65" s="137"/>
      <c r="GTO65" s="137"/>
      <c r="GTP65" s="137"/>
      <c r="GTQ65" s="137"/>
      <c r="GTR65" s="137"/>
      <c r="GTS65" s="137"/>
      <c r="GTT65" s="137"/>
      <c r="GTU65" s="137"/>
      <c r="GTV65" s="137"/>
      <c r="GTW65" s="137"/>
      <c r="GTX65" s="137"/>
      <c r="GTY65" s="137"/>
      <c r="GTZ65" s="137"/>
      <c r="GUA65" s="137"/>
      <c r="GUB65" s="137"/>
      <c r="GUC65" s="137"/>
      <c r="GUD65" s="137"/>
      <c r="GUE65" s="137"/>
      <c r="GUF65" s="137"/>
      <c r="GUG65" s="137"/>
      <c r="GUH65" s="137"/>
      <c r="GUI65" s="137"/>
      <c r="GUJ65" s="137"/>
      <c r="GUK65" s="137"/>
      <c r="GUL65" s="137"/>
      <c r="GUM65" s="137"/>
      <c r="GUN65" s="137"/>
      <c r="GUO65" s="137"/>
      <c r="GUP65" s="137"/>
      <c r="GUQ65" s="137"/>
      <c r="GUR65" s="137"/>
      <c r="GUS65" s="137"/>
      <c r="GUT65" s="137"/>
      <c r="GUU65" s="137"/>
      <c r="GUV65" s="137"/>
      <c r="GUW65" s="137"/>
      <c r="GUX65" s="137"/>
      <c r="GUY65" s="137"/>
      <c r="GUZ65" s="137"/>
      <c r="GVA65" s="137"/>
      <c r="GVB65" s="137"/>
      <c r="GVC65" s="137"/>
      <c r="GVD65" s="137"/>
      <c r="GVE65" s="137"/>
      <c r="GVF65" s="137"/>
      <c r="GVG65" s="137"/>
      <c r="GVH65" s="137"/>
      <c r="GVI65" s="137"/>
      <c r="GVJ65" s="137"/>
      <c r="GVK65" s="137"/>
      <c r="GVL65" s="137"/>
      <c r="GVM65" s="137"/>
      <c r="GVN65" s="137"/>
      <c r="GVO65" s="137"/>
      <c r="GVP65" s="137"/>
      <c r="GVQ65" s="137"/>
      <c r="GVR65" s="137"/>
      <c r="GVS65" s="137"/>
      <c r="GVT65" s="137"/>
      <c r="GVU65" s="137"/>
      <c r="GVV65" s="137"/>
      <c r="GVW65" s="137"/>
      <c r="GVX65" s="137"/>
      <c r="GVY65" s="137"/>
      <c r="GVZ65" s="137"/>
      <c r="GWA65" s="137"/>
      <c r="GWB65" s="137"/>
      <c r="GWC65" s="137"/>
      <c r="GWD65" s="137"/>
      <c r="GWE65" s="137"/>
      <c r="GWF65" s="137"/>
      <c r="GWG65" s="137"/>
      <c r="GWH65" s="137"/>
      <c r="GWI65" s="137"/>
      <c r="GWJ65" s="137"/>
      <c r="GWK65" s="137"/>
      <c r="GWL65" s="137"/>
      <c r="GWM65" s="137"/>
      <c r="GWN65" s="137"/>
      <c r="GWO65" s="137"/>
      <c r="GWP65" s="137"/>
      <c r="GWQ65" s="137"/>
      <c r="GWR65" s="137"/>
      <c r="GWS65" s="137"/>
      <c r="GWT65" s="137"/>
      <c r="GWU65" s="137"/>
      <c r="GWV65" s="137"/>
      <c r="GWW65" s="137"/>
      <c r="GWX65" s="137"/>
      <c r="GWY65" s="137"/>
      <c r="GWZ65" s="137"/>
      <c r="GXA65" s="137"/>
      <c r="GXB65" s="137"/>
      <c r="GXC65" s="137"/>
      <c r="GXD65" s="137"/>
      <c r="GXE65" s="137"/>
      <c r="GXF65" s="137"/>
      <c r="GXG65" s="137"/>
      <c r="GXH65" s="137"/>
      <c r="GXI65" s="137"/>
      <c r="GXJ65" s="137"/>
      <c r="GXK65" s="137"/>
      <c r="GXL65" s="137"/>
      <c r="GXM65" s="137"/>
      <c r="GXN65" s="137"/>
      <c r="GXO65" s="137"/>
      <c r="GXP65" s="137"/>
      <c r="GXQ65" s="137"/>
      <c r="GXR65" s="137"/>
      <c r="GXS65" s="137"/>
      <c r="GXT65" s="137"/>
      <c r="GXU65" s="137"/>
      <c r="GXV65" s="137"/>
      <c r="GXW65" s="137"/>
      <c r="GXX65" s="137"/>
      <c r="GXY65" s="137"/>
      <c r="GXZ65" s="137"/>
      <c r="GYA65" s="137"/>
      <c r="GYB65" s="137"/>
      <c r="GYC65" s="137"/>
      <c r="GYD65" s="137"/>
      <c r="GYE65" s="137"/>
      <c r="GYF65" s="137"/>
      <c r="GYG65" s="137"/>
      <c r="GYH65" s="137"/>
      <c r="GYI65" s="137"/>
      <c r="GYJ65" s="137"/>
      <c r="GYK65" s="137"/>
      <c r="GYL65" s="137"/>
      <c r="GYM65" s="137"/>
      <c r="GYN65" s="137"/>
      <c r="GYO65" s="137"/>
      <c r="GYP65" s="137"/>
      <c r="GYQ65" s="137"/>
      <c r="GYR65" s="137"/>
      <c r="GYS65" s="137"/>
      <c r="GYT65" s="137"/>
      <c r="GYU65" s="137"/>
      <c r="GYV65" s="137"/>
      <c r="GYW65" s="137"/>
      <c r="GYX65" s="137"/>
      <c r="GYY65" s="137"/>
      <c r="GYZ65" s="137"/>
      <c r="GZA65" s="137"/>
      <c r="GZB65" s="137"/>
      <c r="GZC65" s="137"/>
      <c r="GZD65" s="137"/>
      <c r="GZE65" s="137"/>
      <c r="GZF65" s="137"/>
      <c r="GZG65" s="137"/>
      <c r="GZH65" s="137"/>
      <c r="GZI65" s="137"/>
      <c r="GZJ65" s="137"/>
      <c r="GZK65" s="137"/>
      <c r="GZL65" s="137"/>
      <c r="GZM65" s="137"/>
      <c r="GZN65" s="137"/>
      <c r="GZO65" s="137"/>
      <c r="GZP65" s="137"/>
      <c r="GZQ65" s="137"/>
      <c r="GZR65" s="137"/>
      <c r="GZS65" s="137"/>
      <c r="GZT65" s="137"/>
      <c r="GZU65" s="137"/>
      <c r="GZV65" s="137"/>
      <c r="GZW65" s="137"/>
      <c r="GZX65" s="137"/>
      <c r="GZY65" s="137"/>
      <c r="GZZ65" s="137"/>
      <c r="HAA65" s="137"/>
      <c r="HAB65" s="137"/>
      <c r="HAC65" s="137"/>
      <c r="HAD65" s="137"/>
      <c r="HAE65" s="137"/>
      <c r="HAF65" s="137"/>
      <c r="HAG65" s="137"/>
      <c r="HAH65" s="137"/>
      <c r="HAI65" s="137"/>
      <c r="HAJ65" s="137"/>
      <c r="HAK65" s="137"/>
      <c r="HAL65" s="137"/>
      <c r="HAM65" s="137"/>
      <c r="HAN65" s="137"/>
      <c r="HAO65" s="137"/>
      <c r="HAP65" s="137"/>
      <c r="HAQ65" s="137"/>
      <c r="HAR65" s="137"/>
      <c r="HAS65" s="137"/>
      <c r="HAT65" s="137"/>
      <c r="HAU65" s="137"/>
      <c r="HAV65" s="137"/>
      <c r="HAW65" s="137"/>
      <c r="HAX65" s="137"/>
      <c r="HAY65" s="137"/>
      <c r="HAZ65" s="137"/>
      <c r="HBA65" s="137"/>
      <c r="HBB65" s="137"/>
      <c r="HBC65" s="137"/>
      <c r="HBD65" s="137"/>
      <c r="HBE65" s="137"/>
      <c r="HBF65" s="137"/>
      <c r="HBG65" s="137"/>
      <c r="HBH65" s="137"/>
      <c r="HBI65" s="137"/>
      <c r="HBJ65" s="137"/>
      <c r="HBK65" s="137"/>
      <c r="HBL65" s="137"/>
      <c r="HBM65" s="137"/>
      <c r="HBN65" s="137"/>
      <c r="HBO65" s="137"/>
      <c r="HBP65" s="137"/>
      <c r="HBQ65" s="137"/>
      <c r="HBR65" s="137"/>
      <c r="HBS65" s="137"/>
      <c r="HBT65" s="137"/>
      <c r="HBU65" s="137"/>
      <c r="HBV65" s="137"/>
      <c r="HBW65" s="137"/>
      <c r="HBX65" s="137"/>
      <c r="HBY65" s="137"/>
      <c r="HBZ65" s="137"/>
      <c r="HCA65" s="137"/>
      <c r="HCB65" s="137"/>
      <c r="HCC65" s="137"/>
      <c r="HCD65" s="137"/>
      <c r="HCE65" s="137"/>
      <c r="HCF65" s="137"/>
      <c r="HCG65" s="137"/>
      <c r="HCH65" s="137"/>
      <c r="HCI65" s="137"/>
      <c r="HCJ65" s="137"/>
      <c r="HCK65" s="137"/>
      <c r="HCL65" s="137"/>
      <c r="HCM65" s="137"/>
      <c r="HCN65" s="137"/>
      <c r="HCO65" s="137"/>
      <c r="HCP65" s="137"/>
      <c r="HCQ65" s="137"/>
      <c r="HCR65" s="137"/>
      <c r="HCS65" s="137"/>
      <c r="HCT65" s="137"/>
      <c r="HCU65" s="137"/>
      <c r="HCV65" s="137"/>
      <c r="HCW65" s="137"/>
      <c r="HCX65" s="137"/>
      <c r="HCY65" s="137"/>
      <c r="HCZ65" s="137"/>
      <c r="HDA65" s="137"/>
      <c r="HDB65" s="137"/>
      <c r="HDC65" s="137"/>
      <c r="HDD65" s="137"/>
      <c r="HDE65" s="137"/>
      <c r="HDF65" s="137"/>
      <c r="HDG65" s="137"/>
      <c r="HDH65" s="137"/>
      <c r="HDI65" s="137"/>
      <c r="HDJ65" s="137"/>
      <c r="HDK65" s="137"/>
      <c r="HDL65" s="137"/>
      <c r="HDM65" s="137"/>
      <c r="HDN65" s="137"/>
      <c r="HDO65" s="137"/>
      <c r="HDP65" s="137"/>
      <c r="HDQ65" s="137"/>
      <c r="HDR65" s="137"/>
      <c r="HDS65" s="137"/>
      <c r="HDT65" s="137"/>
      <c r="HDU65" s="137"/>
      <c r="HDV65" s="137"/>
      <c r="HDW65" s="137"/>
      <c r="HDX65" s="137"/>
      <c r="HDY65" s="137"/>
      <c r="HDZ65" s="137"/>
      <c r="HEA65" s="137"/>
      <c r="HEB65" s="137"/>
      <c r="HEC65" s="137"/>
      <c r="HED65" s="137"/>
      <c r="HEE65" s="137"/>
      <c r="HEF65" s="137"/>
      <c r="HEG65" s="137"/>
      <c r="HEH65" s="137"/>
      <c r="HEI65" s="137"/>
      <c r="HEJ65" s="137"/>
      <c r="HEK65" s="137"/>
      <c r="HEL65" s="137"/>
      <c r="HEM65" s="137"/>
      <c r="HEN65" s="137"/>
      <c r="HEO65" s="137"/>
      <c r="HEP65" s="137"/>
      <c r="HEQ65" s="137"/>
      <c r="HER65" s="137"/>
      <c r="HES65" s="137"/>
      <c r="HET65" s="137"/>
      <c r="HEU65" s="137"/>
      <c r="HEV65" s="137"/>
      <c r="HEW65" s="137"/>
      <c r="HEX65" s="137"/>
      <c r="HEY65" s="137"/>
      <c r="HEZ65" s="137"/>
      <c r="HFA65" s="137"/>
      <c r="HFB65" s="137"/>
      <c r="HFC65" s="137"/>
      <c r="HFD65" s="137"/>
      <c r="HFE65" s="137"/>
      <c r="HFF65" s="137"/>
      <c r="HFG65" s="137"/>
      <c r="HFH65" s="137"/>
      <c r="HFI65" s="137"/>
      <c r="HFJ65" s="137"/>
      <c r="HFK65" s="137"/>
      <c r="HFL65" s="137"/>
      <c r="HFM65" s="137"/>
      <c r="HFN65" s="137"/>
      <c r="HFO65" s="137"/>
      <c r="HFP65" s="137"/>
      <c r="HFQ65" s="137"/>
      <c r="HFR65" s="137"/>
      <c r="HFS65" s="137"/>
      <c r="HFT65" s="137"/>
      <c r="HFU65" s="137"/>
      <c r="HFV65" s="137"/>
      <c r="HFW65" s="137"/>
      <c r="HFX65" s="137"/>
      <c r="HFY65" s="137"/>
      <c r="HFZ65" s="137"/>
      <c r="HGA65" s="137"/>
      <c r="HGB65" s="137"/>
      <c r="HGC65" s="137"/>
      <c r="HGD65" s="137"/>
      <c r="HGE65" s="137"/>
      <c r="HGF65" s="137"/>
      <c r="HGG65" s="137"/>
      <c r="HGH65" s="137"/>
      <c r="HGI65" s="137"/>
      <c r="HGJ65" s="137"/>
      <c r="HGK65" s="137"/>
      <c r="HGL65" s="137"/>
      <c r="HGM65" s="137"/>
      <c r="HGN65" s="137"/>
      <c r="HGO65" s="137"/>
      <c r="HGP65" s="137"/>
      <c r="HGQ65" s="137"/>
      <c r="HGR65" s="137"/>
      <c r="HGS65" s="137"/>
      <c r="HGT65" s="137"/>
      <c r="HGU65" s="137"/>
      <c r="HGV65" s="137"/>
      <c r="HGW65" s="137"/>
      <c r="HGX65" s="137"/>
      <c r="HGY65" s="137"/>
      <c r="HGZ65" s="137"/>
      <c r="HHA65" s="137"/>
      <c r="HHB65" s="137"/>
      <c r="HHC65" s="137"/>
      <c r="HHD65" s="137"/>
      <c r="HHE65" s="137"/>
      <c r="HHF65" s="137"/>
      <c r="HHG65" s="137"/>
      <c r="HHH65" s="137"/>
      <c r="HHI65" s="137"/>
      <c r="HHJ65" s="137"/>
      <c r="HHK65" s="137"/>
      <c r="HHL65" s="137"/>
      <c r="HHM65" s="137"/>
      <c r="HHN65" s="137"/>
      <c r="HHO65" s="137"/>
      <c r="HHP65" s="137"/>
      <c r="HHQ65" s="137"/>
      <c r="HHR65" s="137"/>
      <c r="HHS65" s="137"/>
      <c r="HHT65" s="137"/>
      <c r="HHU65" s="137"/>
      <c r="HHV65" s="137"/>
      <c r="HHW65" s="137"/>
      <c r="HHX65" s="137"/>
      <c r="HHY65" s="137"/>
      <c r="HHZ65" s="137"/>
      <c r="HIA65" s="137"/>
      <c r="HIB65" s="137"/>
      <c r="HIC65" s="137"/>
      <c r="HID65" s="137"/>
      <c r="HIE65" s="137"/>
      <c r="HIF65" s="137"/>
      <c r="HIG65" s="137"/>
      <c r="HIH65" s="137"/>
      <c r="HII65" s="137"/>
      <c r="HIJ65" s="137"/>
      <c r="HIK65" s="137"/>
      <c r="HIL65" s="137"/>
      <c r="HIM65" s="137"/>
      <c r="HIN65" s="137"/>
      <c r="HIO65" s="137"/>
      <c r="HIP65" s="137"/>
      <c r="HIQ65" s="137"/>
      <c r="HIR65" s="137"/>
      <c r="HIS65" s="137"/>
      <c r="HIT65" s="137"/>
      <c r="HIU65" s="137"/>
      <c r="HIV65" s="137"/>
      <c r="HIW65" s="137"/>
      <c r="HIX65" s="137"/>
      <c r="HIY65" s="137"/>
      <c r="HIZ65" s="137"/>
      <c r="HJA65" s="137"/>
      <c r="HJB65" s="137"/>
      <c r="HJC65" s="137"/>
      <c r="HJD65" s="137"/>
      <c r="HJE65" s="137"/>
      <c r="HJF65" s="137"/>
      <c r="HJG65" s="137"/>
      <c r="HJH65" s="137"/>
      <c r="HJI65" s="137"/>
      <c r="HJJ65" s="137"/>
      <c r="HJK65" s="137"/>
      <c r="HJL65" s="137"/>
      <c r="HJM65" s="137"/>
      <c r="HJN65" s="137"/>
      <c r="HJO65" s="137"/>
      <c r="HJP65" s="137"/>
      <c r="HJQ65" s="137"/>
      <c r="HJR65" s="137"/>
      <c r="HJS65" s="137"/>
      <c r="HJT65" s="137"/>
      <c r="HJU65" s="137"/>
      <c r="HJV65" s="137"/>
      <c r="HJW65" s="137"/>
      <c r="HJX65" s="137"/>
      <c r="HJY65" s="137"/>
      <c r="HJZ65" s="137"/>
      <c r="HKA65" s="137"/>
      <c r="HKB65" s="137"/>
      <c r="HKC65" s="137"/>
      <c r="HKD65" s="137"/>
      <c r="HKE65" s="137"/>
      <c r="HKF65" s="137"/>
      <c r="HKG65" s="137"/>
      <c r="HKH65" s="137"/>
      <c r="HKI65" s="137"/>
      <c r="HKJ65" s="137"/>
      <c r="HKK65" s="137"/>
      <c r="HKL65" s="137"/>
      <c r="HKM65" s="137"/>
      <c r="HKN65" s="137"/>
      <c r="HKO65" s="137"/>
      <c r="HKP65" s="137"/>
      <c r="HKQ65" s="137"/>
      <c r="HKR65" s="137"/>
      <c r="HKS65" s="137"/>
      <c r="HKT65" s="137"/>
      <c r="HKU65" s="137"/>
      <c r="HKV65" s="137"/>
      <c r="HKW65" s="137"/>
      <c r="HKX65" s="137"/>
      <c r="HKY65" s="137"/>
      <c r="HKZ65" s="137"/>
      <c r="HLA65" s="137"/>
      <c r="HLB65" s="137"/>
      <c r="HLC65" s="137"/>
      <c r="HLD65" s="137"/>
      <c r="HLE65" s="137"/>
      <c r="HLF65" s="137"/>
      <c r="HLG65" s="137"/>
      <c r="HLH65" s="137"/>
      <c r="HLI65" s="137"/>
      <c r="HLJ65" s="137"/>
      <c r="HLK65" s="137"/>
      <c r="HLL65" s="137"/>
      <c r="HLM65" s="137"/>
      <c r="HLN65" s="137"/>
      <c r="HLO65" s="137"/>
      <c r="HLP65" s="137"/>
      <c r="HLQ65" s="137"/>
      <c r="HLR65" s="137"/>
      <c r="HLS65" s="137"/>
      <c r="HLT65" s="137"/>
      <c r="HLU65" s="137"/>
      <c r="HLV65" s="137"/>
      <c r="HLW65" s="137"/>
      <c r="HLX65" s="137"/>
      <c r="HLY65" s="137"/>
      <c r="HLZ65" s="137"/>
      <c r="HMA65" s="137"/>
      <c r="HMB65" s="137"/>
      <c r="HMC65" s="137"/>
      <c r="HMD65" s="137"/>
      <c r="HME65" s="137"/>
      <c r="HMF65" s="137"/>
      <c r="HMG65" s="137"/>
      <c r="HMH65" s="137"/>
      <c r="HMI65" s="137"/>
      <c r="HMJ65" s="137"/>
      <c r="HMK65" s="137"/>
      <c r="HML65" s="137"/>
      <c r="HMM65" s="137"/>
      <c r="HMN65" s="137"/>
      <c r="HMO65" s="137"/>
      <c r="HMP65" s="137"/>
      <c r="HMQ65" s="137"/>
      <c r="HMR65" s="137"/>
      <c r="HMS65" s="137"/>
      <c r="HMT65" s="137"/>
      <c r="HMU65" s="137"/>
      <c r="HMV65" s="137"/>
      <c r="HMW65" s="137"/>
      <c r="HMX65" s="137"/>
      <c r="HMY65" s="137"/>
      <c r="HMZ65" s="137"/>
      <c r="HNA65" s="137"/>
      <c r="HNB65" s="137"/>
      <c r="HNC65" s="137"/>
      <c r="HND65" s="137"/>
      <c r="HNE65" s="137"/>
      <c r="HNF65" s="137"/>
      <c r="HNG65" s="137"/>
      <c r="HNH65" s="137"/>
      <c r="HNI65" s="137"/>
      <c r="HNJ65" s="137"/>
      <c r="HNK65" s="137"/>
      <c r="HNL65" s="137"/>
      <c r="HNM65" s="137"/>
      <c r="HNN65" s="137"/>
      <c r="HNO65" s="137"/>
      <c r="HNP65" s="137"/>
      <c r="HNQ65" s="137"/>
      <c r="HNR65" s="137"/>
      <c r="HNS65" s="137"/>
      <c r="HNT65" s="137"/>
      <c r="HNU65" s="137"/>
      <c r="HNV65" s="137"/>
      <c r="HNW65" s="137"/>
      <c r="HNX65" s="137"/>
      <c r="HNY65" s="137"/>
      <c r="HNZ65" s="137"/>
      <c r="HOA65" s="137"/>
      <c r="HOB65" s="137"/>
      <c r="HOC65" s="137"/>
      <c r="HOD65" s="137"/>
      <c r="HOE65" s="137"/>
      <c r="HOF65" s="137"/>
      <c r="HOG65" s="137"/>
      <c r="HOH65" s="137"/>
      <c r="HOI65" s="137"/>
      <c r="HOJ65" s="137"/>
      <c r="HOK65" s="137"/>
      <c r="HOL65" s="137"/>
      <c r="HOM65" s="137"/>
      <c r="HON65" s="137"/>
      <c r="HOO65" s="137"/>
      <c r="HOP65" s="137"/>
      <c r="HOQ65" s="137"/>
      <c r="HOR65" s="137"/>
      <c r="HOS65" s="137"/>
      <c r="HOT65" s="137"/>
      <c r="HOU65" s="137"/>
      <c r="HOV65" s="137"/>
      <c r="HOW65" s="137"/>
      <c r="HOX65" s="137"/>
      <c r="HOY65" s="137"/>
      <c r="HOZ65" s="137"/>
      <c r="HPA65" s="137"/>
      <c r="HPB65" s="137"/>
      <c r="HPC65" s="137"/>
      <c r="HPD65" s="137"/>
      <c r="HPE65" s="137"/>
      <c r="HPF65" s="137"/>
      <c r="HPG65" s="137"/>
      <c r="HPH65" s="137"/>
      <c r="HPI65" s="137"/>
      <c r="HPJ65" s="137"/>
      <c r="HPK65" s="137"/>
      <c r="HPL65" s="137"/>
      <c r="HPM65" s="137"/>
      <c r="HPN65" s="137"/>
      <c r="HPO65" s="137"/>
      <c r="HPP65" s="137"/>
      <c r="HPQ65" s="137"/>
      <c r="HPR65" s="137"/>
      <c r="HPS65" s="137"/>
      <c r="HPT65" s="137"/>
      <c r="HPU65" s="137"/>
      <c r="HPV65" s="137"/>
      <c r="HPW65" s="137"/>
      <c r="HPX65" s="137"/>
      <c r="HPY65" s="137"/>
      <c r="HPZ65" s="137"/>
      <c r="HQA65" s="137"/>
      <c r="HQB65" s="137"/>
      <c r="HQC65" s="137"/>
      <c r="HQD65" s="137"/>
      <c r="HQE65" s="137"/>
      <c r="HQF65" s="137"/>
      <c r="HQG65" s="137"/>
      <c r="HQH65" s="137"/>
      <c r="HQI65" s="137"/>
      <c r="HQJ65" s="137"/>
      <c r="HQK65" s="137"/>
      <c r="HQL65" s="137"/>
      <c r="HQM65" s="137"/>
      <c r="HQN65" s="137"/>
      <c r="HQO65" s="137"/>
      <c r="HQP65" s="137"/>
      <c r="HQQ65" s="137"/>
      <c r="HQR65" s="137"/>
      <c r="HQS65" s="137"/>
      <c r="HQT65" s="137"/>
      <c r="HQU65" s="137"/>
      <c r="HQV65" s="137"/>
      <c r="HQW65" s="137"/>
      <c r="HQX65" s="137"/>
      <c r="HQY65" s="137"/>
      <c r="HQZ65" s="137"/>
      <c r="HRA65" s="137"/>
      <c r="HRB65" s="137"/>
      <c r="HRC65" s="137"/>
      <c r="HRD65" s="137"/>
      <c r="HRE65" s="137"/>
      <c r="HRF65" s="137"/>
      <c r="HRG65" s="137"/>
      <c r="HRH65" s="137"/>
      <c r="HRI65" s="137"/>
      <c r="HRJ65" s="137"/>
      <c r="HRK65" s="137"/>
      <c r="HRL65" s="137"/>
      <c r="HRM65" s="137"/>
      <c r="HRN65" s="137"/>
      <c r="HRO65" s="137"/>
      <c r="HRP65" s="137"/>
      <c r="HRQ65" s="137"/>
      <c r="HRR65" s="137"/>
      <c r="HRS65" s="137"/>
      <c r="HRT65" s="137"/>
      <c r="HRU65" s="137"/>
      <c r="HRV65" s="137"/>
      <c r="HRW65" s="137"/>
      <c r="HRX65" s="137"/>
      <c r="HRY65" s="137"/>
      <c r="HRZ65" s="137"/>
      <c r="HSA65" s="137"/>
      <c r="HSB65" s="137"/>
      <c r="HSC65" s="137"/>
      <c r="HSD65" s="137"/>
      <c r="HSE65" s="137"/>
      <c r="HSF65" s="137"/>
      <c r="HSG65" s="137"/>
      <c r="HSH65" s="137"/>
      <c r="HSI65" s="137"/>
      <c r="HSJ65" s="137"/>
      <c r="HSK65" s="137"/>
      <c r="HSL65" s="137"/>
      <c r="HSM65" s="137"/>
      <c r="HSN65" s="137"/>
      <c r="HSO65" s="137"/>
      <c r="HSP65" s="137"/>
      <c r="HSQ65" s="137"/>
      <c r="HSR65" s="137"/>
      <c r="HSS65" s="137"/>
      <c r="HST65" s="137"/>
      <c r="HSU65" s="137"/>
      <c r="HSV65" s="137"/>
      <c r="HSW65" s="137"/>
      <c r="HSX65" s="137"/>
      <c r="HSY65" s="137"/>
      <c r="HSZ65" s="137"/>
      <c r="HTA65" s="137"/>
      <c r="HTB65" s="137"/>
      <c r="HTC65" s="137"/>
      <c r="HTD65" s="137"/>
      <c r="HTE65" s="137"/>
      <c r="HTF65" s="137"/>
      <c r="HTG65" s="137"/>
      <c r="HTH65" s="137"/>
      <c r="HTI65" s="137"/>
      <c r="HTJ65" s="137"/>
      <c r="HTK65" s="137"/>
      <c r="HTL65" s="137"/>
      <c r="HTM65" s="137"/>
      <c r="HTN65" s="137"/>
      <c r="HTO65" s="137"/>
      <c r="HTP65" s="137"/>
      <c r="HTQ65" s="137"/>
      <c r="HTR65" s="137"/>
      <c r="HTS65" s="137"/>
      <c r="HTT65" s="137"/>
      <c r="HTU65" s="137"/>
      <c r="HTV65" s="137"/>
      <c r="HTW65" s="137"/>
      <c r="HTX65" s="137"/>
      <c r="HTY65" s="137"/>
      <c r="HTZ65" s="137"/>
      <c r="HUA65" s="137"/>
      <c r="HUB65" s="137"/>
      <c r="HUC65" s="137"/>
      <c r="HUD65" s="137"/>
      <c r="HUE65" s="137"/>
      <c r="HUF65" s="137"/>
      <c r="HUG65" s="137"/>
      <c r="HUH65" s="137"/>
      <c r="HUI65" s="137"/>
      <c r="HUJ65" s="137"/>
      <c r="HUK65" s="137"/>
      <c r="HUL65" s="137"/>
      <c r="HUM65" s="137"/>
      <c r="HUN65" s="137"/>
      <c r="HUO65" s="137"/>
      <c r="HUP65" s="137"/>
      <c r="HUQ65" s="137"/>
      <c r="HUR65" s="137"/>
      <c r="HUS65" s="137"/>
      <c r="HUT65" s="137"/>
      <c r="HUU65" s="137"/>
      <c r="HUV65" s="137"/>
      <c r="HUW65" s="137"/>
      <c r="HUX65" s="137"/>
      <c r="HUY65" s="137"/>
      <c r="HUZ65" s="137"/>
      <c r="HVA65" s="137"/>
      <c r="HVB65" s="137"/>
      <c r="HVC65" s="137"/>
      <c r="HVD65" s="137"/>
      <c r="HVE65" s="137"/>
      <c r="HVF65" s="137"/>
      <c r="HVG65" s="137"/>
      <c r="HVH65" s="137"/>
      <c r="HVI65" s="137"/>
      <c r="HVJ65" s="137"/>
      <c r="HVK65" s="137"/>
      <c r="HVL65" s="137"/>
      <c r="HVM65" s="137"/>
      <c r="HVN65" s="137"/>
      <c r="HVO65" s="137"/>
      <c r="HVP65" s="137"/>
      <c r="HVQ65" s="137"/>
      <c r="HVR65" s="137"/>
      <c r="HVS65" s="137"/>
      <c r="HVT65" s="137"/>
      <c r="HVU65" s="137"/>
      <c r="HVV65" s="137"/>
      <c r="HVW65" s="137"/>
      <c r="HVX65" s="137"/>
      <c r="HVY65" s="137"/>
      <c r="HVZ65" s="137"/>
      <c r="HWA65" s="137"/>
      <c r="HWB65" s="137"/>
      <c r="HWC65" s="137"/>
      <c r="HWD65" s="137"/>
      <c r="HWE65" s="137"/>
      <c r="HWF65" s="137"/>
      <c r="HWG65" s="137"/>
      <c r="HWH65" s="137"/>
      <c r="HWI65" s="137"/>
      <c r="HWJ65" s="137"/>
      <c r="HWK65" s="137"/>
      <c r="HWL65" s="137"/>
      <c r="HWM65" s="137"/>
      <c r="HWN65" s="137"/>
      <c r="HWO65" s="137"/>
      <c r="HWP65" s="137"/>
      <c r="HWQ65" s="137"/>
      <c r="HWR65" s="137"/>
      <c r="HWS65" s="137"/>
      <c r="HWT65" s="137"/>
      <c r="HWU65" s="137"/>
      <c r="HWV65" s="137"/>
      <c r="HWW65" s="137"/>
      <c r="HWX65" s="137"/>
      <c r="HWY65" s="137"/>
      <c r="HWZ65" s="137"/>
      <c r="HXA65" s="137"/>
      <c r="HXB65" s="137"/>
      <c r="HXC65" s="137"/>
      <c r="HXD65" s="137"/>
      <c r="HXE65" s="137"/>
      <c r="HXF65" s="137"/>
      <c r="HXG65" s="137"/>
      <c r="HXH65" s="137"/>
      <c r="HXI65" s="137"/>
      <c r="HXJ65" s="137"/>
      <c r="HXK65" s="137"/>
      <c r="HXL65" s="137"/>
      <c r="HXM65" s="137"/>
      <c r="HXN65" s="137"/>
      <c r="HXO65" s="137"/>
      <c r="HXP65" s="137"/>
      <c r="HXQ65" s="137"/>
      <c r="HXR65" s="137"/>
      <c r="HXS65" s="137"/>
      <c r="HXT65" s="137"/>
      <c r="HXU65" s="137"/>
      <c r="HXV65" s="137"/>
      <c r="HXW65" s="137"/>
      <c r="HXX65" s="137"/>
      <c r="HXY65" s="137"/>
      <c r="HXZ65" s="137"/>
      <c r="HYA65" s="137"/>
      <c r="HYB65" s="137"/>
      <c r="HYC65" s="137"/>
      <c r="HYD65" s="137"/>
      <c r="HYE65" s="137"/>
      <c r="HYF65" s="137"/>
      <c r="HYG65" s="137"/>
      <c r="HYH65" s="137"/>
      <c r="HYI65" s="137"/>
      <c r="HYJ65" s="137"/>
      <c r="HYK65" s="137"/>
      <c r="HYL65" s="137"/>
      <c r="HYM65" s="137"/>
      <c r="HYN65" s="137"/>
      <c r="HYO65" s="137"/>
      <c r="HYP65" s="137"/>
      <c r="HYQ65" s="137"/>
      <c r="HYR65" s="137"/>
      <c r="HYS65" s="137"/>
      <c r="HYT65" s="137"/>
      <c r="HYU65" s="137"/>
      <c r="HYV65" s="137"/>
      <c r="HYW65" s="137"/>
      <c r="HYX65" s="137"/>
      <c r="HYY65" s="137"/>
      <c r="HYZ65" s="137"/>
      <c r="HZA65" s="137"/>
      <c r="HZB65" s="137"/>
      <c r="HZC65" s="137"/>
      <c r="HZD65" s="137"/>
      <c r="HZE65" s="137"/>
      <c r="HZF65" s="137"/>
      <c r="HZG65" s="137"/>
      <c r="HZH65" s="137"/>
      <c r="HZI65" s="137"/>
      <c r="HZJ65" s="137"/>
      <c r="HZK65" s="137"/>
      <c r="HZL65" s="137"/>
      <c r="HZM65" s="137"/>
      <c r="HZN65" s="137"/>
      <c r="HZO65" s="137"/>
      <c r="HZP65" s="137"/>
      <c r="HZQ65" s="137"/>
      <c r="HZR65" s="137"/>
      <c r="HZS65" s="137"/>
      <c r="HZT65" s="137"/>
      <c r="HZU65" s="137"/>
      <c r="HZV65" s="137"/>
      <c r="HZW65" s="137"/>
      <c r="HZX65" s="137"/>
      <c r="HZY65" s="137"/>
      <c r="HZZ65" s="137"/>
      <c r="IAA65" s="137"/>
      <c r="IAB65" s="137"/>
      <c r="IAC65" s="137"/>
      <c r="IAD65" s="137"/>
      <c r="IAE65" s="137"/>
      <c r="IAF65" s="137"/>
      <c r="IAG65" s="137"/>
      <c r="IAH65" s="137"/>
      <c r="IAI65" s="137"/>
      <c r="IAJ65" s="137"/>
      <c r="IAK65" s="137"/>
      <c r="IAL65" s="137"/>
      <c r="IAM65" s="137"/>
      <c r="IAN65" s="137"/>
      <c r="IAO65" s="137"/>
      <c r="IAP65" s="137"/>
      <c r="IAQ65" s="137"/>
      <c r="IAR65" s="137"/>
      <c r="IAS65" s="137"/>
      <c r="IAT65" s="137"/>
      <c r="IAU65" s="137"/>
      <c r="IAV65" s="137"/>
      <c r="IAW65" s="137"/>
      <c r="IAX65" s="137"/>
      <c r="IAY65" s="137"/>
      <c r="IAZ65" s="137"/>
      <c r="IBA65" s="137"/>
      <c r="IBB65" s="137"/>
      <c r="IBC65" s="137"/>
      <c r="IBD65" s="137"/>
      <c r="IBE65" s="137"/>
      <c r="IBF65" s="137"/>
      <c r="IBG65" s="137"/>
      <c r="IBH65" s="137"/>
      <c r="IBI65" s="137"/>
      <c r="IBJ65" s="137"/>
      <c r="IBK65" s="137"/>
      <c r="IBL65" s="137"/>
      <c r="IBM65" s="137"/>
      <c r="IBN65" s="137"/>
      <c r="IBO65" s="137"/>
      <c r="IBP65" s="137"/>
      <c r="IBQ65" s="137"/>
      <c r="IBR65" s="137"/>
      <c r="IBS65" s="137"/>
      <c r="IBT65" s="137"/>
      <c r="IBU65" s="137"/>
      <c r="IBV65" s="137"/>
      <c r="IBW65" s="137"/>
      <c r="IBX65" s="137"/>
      <c r="IBY65" s="137"/>
      <c r="IBZ65" s="137"/>
      <c r="ICA65" s="137"/>
      <c r="ICB65" s="137"/>
      <c r="ICC65" s="137"/>
      <c r="ICD65" s="137"/>
      <c r="ICE65" s="137"/>
      <c r="ICF65" s="137"/>
      <c r="ICG65" s="137"/>
      <c r="ICH65" s="137"/>
      <c r="ICI65" s="137"/>
      <c r="ICJ65" s="137"/>
      <c r="ICK65" s="137"/>
      <c r="ICL65" s="137"/>
      <c r="ICM65" s="137"/>
      <c r="ICN65" s="137"/>
      <c r="ICO65" s="137"/>
      <c r="ICP65" s="137"/>
      <c r="ICQ65" s="137"/>
      <c r="ICR65" s="137"/>
      <c r="ICS65" s="137"/>
      <c r="ICT65" s="137"/>
      <c r="ICU65" s="137"/>
      <c r="ICV65" s="137"/>
      <c r="ICW65" s="137"/>
      <c r="ICX65" s="137"/>
      <c r="ICY65" s="137"/>
      <c r="ICZ65" s="137"/>
      <c r="IDA65" s="137"/>
      <c r="IDB65" s="137"/>
      <c r="IDC65" s="137"/>
      <c r="IDD65" s="137"/>
      <c r="IDE65" s="137"/>
      <c r="IDF65" s="137"/>
      <c r="IDG65" s="137"/>
      <c r="IDH65" s="137"/>
      <c r="IDI65" s="137"/>
      <c r="IDJ65" s="137"/>
      <c r="IDK65" s="137"/>
      <c r="IDL65" s="137"/>
      <c r="IDM65" s="137"/>
      <c r="IDN65" s="137"/>
      <c r="IDO65" s="137"/>
      <c r="IDP65" s="137"/>
      <c r="IDQ65" s="137"/>
      <c r="IDR65" s="137"/>
      <c r="IDS65" s="137"/>
      <c r="IDT65" s="137"/>
      <c r="IDU65" s="137"/>
      <c r="IDV65" s="137"/>
      <c r="IDW65" s="137"/>
      <c r="IDX65" s="137"/>
      <c r="IDY65" s="137"/>
      <c r="IDZ65" s="137"/>
      <c r="IEA65" s="137"/>
      <c r="IEB65" s="137"/>
      <c r="IEC65" s="137"/>
      <c r="IED65" s="137"/>
      <c r="IEE65" s="137"/>
      <c r="IEF65" s="137"/>
      <c r="IEG65" s="137"/>
      <c r="IEH65" s="137"/>
      <c r="IEI65" s="137"/>
      <c r="IEJ65" s="137"/>
      <c r="IEK65" s="137"/>
      <c r="IEL65" s="137"/>
      <c r="IEM65" s="137"/>
      <c r="IEN65" s="137"/>
      <c r="IEO65" s="137"/>
      <c r="IEP65" s="137"/>
      <c r="IEQ65" s="137"/>
      <c r="IER65" s="137"/>
      <c r="IES65" s="137"/>
      <c r="IET65" s="137"/>
      <c r="IEU65" s="137"/>
      <c r="IEV65" s="137"/>
      <c r="IEW65" s="137"/>
      <c r="IEX65" s="137"/>
      <c r="IEY65" s="137"/>
      <c r="IEZ65" s="137"/>
      <c r="IFA65" s="137"/>
      <c r="IFB65" s="137"/>
      <c r="IFC65" s="137"/>
      <c r="IFD65" s="137"/>
      <c r="IFE65" s="137"/>
      <c r="IFF65" s="137"/>
      <c r="IFG65" s="137"/>
      <c r="IFH65" s="137"/>
      <c r="IFI65" s="137"/>
      <c r="IFJ65" s="137"/>
      <c r="IFK65" s="137"/>
      <c r="IFL65" s="137"/>
      <c r="IFM65" s="137"/>
      <c r="IFN65" s="137"/>
      <c r="IFO65" s="137"/>
      <c r="IFP65" s="137"/>
      <c r="IFQ65" s="137"/>
      <c r="IFR65" s="137"/>
      <c r="IFS65" s="137"/>
      <c r="IFT65" s="137"/>
      <c r="IFU65" s="137"/>
      <c r="IFV65" s="137"/>
      <c r="IFW65" s="137"/>
      <c r="IFX65" s="137"/>
      <c r="IFY65" s="137"/>
      <c r="IFZ65" s="137"/>
      <c r="IGA65" s="137"/>
      <c r="IGB65" s="137"/>
      <c r="IGC65" s="137"/>
      <c r="IGD65" s="137"/>
      <c r="IGE65" s="137"/>
      <c r="IGF65" s="137"/>
      <c r="IGG65" s="137"/>
      <c r="IGH65" s="137"/>
      <c r="IGI65" s="137"/>
      <c r="IGJ65" s="137"/>
      <c r="IGK65" s="137"/>
      <c r="IGL65" s="137"/>
      <c r="IGM65" s="137"/>
      <c r="IGN65" s="137"/>
      <c r="IGO65" s="137"/>
      <c r="IGP65" s="137"/>
      <c r="IGQ65" s="137"/>
      <c r="IGR65" s="137"/>
      <c r="IGS65" s="137"/>
      <c r="IGT65" s="137"/>
      <c r="IGU65" s="137"/>
      <c r="IGV65" s="137"/>
      <c r="IGW65" s="137"/>
      <c r="IGX65" s="137"/>
      <c r="IGY65" s="137"/>
      <c r="IGZ65" s="137"/>
      <c r="IHA65" s="137"/>
      <c r="IHB65" s="137"/>
      <c r="IHC65" s="137"/>
      <c r="IHD65" s="137"/>
      <c r="IHE65" s="137"/>
      <c r="IHF65" s="137"/>
      <c r="IHG65" s="137"/>
      <c r="IHH65" s="137"/>
      <c r="IHI65" s="137"/>
      <c r="IHJ65" s="137"/>
      <c r="IHK65" s="137"/>
      <c r="IHL65" s="137"/>
      <c r="IHM65" s="137"/>
      <c r="IHN65" s="137"/>
      <c r="IHO65" s="137"/>
      <c r="IHP65" s="137"/>
      <c r="IHQ65" s="137"/>
      <c r="IHR65" s="137"/>
      <c r="IHS65" s="137"/>
      <c r="IHT65" s="137"/>
      <c r="IHU65" s="137"/>
      <c r="IHV65" s="137"/>
      <c r="IHW65" s="137"/>
      <c r="IHX65" s="137"/>
      <c r="IHY65" s="137"/>
      <c r="IHZ65" s="137"/>
      <c r="IIA65" s="137"/>
      <c r="IIB65" s="137"/>
      <c r="IIC65" s="137"/>
      <c r="IID65" s="137"/>
      <c r="IIE65" s="137"/>
      <c r="IIF65" s="137"/>
      <c r="IIG65" s="137"/>
      <c r="IIH65" s="137"/>
      <c r="III65" s="137"/>
      <c r="IIJ65" s="137"/>
      <c r="IIK65" s="137"/>
      <c r="IIL65" s="137"/>
      <c r="IIM65" s="137"/>
      <c r="IIN65" s="137"/>
      <c r="IIO65" s="137"/>
      <c r="IIP65" s="137"/>
      <c r="IIQ65" s="137"/>
      <c r="IIR65" s="137"/>
      <c r="IIS65" s="137"/>
      <c r="IIT65" s="137"/>
      <c r="IIU65" s="137"/>
      <c r="IIV65" s="137"/>
      <c r="IIW65" s="137"/>
      <c r="IIX65" s="137"/>
      <c r="IIY65" s="137"/>
      <c r="IIZ65" s="137"/>
      <c r="IJA65" s="137"/>
      <c r="IJB65" s="137"/>
      <c r="IJC65" s="137"/>
      <c r="IJD65" s="137"/>
      <c r="IJE65" s="137"/>
      <c r="IJF65" s="137"/>
      <c r="IJG65" s="137"/>
      <c r="IJH65" s="137"/>
      <c r="IJI65" s="137"/>
      <c r="IJJ65" s="137"/>
      <c r="IJK65" s="137"/>
      <c r="IJL65" s="137"/>
      <c r="IJM65" s="137"/>
      <c r="IJN65" s="137"/>
      <c r="IJO65" s="137"/>
      <c r="IJP65" s="137"/>
      <c r="IJQ65" s="137"/>
      <c r="IJR65" s="137"/>
      <c r="IJS65" s="137"/>
      <c r="IJT65" s="137"/>
      <c r="IJU65" s="137"/>
      <c r="IJV65" s="137"/>
      <c r="IJW65" s="137"/>
      <c r="IJX65" s="137"/>
      <c r="IJY65" s="137"/>
      <c r="IJZ65" s="137"/>
      <c r="IKA65" s="137"/>
      <c r="IKB65" s="137"/>
      <c r="IKC65" s="137"/>
      <c r="IKD65" s="137"/>
      <c r="IKE65" s="137"/>
      <c r="IKF65" s="137"/>
      <c r="IKG65" s="137"/>
      <c r="IKH65" s="137"/>
      <c r="IKI65" s="137"/>
      <c r="IKJ65" s="137"/>
      <c r="IKK65" s="137"/>
      <c r="IKL65" s="137"/>
      <c r="IKM65" s="137"/>
      <c r="IKN65" s="137"/>
      <c r="IKO65" s="137"/>
      <c r="IKP65" s="137"/>
      <c r="IKQ65" s="137"/>
      <c r="IKR65" s="137"/>
      <c r="IKS65" s="137"/>
      <c r="IKT65" s="137"/>
      <c r="IKU65" s="137"/>
      <c r="IKV65" s="137"/>
      <c r="IKW65" s="137"/>
      <c r="IKX65" s="137"/>
      <c r="IKY65" s="137"/>
      <c r="IKZ65" s="137"/>
      <c r="ILA65" s="137"/>
      <c r="ILB65" s="137"/>
      <c r="ILC65" s="137"/>
      <c r="ILD65" s="137"/>
      <c r="ILE65" s="137"/>
      <c r="ILF65" s="137"/>
      <c r="ILG65" s="137"/>
      <c r="ILH65" s="137"/>
      <c r="ILI65" s="137"/>
      <c r="ILJ65" s="137"/>
      <c r="ILK65" s="137"/>
      <c r="ILL65" s="137"/>
      <c r="ILM65" s="137"/>
      <c r="ILN65" s="137"/>
      <c r="ILO65" s="137"/>
      <c r="ILP65" s="137"/>
      <c r="ILQ65" s="137"/>
      <c r="ILR65" s="137"/>
      <c r="ILS65" s="137"/>
      <c r="ILT65" s="137"/>
      <c r="ILU65" s="137"/>
      <c r="ILV65" s="137"/>
      <c r="ILW65" s="137"/>
      <c r="ILX65" s="137"/>
      <c r="ILY65" s="137"/>
      <c r="ILZ65" s="137"/>
      <c r="IMA65" s="137"/>
      <c r="IMB65" s="137"/>
      <c r="IMC65" s="137"/>
      <c r="IMD65" s="137"/>
      <c r="IME65" s="137"/>
      <c r="IMF65" s="137"/>
      <c r="IMG65" s="137"/>
      <c r="IMH65" s="137"/>
      <c r="IMI65" s="137"/>
      <c r="IMJ65" s="137"/>
      <c r="IMK65" s="137"/>
      <c r="IML65" s="137"/>
      <c r="IMM65" s="137"/>
      <c r="IMN65" s="137"/>
      <c r="IMO65" s="137"/>
      <c r="IMP65" s="137"/>
      <c r="IMQ65" s="137"/>
      <c r="IMR65" s="137"/>
      <c r="IMS65" s="137"/>
      <c r="IMT65" s="137"/>
      <c r="IMU65" s="137"/>
      <c r="IMV65" s="137"/>
      <c r="IMW65" s="137"/>
      <c r="IMX65" s="137"/>
      <c r="IMY65" s="137"/>
      <c r="IMZ65" s="137"/>
      <c r="INA65" s="137"/>
      <c r="INB65" s="137"/>
      <c r="INC65" s="137"/>
      <c r="IND65" s="137"/>
      <c r="INE65" s="137"/>
      <c r="INF65" s="137"/>
      <c r="ING65" s="137"/>
      <c r="INH65" s="137"/>
      <c r="INI65" s="137"/>
      <c r="INJ65" s="137"/>
      <c r="INK65" s="137"/>
      <c r="INL65" s="137"/>
      <c r="INM65" s="137"/>
      <c r="INN65" s="137"/>
      <c r="INO65" s="137"/>
      <c r="INP65" s="137"/>
      <c r="INQ65" s="137"/>
      <c r="INR65" s="137"/>
      <c r="INS65" s="137"/>
      <c r="INT65" s="137"/>
      <c r="INU65" s="137"/>
      <c r="INV65" s="137"/>
      <c r="INW65" s="137"/>
      <c r="INX65" s="137"/>
      <c r="INY65" s="137"/>
      <c r="INZ65" s="137"/>
      <c r="IOA65" s="137"/>
      <c r="IOB65" s="137"/>
      <c r="IOC65" s="137"/>
      <c r="IOD65" s="137"/>
      <c r="IOE65" s="137"/>
      <c r="IOF65" s="137"/>
      <c r="IOG65" s="137"/>
      <c r="IOH65" s="137"/>
      <c r="IOI65" s="137"/>
      <c r="IOJ65" s="137"/>
      <c r="IOK65" s="137"/>
      <c r="IOL65" s="137"/>
      <c r="IOM65" s="137"/>
      <c r="ION65" s="137"/>
      <c r="IOO65" s="137"/>
      <c r="IOP65" s="137"/>
      <c r="IOQ65" s="137"/>
      <c r="IOR65" s="137"/>
      <c r="IOS65" s="137"/>
      <c r="IOT65" s="137"/>
      <c r="IOU65" s="137"/>
      <c r="IOV65" s="137"/>
      <c r="IOW65" s="137"/>
      <c r="IOX65" s="137"/>
      <c r="IOY65" s="137"/>
      <c r="IOZ65" s="137"/>
      <c r="IPA65" s="137"/>
      <c r="IPB65" s="137"/>
      <c r="IPC65" s="137"/>
      <c r="IPD65" s="137"/>
      <c r="IPE65" s="137"/>
      <c r="IPF65" s="137"/>
      <c r="IPG65" s="137"/>
      <c r="IPH65" s="137"/>
      <c r="IPI65" s="137"/>
      <c r="IPJ65" s="137"/>
      <c r="IPK65" s="137"/>
      <c r="IPL65" s="137"/>
      <c r="IPM65" s="137"/>
      <c r="IPN65" s="137"/>
      <c r="IPO65" s="137"/>
      <c r="IPP65" s="137"/>
      <c r="IPQ65" s="137"/>
      <c r="IPR65" s="137"/>
      <c r="IPS65" s="137"/>
      <c r="IPT65" s="137"/>
      <c r="IPU65" s="137"/>
      <c r="IPV65" s="137"/>
      <c r="IPW65" s="137"/>
      <c r="IPX65" s="137"/>
      <c r="IPY65" s="137"/>
      <c r="IPZ65" s="137"/>
      <c r="IQA65" s="137"/>
      <c r="IQB65" s="137"/>
      <c r="IQC65" s="137"/>
      <c r="IQD65" s="137"/>
      <c r="IQE65" s="137"/>
      <c r="IQF65" s="137"/>
      <c r="IQG65" s="137"/>
      <c r="IQH65" s="137"/>
      <c r="IQI65" s="137"/>
      <c r="IQJ65" s="137"/>
      <c r="IQK65" s="137"/>
      <c r="IQL65" s="137"/>
      <c r="IQM65" s="137"/>
      <c r="IQN65" s="137"/>
      <c r="IQO65" s="137"/>
      <c r="IQP65" s="137"/>
      <c r="IQQ65" s="137"/>
      <c r="IQR65" s="137"/>
      <c r="IQS65" s="137"/>
      <c r="IQT65" s="137"/>
      <c r="IQU65" s="137"/>
      <c r="IQV65" s="137"/>
      <c r="IQW65" s="137"/>
      <c r="IQX65" s="137"/>
      <c r="IQY65" s="137"/>
      <c r="IQZ65" s="137"/>
      <c r="IRA65" s="137"/>
      <c r="IRB65" s="137"/>
      <c r="IRC65" s="137"/>
      <c r="IRD65" s="137"/>
      <c r="IRE65" s="137"/>
      <c r="IRF65" s="137"/>
      <c r="IRG65" s="137"/>
      <c r="IRH65" s="137"/>
      <c r="IRI65" s="137"/>
      <c r="IRJ65" s="137"/>
      <c r="IRK65" s="137"/>
      <c r="IRL65" s="137"/>
      <c r="IRM65" s="137"/>
      <c r="IRN65" s="137"/>
      <c r="IRO65" s="137"/>
      <c r="IRP65" s="137"/>
      <c r="IRQ65" s="137"/>
      <c r="IRR65" s="137"/>
      <c r="IRS65" s="137"/>
      <c r="IRT65" s="137"/>
      <c r="IRU65" s="137"/>
      <c r="IRV65" s="137"/>
      <c r="IRW65" s="137"/>
      <c r="IRX65" s="137"/>
      <c r="IRY65" s="137"/>
      <c r="IRZ65" s="137"/>
      <c r="ISA65" s="137"/>
      <c r="ISB65" s="137"/>
      <c r="ISC65" s="137"/>
      <c r="ISD65" s="137"/>
      <c r="ISE65" s="137"/>
      <c r="ISF65" s="137"/>
      <c r="ISG65" s="137"/>
      <c r="ISH65" s="137"/>
      <c r="ISI65" s="137"/>
      <c r="ISJ65" s="137"/>
      <c r="ISK65" s="137"/>
      <c r="ISL65" s="137"/>
      <c r="ISM65" s="137"/>
      <c r="ISN65" s="137"/>
      <c r="ISO65" s="137"/>
      <c r="ISP65" s="137"/>
      <c r="ISQ65" s="137"/>
      <c r="ISR65" s="137"/>
      <c r="ISS65" s="137"/>
      <c r="IST65" s="137"/>
      <c r="ISU65" s="137"/>
      <c r="ISV65" s="137"/>
      <c r="ISW65" s="137"/>
      <c r="ISX65" s="137"/>
      <c r="ISY65" s="137"/>
      <c r="ISZ65" s="137"/>
      <c r="ITA65" s="137"/>
      <c r="ITB65" s="137"/>
      <c r="ITC65" s="137"/>
      <c r="ITD65" s="137"/>
      <c r="ITE65" s="137"/>
      <c r="ITF65" s="137"/>
      <c r="ITG65" s="137"/>
      <c r="ITH65" s="137"/>
      <c r="ITI65" s="137"/>
      <c r="ITJ65" s="137"/>
      <c r="ITK65" s="137"/>
      <c r="ITL65" s="137"/>
      <c r="ITM65" s="137"/>
      <c r="ITN65" s="137"/>
      <c r="ITO65" s="137"/>
      <c r="ITP65" s="137"/>
      <c r="ITQ65" s="137"/>
      <c r="ITR65" s="137"/>
      <c r="ITS65" s="137"/>
      <c r="ITT65" s="137"/>
      <c r="ITU65" s="137"/>
      <c r="ITV65" s="137"/>
      <c r="ITW65" s="137"/>
      <c r="ITX65" s="137"/>
      <c r="ITY65" s="137"/>
      <c r="ITZ65" s="137"/>
      <c r="IUA65" s="137"/>
      <c r="IUB65" s="137"/>
      <c r="IUC65" s="137"/>
      <c r="IUD65" s="137"/>
      <c r="IUE65" s="137"/>
      <c r="IUF65" s="137"/>
      <c r="IUG65" s="137"/>
      <c r="IUH65" s="137"/>
      <c r="IUI65" s="137"/>
      <c r="IUJ65" s="137"/>
      <c r="IUK65" s="137"/>
      <c r="IUL65" s="137"/>
      <c r="IUM65" s="137"/>
      <c r="IUN65" s="137"/>
      <c r="IUO65" s="137"/>
      <c r="IUP65" s="137"/>
      <c r="IUQ65" s="137"/>
      <c r="IUR65" s="137"/>
      <c r="IUS65" s="137"/>
      <c r="IUT65" s="137"/>
      <c r="IUU65" s="137"/>
      <c r="IUV65" s="137"/>
      <c r="IUW65" s="137"/>
      <c r="IUX65" s="137"/>
      <c r="IUY65" s="137"/>
      <c r="IUZ65" s="137"/>
      <c r="IVA65" s="137"/>
      <c r="IVB65" s="137"/>
      <c r="IVC65" s="137"/>
      <c r="IVD65" s="137"/>
      <c r="IVE65" s="137"/>
      <c r="IVF65" s="137"/>
      <c r="IVG65" s="137"/>
      <c r="IVH65" s="137"/>
      <c r="IVI65" s="137"/>
      <c r="IVJ65" s="137"/>
      <c r="IVK65" s="137"/>
      <c r="IVL65" s="137"/>
      <c r="IVM65" s="137"/>
      <c r="IVN65" s="137"/>
      <c r="IVO65" s="137"/>
      <c r="IVP65" s="137"/>
      <c r="IVQ65" s="137"/>
      <c r="IVR65" s="137"/>
      <c r="IVS65" s="137"/>
      <c r="IVT65" s="137"/>
      <c r="IVU65" s="137"/>
      <c r="IVV65" s="137"/>
      <c r="IVW65" s="137"/>
      <c r="IVX65" s="137"/>
      <c r="IVY65" s="137"/>
      <c r="IVZ65" s="137"/>
      <c r="IWA65" s="137"/>
      <c r="IWB65" s="137"/>
      <c r="IWC65" s="137"/>
      <c r="IWD65" s="137"/>
      <c r="IWE65" s="137"/>
      <c r="IWF65" s="137"/>
      <c r="IWG65" s="137"/>
      <c r="IWH65" s="137"/>
      <c r="IWI65" s="137"/>
      <c r="IWJ65" s="137"/>
      <c r="IWK65" s="137"/>
      <c r="IWL65" s="137"/>
      <c r="IWM65" s="137"/>
      <c r="IWN65" s="137"/>
      <c r="IWO65" s="137"/>
      <c r="IWP65" s="137"/>
      <c r="IWQ65" s="137"/>
      <c r="IWR65" s="137"/>
      <c r="IWS65" s="137"/>
      <c r="IWT65" s="137"/>
      <c r="IWU65" s="137"/>
      <c r="IWV65" s="137"/>
      <c r="IWW65" s="137"/>
      <c r="IWX65" s="137"/>
      <c r="IWY65" s="137"/>
      <c r="IWZ65" s="137"/>
      <c r="IXA65" s="137"/>
      <c r="IXB65" s="137"/>
      <c r="IXC65" s="137"/>
      <c r="IXD65" s="137"/>
      <c r="IXE65" s="137"/>
      <c r="IXF65" s="137"/>
      <c r="IXG65" s="137"/>
      <c r="IXH65" s="137"/>
      <c r="IXI65" s="137"/>
      <c r="IXJ65" s="137"/>
      <c r="IXK65" s="137"/>
      <c r="IXL65" s="137"/>
      <c r="IXM65" s="137"/>
      <c r="IXN65" s="137"/>
      <c r="IXO65" s="137"/>
      <c r="IXP65" s="137"/>
      <c r="IXQ65" s="137"/>
      <c r="IXR65" s="137"/>
      <c r="IXS65" s="137"/>
      <c r="IXT65" s="137"/>
      <c r="IXU65" s="137"/>
      <c r="IXV65" s="137"/>
      <c r="IXW65" s="137"/>
      <c r="IXX65" s="137"/>
      <c r="IXY65" s="137"/>
      <c r="IXZ65" s="137"/>
      <c r="IYA65" s="137"/>
      <c r="IYB65" s="137"/>
      <c r="IYC65" s="137"/>
      <c r="IYD65" s="137"/>
      <c r="IYE65" s="137"/>
      <c r="IYF65" s="137"/>
      <c r="IYG65" s="137"/>
      <c r="IYH65" s="137"/>
      <c r="IYI65" s="137"/>
      <c r="IYJ65" s="137"/>
      <c r="IYK65" s="137"/>
      <c r="IYL65" s="137"/>
      <c r="IYM65" s="137"/>
      <c r="IYN65" s="137"/>
      <c r="IYO65" s="137"/>
      <c r="IYP65" s="137"/>
      <c r="IYQ65" s="137"/>
      <c r="IYR65" s="137"/>
      <c r="IYS65" s="137"/>
      <c r="IYT65" s="137"/>
      <c r="IYU65" s="137"/>
      <c r="IYV65" s="137"/>
      <c r="IYW65" s="137"/>
      <c r="IYX65" s="137"/>
      <c r="IYY65" s="137"/>
      <c r="IYZ65" s="137"/>
      <c r="IZA65" s="137"/>
      <c r="IZB65" s="137"/>
      <c r="IZC65" s="137"/>
      <c r="IZD65" s="137"/>
      <c r="IZE65" s="137"/>
      <c r="IZF65" s="137"/>
      <c r="IZG65" s="137"/>
      <c r="IZH65" s="137"/>
      <c r="IZI65" s="137"/>
      <c r="IZJ65" s="137"/>
      <c r="IZK65" s="137"/>
      <c r="IZL65" s="137"/>
      <c r="IZM65" s="137"/>
      <c r="IZN65" s="137"/>
      <c r="IZO65" s="137"/>
      <c r="IZP65" s="137"/>
      <c r="IZQ65" s="137"/>
      <c r="IZR65" s="137"/>
      <c r="IZS65" s="137"/>
      <c r="IZT65" s="137"/>
      <c r="IZU65" s="137"/>
      <c r="IZV65" s="137"/>
      <c r="IZW65" s="137"/>
      <c r="IZX65" s="137"/>
      <c r="IZY65" s="137"/>
      <c r="IZZ65" s="137"/>
      <c r="JAA65" s="137"/>
      <c r="JAB65" s="137"/>
      <c r="JAC65" s="137"/>
      <c r="JAD65" s="137"/>
      <c r="JAE65" s="137"/>
      <c r="JAF65" s="137"/>
      <c r="JAG65" s="137"/>
      <c r="JAH65" s="137"/>
      <c r="JAI65" s="137"/>
      <c r="JAJ65" s="137"/>
      <c r="JAK65" s="137"/>
      <c r="JAL65" s="137"/>
      <c r="JAM65" s="137"/>
      <c r="JAN65" s="137"/>
      <c r="JAO65" s="137"/>
      <c r="JAP65" s="137"/>
      <c r="JAQ65" s="137"/>
      <c r="JAR65" s="137"/>
      <c r="JAS65" s="137"/>
      <c r="JAT65" s="137"/>
      <c r="JAU65" s="137"/>
      <c r="JAV65" s="137"/>
      <c r="JAW65" s="137"/>
      <c r="JAX65" s="137"/>
      <c r="JAY65" s="137"/>
      <c r="JAZ65" s="137"/>
      <c r="JBA65" s="137"/>
      <c r="JBB65" s="137"/>
      <c r="JBC65" s="137"/>
      <c r="JBD65" s="137"/>
      <c r="JBE65" s="137"/>
      <c r="JBF65" s="137"/>
      <c r="JBG65" s="137"/>
      <c r="JBH65" s="137"/>
      <c r="JBI65" s="137"/>
      <c r="JBJ65" s="137"/>
      <c r="JBK65" s="137"/>
      <c r="JBL65" s="137"/>
      <c r="JBM65" s="137"/>
      <c r="JBN65" s="137"/>
      <c r="JBO65" s="137"/>
      <c r="JBP65" s="137"/>
      <c r="JBQ65" s="137"/>
      <c r="JBR65" s="137"/>
      <c r="JBS65" s="137"/>
      <c r="JBT65" s="137"/>
      <c r="JBU65" s="137"/>
      <c r="JBV65" s="137"/>
      <c r="JBW65" s="137"/>
      <c r="JBX65" s="137"/>
      <c r="JBY65" s="137"/>
      <c r="JBZ65" s="137"/>
      <c r="JCA65" s="137"/>
      <c r="JCB65" s="137"/>
      <c r="JCC65" s="137"/>
      <c r="JCD65" s="137"/>
      <c r="JCE65" s="137"/>
      <c r="JCF65" s="137"/>
      <c r="JCG65" s="137"/>
      <c r="JCH65" s="137"/>
      <c r="JCI65" s="137"/>
      <c r="JCJ65" s="137"/>
      <c r="JCK65" s="137"/>
      <c r="JCL65" s="137"/>
      <c r="JCM65" s="137"/>
      <c r="JCN65" s="137"/>
      <c r="JCO65" s="137"/>
      <c r="JCP65" s="137"/>
      <c r="JCQ65" s="137"/>
      <c r="JCR65" s="137"/>
      <c r="JCS65" s="137"/>
      <c r="JCT65" s="137"/>
      <c r="JCU65" s="137"/>
      <c r="JCV65" s="137"/>
      <c r="JCW65" s="137"/>
      <c r="JCX65" s="137"/>
      <c r="JCY65" s="137"/>
      <c r="JCZ65" s="137"/>
      <c r="JDA65" s="137"/>
      <c r="JDB65" s="137"/>
      <c r="JDC65" s="137"/>
      <c r="JDD65" s="137"/>
      <c r="JDE65" s="137"/>
      <c r="JDF65" s="137"/>
      <c r="JDG65" s="137"/>
      <c r="JDH65" s="137"/>
      <c r="JDI65" s="137"/>
      <c r="JDJ65" s="137"/>
      <c r="JDK65" s="137"/>
      <c r="JDL65" s="137"/>
      <c r="JDM65" s="137"/>
      <c r="JDN65" s="137"/>
      <c r="JDO65" s="137"/>
      <c r="JDP65" s="137"/>
      <c r="JDQ65" s="137"/>
      <c r="JDR65" s="137"/>
      <c r="JDS65" s="137"/>
      <c r="JDT65" s="137"/>
      <c r="JDU65" s="137"/>
      <c r="JDV65" s="137"/>
      <c r="JDW65" s="137"/>
      <c r="JDX65" s="137"/>
      <c r="JDY65" s="137"/>
      <c r="JDZ65" s="137"/>
      <c r="JEA65" s="137"/>
      <c r="JEB65" s="137"/>
      <c r="JEC65" s="137"/>
      <c r="JED65" s="137"/>
      <c r="JEE65" s="137"/>
      <c r="JEF65" s="137"/>
      <c r="JEG65" s="137"/>
      <c r="JEH65" s="137"/>
      <c r="JEI65" s="137"/>
      <c r="JEJ65" s="137"/>
      <c r="JEK65" s="137"/>
      <c r="JEL65" s="137"/>
      <c r="JEM65" s="137"/>
      <c r="JEN65" s="137"/>
      <c r="JEO65" s="137"/>
      <c r="JEP65" s="137"/>
      <c r="JEQ65" s="137"/>
      <c r="JER65" s="137"/>
      <c r="JES65" s="137"/>
      <c r="JET65" s="137"/>
      <c r="JEU65" s="137"/>
      <c r="JEV65" s="137"/>
      <c r="JEW65" s="137"/>
      <c r="JEX65" s="137"/>
      <c r="JEY65" s="137"/>
      <c r="JEZ65" s="137"/>
      <c r="JFA65" s="137"/>
      <c r="JFB65" s="137"/>
      <c r="JFC65" s="137"/>
      <c r="JFD65" s="137"/>
      <c r="JFE65" s="137"/>
      <c r="JFF65" s="137"/>
      <c r="JFG65" s="137"/>
      <c r="JFH65" s="137"/>
      <c r="JFI65" s="137"/>
      <c r="JFJ65" s="137"/>
      <c r="JFK65" s="137"/>
      <c r="JFL65" s="137"/>
      <c r="JFM65" s="137"/>
      <c r="JFN65" s="137"/>
      <c r="JFO65" s="137"/>
      <c r="JFP65" s="137"/>
      <c r="JFQ65" s="137"/>
      <c r="JFR65" s="137"/>
      <c r="JFS65" s="137"/>
      <c r="JFT65" s="137"/>
      <c r="JFU65" s="137"/>
      <c r="JFV65" s="137"/>
      <c r="JFW65" s="137"/>
      <c r="JFX65" s="137"/>
      <c r="JFY65" s="137"/>
      <c r="JFZ65" s="137"/>
      <c r="JGA65" s="137"/>
      <c r="JGB65" s="137"/>
      <c r="JGC65" s="137"/>
      <c r="JGD65" s="137"/>
      <c r="JGE65" s="137"/>
      <c r="JGF65" s="137"/>
      <c r="JGG65" s="137"/>
      <c r="JGH65" s="137"/>
      <c r="JGI65" s="137"/>
      <c r="JGJ65" s="137"/>
      <c r="JGK65" s="137"/>
      <c r="JGL65" s="137"/>
      <c r="JGM65" s="137"/>
      <c r="JGN65" s="137"/>
      <c r="JGO65" s="137"/>
      <c r="JGP65" s="137"/>
      <c r="JGQ65" s="137"/>
      <c r="JGR65" s="137"/>
      <c r="JGS65" s="137"/>
      <c r="JGT65" s="137"/>
      <c r="JGU65" s="137"/>
      <c r="JGV65" s="137"/>
      <c r="JGW65" s="137"/>
      <c r="JGX65" s="137"/>
      <c r="JGY65" s="137"/>
      <c r="JGZ65" s="137"/>
      <c r="JHA65" s="137"/>
      <c r="JHB65" s="137"/>
      <c r="JHC65" s="137"/>
      <c r="JHD65" s="137"/>
      <c r="JHE65" s="137"/>
      <c r="JHF65" s="137"/>
      <c r="JHG65" s="137"/>
      <c r="JHH65" s="137"/>
      <c r="JHI65" s="137"/>
      <c r="JHJ65" s="137"/>
      <c r="JHK65" s="137"/>
      <c r="JHL65" s="137"/>
      <c r="JHM65" s="137"/>
      <c r="JHN65" s="137"/>
      <c r="JHO65" s="137"/>
      <c r="JHP65" s="137"/>
      <c r="JHQ65" s="137"/>
      <c r="JHR65" s="137"/>
      <c r="JHS65" s="137"/>
      <c r="JHT65" s="137"/>
      <c r="JHU65" s="137"/>
      <c r="JHV65" s="137"/>
      <c r="JHW65" s="137"/>
      <c r="JHX65" s="137"/>
      <c r="JHY65" s="137"/>
      <c r="JHZ65" s="137"/>
      <c r="JIA65" s="137"/>
      <c r="JIB65" s="137"/>
      <c r="JIC65" s="137"/>
      <c r="JID65" s="137"/>
      <c r="JIE65" s="137"/>
      <c r="JIF65" s="137"/>
      <c r="JIG65" s="137"/>
      <c r="JIH65" s="137"/>
      <c r="JII65" s="137"/>
      <c r="JIJ65" s="137"/>
      <c r="JIK65" s="137"/>
      <c r="JIL65" s="137"/>
      <c r="JIM65" s="137"/>
      <c r="JIN65" s="137"/>
      <c r="JIO65" s="137"/>
      <c r="JIP65" s="137"/>
      <c r="JIQ65" s="137"/>
      <c r="JIR65" s="137"/>
      <c r="JIS65" s="137"/>
      <c r="JIT65" s="137"/>
      <c r="JIU65" s="137"/>
      <c r="JIV65" s="137"/>
      <c r="JIW65" s="137"/>
      <c r="JIX65" s="137"/>
      <c r="JIY65" s="137"/>
      <c r="JIZ65" s="137"/>
      <c r="JJA65" s="137"/>
      <c r="JJB65" s="137"/>
      <c r="JJC65" s="137"/>
      <c r="JJD65" s="137"/>
      <c r="JJE65" s="137"/>
      <c r="JJF65" s="137"/>
      <c r="JJG65" s="137"/>
      <c r="JJH65" s="137"/>
      <c r="JJI65" s="137"/>
      <c r="JJJ65" s="137"/>
      <c r="JJK65" s="137"/>
      <c r="JJL65" s="137"/>
      <c r="JJM65" s="137"/>
      <c r="JJN65" s="137"/>
      <c r="JJO65" s="137"/>
      <c r="JJP65" s="137"/>
      <c r="JJQ65" s="137"/>
      <c r="JJR65" s="137"/>
      <c r="JJS65" s="137"/>
      <c r="JJT65" s="137"/>
      <c r="JJU65" s="137"/>
      <c r="JJV65" s="137"/>
      <c r="JJW65" s="137"/>
      <c r="JJX65" s="137"/>
      <c r="JJY65" s="137"/>
      <c r="JJZ65" s="137"/>
      <c r="JKA65" s="137"/>
      <c r="JKB65" s="137"/>
      <c r="JKC65" s="137"/>
      <c r="JKD65" s="137"/>
      <c r="JKE65" s="137"/>
      <c r="JKF65" s="137"/>
      <c r="JKG65" s="137"/>
      <c r="JKH65" s="137"/>
      <c r="JKI65" s="137"/>
      <c r="JKJ65" s="137"/>
      <c r="JKK65" s="137"/>
      <c r="JKL65" s="137"/>
      <c r="JKM65" s="137"/>
      <c r="JKN65" s="137"/>
      <c r="JKO65" s="137"/>
      <c r="JKP65" s="137"/>
      <c r="JKQ65" s="137"/>
      <c r="JKR65" s="137"/>
      <c r="JKS65" s="137"/>
      <c r="JKT65" s="137"/>
      <c r="JKU65" s="137"/>
      <c r="JKV65" s="137"/>
      <c r="JKW65" s="137"/>
      <c r="JKX65" s="137"/>
      <c r="JKY65" s="137"/>
      <c r="JKZ65" s="137"/>
      <c r="JLA65" s="137"/>
      <c r="JLB65" s="137"/>
      <c r="JLC65" s="137"/>
      <c r="JLD65" s="137"/>
      <c r="JLE65" s="137"/>
      <c r="JLF65" s="137"/>
      <c r="JLG65" s="137"/>
      <c r="JLH65" s="137"/>
      <c r="JLI65" s="137"/>
      <c r="JLJ65" s="137"/>
      <c r="JLK65" s="137"/>
      <c r="JLL65" s="137"/>
      <c r="JLM65" s="137"/>
      <c r="JLN65" s="137"/>
      <c r="JLO65" s="137"/>
      <c r="JLP65" s="137"/>
      <c r="JLQ65" s="137"/>
      <c r="JLR65" s="137"/>
      <c r="JLS65" s="137"/>
      <c r="JLT65" s="137"/>
      <c r="JLU65" s="137"/>
      <c r="JLV65" s="137"/>
      <c r="JLW65" s="137"/>
      <c r="JLX65" s="137"/>
      <c r="JLY65" s="137"/>
      <c r="JLZ65" s="137"/>
      <c r="JMA65" s="137"/>
      <c r="JMB65" s="137"/>
      <c r="JMC65" s="137"/>
      <c r="JMD65" s="137"/>
      <c r="JME65" s="137"/>
      <c r="JMF65" s="137"/>
      <c r="JMG65" s="137"/>
      <c r="JMH65" s="137"/>
      <c r="JMI65" s="137"/>
      <c r="JMJ65" s="137"/>
      <c r="JMK65" s="137"/>
      <c r="JML65" s="137"/>
      <c r="JMM65" s="137"/>
      <c r="JMN65" s="137"/>
      <c r="JMO65" s="137"/>
      <c r="JMP65" s="137"/>
      <c r="JMQ65" s="137"/>
      <c r="JMR65" s="137"/>
      <c r="JMS65" s="137"/>
      <c r="JMT65" s="137"/>
      <c r="JMU65" s="137"/>
      <c r="JMV65" s="137"/>
      <c r="JMW65" s="137"/>
      <c r="JMX65" s="137"/>
      <c r="JMY65" s="137"/>
      <c r="JMZ65" s="137"/>
      <c r="JNA65" s="137"/>
      <c r="JNB65" s="137"/>
      <c r="JNC65" s="137"/>
      <c r="JND65" s="137"/>
      <c r="JNE65" s="137"/>
      <c r="JNF65" s="137"/>
      <c r="JNG65" s="137"/>
      <c r="JNH65" s="137"/>
      <c r="JNI65" s="137"/>
      <c r="JNJ65" s="137"/>
      <c r="JNK65" s="137"/>
      <c r="JNL65" s="137"/>
      <c r="JNM65" s="137"/>
      <c r="JNN65" s="137"/>
      <c r="JNO65" s="137"/>
      <c r="JNP65" s="137"/>
      <c r="JNQ65" s="137"/>
      <c r="JNR65" s="137"/>
      <c r="JNS65" s="137"/>
      <c r="JNT65" s="137"/>
      <c r="JNU65" s="137"/>
      <c r="JNV65" s="137"/>
      <c r="JNW65" s="137"/>
      <c r="JNX65" s="137"/>
      <c r="JNY65" s="137"/>
      <c r="JNZ65" s="137"/>
      <c r="JOA65" s="137"/>
      <c r="JOB65" s="137"/>
      <c r="JOC65" s="137"/>
      <c r="JOD65" s="137"/>
      <c r="JOE65" s="137"/>
      <c r="JOF65" s="137"/>
      <c r="JOG65" s="137"/>
      <c r="JOH65" s="137"/>
      <c r="JOI65" s="137"/>
      <c r="JOJ65" s="137"/>
      <c r="JOK65" s="137"/>
      <c r="JOL65" s="137"/>
      <c r="JOM65" s="137"/>
      <c r="JON65" s="137"/>
      <c r="JOO65" s="137"/>
      <c r="JOP65" s="137"/>
      <c r="JOQ65" s="137"/>
      <c r="JOR65" s="137"/>
      <c r="JOS65" s="137"/>
      <c r="JOT65" s="137"/>
      <c r="JOU65" s="137"/>
      <c r="JOV65" s="137"/>
      <c r="JOW65" s="137"/>
      <c r="JOX65" s="137"/>
      <c r="JOY65" s="137"/>
      <c r="JOZ65" s="137"/>
      <c r="JPA65" s="137"/>
      <c r="JPB65" s="137"/>
      <c r="JPC65" s="137"/>
      <c r="JPD65" s="137"/>
      <c r="JPE65" s="137"/>
      <c r="JPF65" s="137"/>
      <c r="JPG65" s="137"/>
      <c r="JPH65" s="137"/>
      <c r="JPI65" s="137"/>
      <c r="JPJ65" s="137"/>
      <c r="JPK65" s="137"/>
      <c r="JPL65" s="137"/>
      <c r="JPM65" s="137"/>
      <c r="JPN65" s="137"/>
      <c r="JPO65" s="137"/>
      <c r="JPP65" s="137"/>
      <c r="JPQ65" s="137"/>
      <c r="JPR65" s="137"/>
      <c r="JPS65" s="137"/>
      <c r="JPT65" s="137"/>
      <c r="JPU65" s="137"/>
      <c r="JPV65" s="137"/>
      <c r="JPW65" s="137"/>
      <c r="JPX65" s="137"/>
      <c r="JPY65" s="137"/>
      <c r="JPZ65" s="137"/>
      <c r="JQA65" s="137"/>
      <c r="JQB65" s="137"/>
      <c r="JQC65" s="137"/>
      <c r="JQD65" s="137"/>
      <c r="JQE65" s="137"/>
      <c r="JQF65" s="137"/>
      <c r="JQG65" s="137"/>
      <c r="JQH65" s="137"/>
      <c r="JQI65" s="137"/>
      <c r="JQJ65" s="137"/>
      <c r="JQK65" s="137"/>
      <c r="JQL65" s="137"/>
      <c r="JQM65" s="137"/>
      <c r="JQN65" s="137"/>
      <c r="JQO65" s="137"/>
      <c r="JQP65" s="137"/>
      <c r="JQQ65" s="137"/>
      <c r="JQR65" s="137"/>
      <c r="JQS65" s="137"/>
      <c r="JQT65" s="137"/>
      <c r="JQU65" s="137"/>
      <c r="JQV65" s="137"/>
      <c r="JQW65" s="137"/>
      <c r="JQX65" s="137"/>
      <c r="JQY65" s="137"/>
      <c r="JQZ65" s="137"/>
      <c r="JRA65" s="137"/>
      <c r="JRB65" s="137"/>
      <c r="JRC65" s="137"/>
      <c r="JRD65" s="137"/>
      <c r="JRE65" s="137"/>
      <c r="JRF65" s="137"/>
      <c r="JRG65" s="137"/>
      <c r="JRH65" s="137"/>
      <c r="JRI65" s="137"/>
      <c r="JRJ65" s="137"/>
      <c r="JRK65" s="137"/>
      <c r="JRL65" s="137"/>
      <c r="JRM65" s="137"/>
      <c r="JRN65" s="137"/>
      <c r="JRO65" s="137"/>
      <c r="JRP65" s="137"/>
      <c r="JRQ65" s="137"/>
      <c r="JRR65" s="137"/>
      <c r="JRS65" s="137"/>
      <c r="JRT65" s="137"/>
      <c r="JRU65" s="137"/>
      <c r="JRV65" s="137"/>
      <c r="JRW65" s="137"/>
      <c r="JRX65" s="137"/>
      <c r="JRY65" s="137"/>
      <c r="JRZ65" s="137"/>
      <c r="JSA65" s="137"/>
      <c r="JSB65" s="137"/>
      <c r="JSC65" s="137"/>
      <c r="JSD65" s="137"/>
      <c r="JSE65" s="137"/>
      <c r="JSF65" s="137"/>
      <c r="JSG65" s="137"/>
      <c r="JSH65" s="137"/>
      <c r="JSI65" s="137"/>
      <c r="JSJ65" s="137"/>
      <c r="JSK65" s="137"/>
      <c r="JSL65" s="137"/>
      <c r="JSM65" s="137"/>
      <c r="JSN65" s="137"/>
      <c r="JSO65" s="137"/>
      <c r="JSP65" s="137"/>
      <c r="JSQ65" s="137"/>
      <c r="JSR65" s="137"/>
      <c r="JSS65" s="137"/>
      <c r="JST65" s="137"/>
      <c r="JSU65" s="137"/>
      <c r="JSV65" s="137"/>
      <c r="JSW65" s="137"/>
      <c r="JSX65" s="137"/>
      <c r="JSY65" s="137"/>
      <c r="JSZ65" s="137"/>
      <c r="JTA65" s="137"/>
      <c r="JTB65" s="137"/>
      <c r="JTC65" s="137"/>
      <c r="JTD65" s="137"/>
      <c r="JTE65" s="137"/>
      <c r="JTF65" s="137"/>
      <c r="JTG65" s="137"/>
      <c r="JTH65" s="137"/>
      <c r="JTI65" s="137"/>
      <c r="JTJ65" s="137"/>
      <c r="JTK65" s="137"/>
      <c r="JTL65" s="137"/>
      <c r="JTM65" s="137"/>
      <c r="JTN65" s="137"/>
      <c r="JTO65" s="137"/>
      <c r="JTP65" s="137"/>
      <c r="JTQ65" s="137"/>
      <c r="JTR65" s="137"/>
      <c r="JTS65" s="137"/>
      <c r="JTT65" s="137"/>
      <c r="JTU65" s="137"/>
      <c r="JTV65" s="137"/>
      <c r="JTW65" s="137"/>
      <c r="JTX65" s="137"/>
      <c r="JTY65" s="137"/>
      <c r="JTZ65" s="137"/>
      <c r="JUA65" s="137"/>
      <c r="JUB65" s="137"/>
      <c r="JUC65" s="137"/>
      <c r="JUD65" s="137"/>
      <c r="JUE65" s="137"/>
      <c r="JUF65" s="137"/>
      <c r="JUG65" s="137"/>
      <c r="JUH65" s="137"/>
      <c r="JUI65" s="137"/>
      <c r="JUJ65" s="137"/>
      <c r="JUK65" s="137"/>
      <c r="JUL65" s="137"/>
      <c r="JUM65" s="137"/>
      <c r="JUN65" s="137"/>
      <c r="JUO65" s="137"/>
      <c r="JUP65" s="137"/>
      <c r="JUQ65" s="137"/>
      <c r="JUR65" s="137"/>
      <c r="JUS65" s="137"/>
      <c r="JUT65" s="137"/>
      <c r="JUU65" s="137"/>
      <c r="JUV65" s="137"/>
      <c r="JUW65" s="137"/>
      <c r="JUX65" s="137"/>
      <c r="JUY65" s="137"/>
      <c r="JUZ65" s="137"/>
      <c r="JVA65" s="137"/>
      <c r="JVB65" s="137"/>
      <c r="JVC65" s="137"/>
      <c r="JVD65" s="137"/>
      <c r="JVE65" s="137"/>
      <c r="JVF65" s="137"/>
      <c r="JVG65" s="137"/>
      <c r="JVH65" s="137"/>
      <c r="JVI65" s="137"/>
      <c r="JVJ65" s="137"/>
      <c r="JVK65" s="137"/>
      <c r="JVL65" s="137"/>
      <c r="JVM65" s="137"/>
      <c r="JVN65" s="137"/>
      <c r="JVO65" s="137"/>
      <c r="JVP65" s="137"/>
      <c r="JVQ65" s="137"/>
      <c r="JVR65" s="137"/>
      <c r="JVS65" s="137"/>
      <c r="JVT65" s="137"/>
      <c r="JVU65" s="137"/>
      <c r="JVV65" s="137"/>
      <c r="JVW65" s="137"/>
      <c r="JVX65" s="137"/>
      <c r="JVY65" s="137"/>
      <c r="JVZ65" s="137"/>
      <c r="JWA65" s="137"/>
      <c r="JWB65" s="137"/>
      <c r="JWC65" s="137"/>
      <c r="JWD65" s="137"/>
      <c r="JWE65" s="137"/>
      <c r="JWF65" s="137"/>
      <c r="JWG65" s="137"/>
      <c r="JWH65" s="137"/>
      <c r="JWI65" s="137"/>
      <c r="JWJ65" s="137"/>
      <c r="JWK65" s="137"/>
      <c r="JWL65" s="137"/>
      <c r="JWM65" s="137"/>
      <c r="JWN65" s="137"/>
      <c r="JWO65" s="137"/>
      <c r="JWP65" s="137"/>
      <c r="JWQ65" s="137"/>
      <c r="JWR65" s="137"/>
      <c r="JWS65" s="137"/>
      <c r="JWT65" s="137"/>
      <c r="JWU65" s="137"/>
      <c r="JWV65" s="137"/>
      <c r="JWW65" s="137"/>
      <c r="JWX65" s="137"/>
      <c r="JWY65" s="137"/>
      <c r="JWZ65" s="137"/>
      <c r="JXA65" s="137"/>
      <c r="JXB65" s="137"/>
      <c r="JXC65" s="137"/>
      <c r="JXD65" s="137"/>
      <c r="JXE65" s="137"/>
      <c r="JXF65" s="137"/>
      <c r="JXG65" s="137"/>
      <c r="JXH65" s="137"/>
      <c r="JXI65" s="137"/>
      <c r="JXJ65" s="137"/>
      <c r="JXK65" s="137"/>
      <c r="JXL65" s="137"/>
      <c r="JXM65" s="137"/>
      <c r="JXN65" s="137"/>
      <c r="JXO65" s="137"/>
      <c r="JXP65" s="137"/>
      <c r="JXQ65" s="137"/>
      <c r="JXR65" s="137"/>
      <c r="JXS65" s="137"/>
      <c r="JXT65" s="137"/>
      <c r="JXU65" s="137"/>
      <c r="JXV65" s="137"/>
      <c r="JXW65" s="137"/>
      <c r="JXX65" s="137"/>
      <c r="JXY65" s="137"/>
      <c r="JXZ65" s="137"/>
      <c r="JYA65" s="137"/>
      <c r="JYB65" s="137"/>
      <c r="JYC65" s="137"/>
      <c r="JYD65" s="137"/>
      <c r="JYE65" s="137"/>
      <c r="JYF65" s="137"/>
      <c r="JYG65" s="137"/>
      <c r="JYH65" s="137"/>
      <c r="JYI65" s="137"/>
      <c r="JYJ65" s="137"/>
      <c r="JYK65" s="137"/>
      <c r="JYL65" s="137"/>
      <c r="JYM65" s="137"/>
      <c r="JYN65" s="137"/>
      <c r="JYO65" s="137"/>
      <c r="JYP65" s="137"/>
      <c r="JYQ65" s="137"/>
      <c r="JYR65" s="137"/>
      <c r="JYS65" s="137"/>
      <c r="JYT65" s="137"/>
      <c r="JYU65" s="137"/>
      <c r="JYV65" s="137"/>
      <c r="JYW65" s="137"/>
      <c r="JYX65" s="137"/>
      <c r="JYY65" s="137"/>
      <c r="JYZ65" s="137"/>
      <c r="JZA65" s="137"/>
      <c r="JZB65" s="137"/>
      <c r="JZC65" s="137"/>
      <c r="JZD65" s="137"/>
      <c r="JZE65" s="137"/>
      <c r="JZF65" s="137"/>
      <c r="JZG65" s="137"/>
      <c r="JZH65" s="137"/>
      <c r="JZI65" s="137"/>
      <c r="JZJ65" s="137"/>
      <c r="JZK65" s="137"/>
      <c r="JZL65" s="137"/>
      <c r="JZM65" s="137"/>
      <c r="JZN65" s="137"/>
      <c r="JZO65" s="137"/>
      <c r="JZP65" s="137"/>
      <c r="JZQ65" s="137"/>
      <c r="JZR65" s="137"/>
      <c r="JZS65" s="137"/>
      <c r="JZT65" s="137"/>
      <c r="JZU65" s="137"/>
      <c r="JZV65" s="137"/>
      <c r="JZW65" s="137"/>
      <c r="JZX65" s="137"/>
      <c r="JZY65" s="137"/>
      <c r="JZZ65" s="137"/>
      <c r="KAA65" s="137"/>
      <c r="KAB65" s="137"/>
      <c r="KAC65" s="137"/>
      <c r="KAD65" s="137"/>
      <c r="KAE65" s="137"/>
      <c r="KAF65" s="137"/>
      <c r="KAG65" s="137"/>
      <c r="KAH65" s="137"/>
      <c r="KAI65" s="137"/>
      <c r="KAJ65" s="137"/>
      <c r="KAK65" s="137"/>
      <c r="KAL65" s="137"/>
      <c r="KAM65" s="137"/>
      <c r="KAN65" s="137"/>
      <c r="KAO65" s="137"/>
      <c r="KAP65" s="137"/>
      <c r="KAQ65" s="137"/>
      <c r="KAR65" s="137"/>
      <c r="KAS65" s="137"/>
      <c r="KAT65" s="137"/>
      <c r="KAU65" s="137"/>
      <c r="KAV65" s="137"/>
      <c r="KAW65" s="137"/>
      <c r="KAX65" s="137"/>
      <c r="KAY65" s="137"/>
      <c r="KAZ65" s="137"/>
      <c r="KBA65" s="137"/>
      <c r="KBB65" s="137"/>
      <c r="KBC65" s="137"/>
      <c r="KBD65" s="137"/>
      <c r="KBE65" s="137"/>
      <c r="KBF65" s="137"/>
      <c r="KBG65" s="137"/>
      <c r="KBH65" s="137"/>
      <c r="KBI65" s="137"/>
      <c r="KBJ65" s="137"/>
      <c r="KBK65" s="137"/>
      <c r="KBL65" s="137"/>
      <c r="KBM65" s="137"/>
      <c r="KBN65" s="137"/>
      <c r="KBO65" s="137"/>
      <c r="KBP65" s="137"/>
      <c r="KBQ65" s="137"/>
      <c r="KBR65" s="137"/>
      <c r="KBS65" s="137"/>
      <c r="KBT65" s="137"/>
      <c r="KBU65" s="137"/>
      <c r="KBV65" s="137"/>
      <c r="KBW65" s="137"/>
      <c r="KBX65" s="137"/>
      <c r="KBY65" s="137"/>
      <c r="KBZ65" s="137"/>
      <c r="KCA65" s="137"/>
      <c r="KCB65" s="137"/>
      <c r="KCC65" s="137"/>
      <c r="KCD65" s="137"/>
      <c r="KCE65" s="137"/>
      <c r="KCF65" s="137"/>
      <c r="KCG65" s="137"/>
      <c r="KCH65" s="137"/>
      <c r="KCI65" s="137"/>
      <c r="KCJ65" s="137"/>
      <c r="KCK65" s="137"/>
      <c r="KCL65" s="137"/>
      <c r="KCM65" s="137"/>
      <c r="KCN65" s="137"/>
      <c r="KCO65" s="137"/>
      <c r="KCP65" s="137"/>
      <c r="KCQ65" s="137"/>
      <c r="KCR65" s="137"/>
      <c r="KCS65" s="137"/>
      <c r="KCT65" s="137"/>
      <c r="KCU65" s="137"/>
      <c r="KCV65" s="137"/>
      <c r="KCW65" s="137"/>
      <c r="KCX65" s="137"/>
      <c r="KCY65" s="137"/>
      <c r="KCZ65" s="137"/>
      <c r="KDA65" s="137"/>
      <c r="KDB65" s="137"/>
      <c r="KDC65" s="137"/>
      <c r="KDD65" s="137"/>
      <c r="KDE65" s="137"/>
      <c r="KDF65" s="137"/>
      <c r="KDG65" s="137"/>
      <c r="KDH65" s="137"/>
      <c r="KDI65" s="137"/>
      <c r="KDJ65" s="137"/>
      <c r="KDK65" s="137"/>
      <c r="KDL65" s="137"/>
      <c r="KDM65" s="137"/>
      <c r="KDN65" s="137"/>
      <c r="KDO65" s="137"/>
      <c r="KDP65" s="137"/>
      <c r="KDQ65" s="137"/>
      <c r="KDR65" s="137"/>
      <c r="KDS65" s="137"/>
      <c r="KDT65" s="137"/>
      <c r="KDU65" s="137"/>
      <c r="KDV65" s="137"/>
      <c r="KDW65" s="137"/>
      <c r="KDX65" s="137"/>
      <c r="KDY65" s="137"/>
      <c r="KDZ65" s="137"/>
      <c r="KEA65" s="137"/>
      <c r="KEB65" s="137"/>
      <c r="KEC65" s="137"/>
      <c r="KED65" s="137"/>
      <c r="KEE65" s="137"/>
      <c r="KEF65" s="137"/>
      <c r="KEG65" s="137"/>
      <c r="KEH65" s="137"/>
      <c r="KEI65" s="137"/>
      <c r="KEJ65" s="137"/>
      <c r="KEK65" s="137"/>
      <c r="KEL65" s="137"/>
      <c r="KEM65" s="137"/>
      <c r="KEN65" s="137"/>
      <c r="KEO65" s="137"/>
      <c r="KEP65" s="137"/>
      <c r="KEQ65" s="137"/>
      <c r="KER65" s="137"/>
      <c r="KES65" s="137"/>
      <c r="KET65" s="137"/>
      <c r="KEU65" s="137"/>
      <c r="KEV65" s="137"/>
      <c r="KEW65" s="137"/>
      <c r="KEX65" s="137"/>
      <c r="KEY65" s="137"/>
      <c r="KEZ65" s="137"/>
      <c r="KFA65" s="137"/>
      <c r="KFB65" s="137"/>
      <c r="KFC65" s="137"/>
      <c r="KFD65" s="137"/>
      <c r="KFE65" s="137"/>
      <c r="KFF65" s="137"/>
      <c r="KFG65" s="137"/>
      <c r="KFH65" s="137"/>
      <c r="KFI65" s="137"/>
      <c r="KFJ65" s="137"/>
      <c r="KFK65" s="137"/>
      <c r="KFL65" s="137"/>
      <c r="KFM65" s="137"/>
      <c r="KFN65" s="137"/>
      <c r="KFO65" s="137"/>
      <c r="KFP65" s="137"/>
      <c r="KFQ65" s="137"/>
      <c r="KFR65" s="137"/>
      <c r="KFS65" s="137"/>
      <c r="KFT65" s="137"/>
      <c r="KFU65" s="137"/>
      <c r="KFV65" s="137"/>
      <c r="KFW65" s="137"/>
      <c r="KFX65" s="137"/>
      <c r="KFY65" s="137"/>
      <c r="KFZ65" s="137"/>
      <c r="KGA65" s="137"/>
      <c r="KGB65" s="137"/>
      <c r="KGC65" s="137"/>
      <c r="KGD65" s="137"/>
      <c r="KGE65" s="137"/>
      <c r="KGF65" s="137"/>
      <c r="KGG65" s="137"/>
      <c r="KGH65" s="137"/>
      <c r="KGI65" s="137"/>
      <c r="KGJ65" s="137"/>
      <c r="KGK65" s="137"/>
      <c r="KGL65" s="137"/>
      <c r="KGM65" s="137"/>
      <c r="KGN65" s="137"/>
      <c r="KGO65" s="137"/>
      <c r="KGP65" s="137"/>
      <c r="KGQ65" s="137"/>
      <c r="KGR65" s="137"/>
      <c r="KGS65" s="137"/>
      <c r="KGT65" s="137"/>
      <c r="KGU65" s="137"/>
      <c r="KGV65" s="137"/>
      <c r="KGW65" s="137"/>
      <c r="KGX65" s="137"/>
      <c r="KGY65" s="137"/>
      <c r="KGZ65" s="137"/>
      <c r="KHA65" s="137"/>
      <c r="KHB65" s="137"/>
      <c r="KHC65" s="137"/>
      <c r="KHD65" s="137"/>
      <c r="KHE65" s="137"/>
      <c r="KHF65" s="137"/>
      <c r="KHG65" s="137"/>
      <c r="KHH65" s="137"/>
      <c r="KHI65" s="137"/>
      <c r="KHJ65" s="137"/>
      <c r="KHK65" s="137"/>
      <c r="KHL65" s="137"/>
      <c r="KHM65" s="137"/>
      <c r="KHN65" s="137"/>
      <c r="KHO65" s="137"/>
      <c r="KHP65" s="137"/>
      <c r="KHQ65" s="137"/>
      <c r="KHR65" s="137"/>
      <c r="KHS65" s="137"/>
      <c r="KHT65" s="137"/>
      <c r="KHU65" s="137"/>
      <c r="KHV65" s="137"/>
      <c r="KHW65" s="137"/>
      <c r="KHX65" s="137"/>
      <c r="KHY65" s="137"/>
      <c r="KHZ65" s="137"/>
      <c r="KIA65" s="137"/>
      <c r="KIB65" s="137"/>
      <c r="KIC65" s="137"/>
      <c r="KID65" s="137"/>
      <c r="KIE65" s="137"/>
      <c r="KIF65" s="137"/>
      <c r="KIG65" s="137"/>
      <c r="KIH65" s="137"/>
      <c r="KII65" s="137"/>
      <c r="KIJ65" s="137"/>
      <c r="KIK65" s="137"/>
      <c r="KIL65" s="137"/>
      <c r="KIM65" s="137"/>
      <c r="KIN65" s="137"/>
      <c r="KIO65" s="137"/>
      <c r="KIP65" s="137"/>
      <c r="KIQ65" s="137"/>
      <c r="KIR65" s="137"/>
      <c r="KIS65" s="137"/>
      <c r="KIT65" s="137"/>
      <c r="KIU65" s="137"/>
      <c r="KIV65" s="137"/>
      <c r="KIW65" s="137"/>
      <c r="KIX65" s="137"/>
      <c r="KIY65" s="137"/>
      <c r="KIZ65" s="137"/>
      <c r="KJA65" s="137"/>
      <c r="KJB65" s="137"/>
      <c r="KJC65" s="137"/>
      <c r="KJD65" s="137"/>
      <c r="KJE65" s="137"/>
      <c r="KJF65" s="137"/>
      <c r="KJG65" s="137"/>
      <c r="KJH65" s="137"/>
      <c r="KJI65" s="137"/>
      <c r="KJJ65" s="137"/>
      <c r="KJK65" s="137"/>
      <c r="KJL65" s="137"/>
      <c r="KJM65" s="137"/>
      <c r="KJN65" s="137"/>
      <c r="KJO65" s="137"/>
      <c r="KJP65" s="137"/>
      <c r="KJQ65" s="137"/>
      <c r="KJR65" s="137"/>
      <c r="KJS65" s="137"/>
      <c r="KJT65" s="137"/>
      <c r="KJU65" s="137"/>
      <c r="KJV65" s="137"/>
      <c r="KJW65" s="137"/>
      <c r="KJX65" s="137"/>
      <c r="KJY65" s="137"/>
      <c r="KJZ65" s="137"/>
      <c r="KKA65" s="137"/>
      <c r="KKB65" s="137"/>
      <c r="KKC65" s="137"/>
      <c r="KKD65" s="137"/>
      <c r="KKE65" s="137"/>
      <c r="KKF65" s="137"/>
      <c r="KKG65" s="137"/>
      <c r="KKH65" s="137"/>
      <c r="KKI65" s="137"/>
      <c r="KKJ65" s="137"/>
      <c r="KKK65" s="137"/>
      <c r="KKL65" s="137"/>
      <c r="KKM65" s="137"/>
      <c r="KKN65" s="137"/>
      <c r="KKO65" s="137"/>
      <c r="KKP65" s="137"/>
      <c r="KKQ65" s="137"/>
      <c r="KKR65" s="137"/>
      <c r="KKS65" s="137"/>
      <c r="KKT65" s="137"/>
      <c r="KKU65" s="137"/>
      <c r="KKV65" s="137"/>
      <c r="KKW65" s="137"/>
      <c r="KKX65" s="137"/>
      <c r="KKY65" s="137"/>
      <c r="KKZ65" s="137"/>
      <c r="KLA65" s="137"/>
      <c r="KLB65" s="137"/>
      <c r="KLC65" s="137"/>
      <c r="KLD65" s="137"/>
      <c r="KLE65" s="137"/>
      <c r="KLF65" s="137"/>
      <c r="KLG65" s="137"/>
      <c r="KLH65" s="137"/>
      <c r="KLI65" s="137"/>
      <c r="KLJ65" s="137"/>
      <c r="KLK65" s="137"/>
      <c r="KLL65" s="137"/>
      <c r="KLM65" s="137"/>
      <c r="KLN65" s="137"/>
      <c r="KLO65" s="137"/>
      <c r="KLP65" s="137"/>
      <c r="KLQ65" s="137"/>
      <c r="KLR65" s="137"/>
      <c r="KLS65" s="137"/>
      <c r="KLT65" s="137"/>
      <c r="KLU65" s="137"/>
      <c r="KLV65" s="137"/>
      <c r="KLW65" s="137"/>
      <c r="KLX65" s="137"/>
      <c r="KLY65" s="137"/>
      <c r="KLZ65" s="137"/>
      <c r="KMA65" s="137"/>
      <c r="KMB65" s="137"/>
      <c r="KMC65" s="137"/>
      <c r="KMD65" s="137"/>
      <c r="KME65" s="137"/>
      <c r="KMF65" s="137"/>
      <c r="KMG65" s="137"/>
      <c r="KMH65" s="137"/>
      <c r="KMI65" s="137"/>
      <c r="KMJ65" s="137"/>
      <c r="KMK65" s="137"/>
      <c r="KML65" s="137"/>
      <c r="KMM65" s="137"/>
      <c r="KMN65" s="137"/>
      <c r="KMO65" s="137"/>
      <c r="KMP65" s="137"/>
      <c r="KMQ65" s="137"/>
      <c r="KMR65" s="137"/>
      <c r="KMS65" s="137"/>
      <c r="KMT65" s="137"/>
      <c r="KMU65" s="137"/>
      <c r="KMV65" s="137"/>
      <c r="KMW65" s="137"/>
      <c r="KMX65" s="137"/>
      <c r="KMY65" s="137"/>
      <c r="KMZ65" s="137"/>
      <c r="KNA65" s="137"/>
      <c r="KNB65" s="137"/>
      <c r="KNC65" s="137"/>
      <c r="KND65" s="137"/>
      <c r="KNE65" s="137"/>
      <c r="KNF65" s="137"/>
      <c r="KNG65" s="137"/>
      <c r="KNH65" s="137"/>
      <c r="KNI65" s="137"/>
      <c r="KNJ65" s="137"/>
      <c r="KNK65" s="137"/>
      <c r="KNL65" s="137"/>
      <c r="KNM65" s="137"/>
      <c r="KNN65" s="137"/>
      <c r="KNO65" s="137"/>
      <c r="KNP65" s="137"/>
      <c r="KNQ65" s="137"/>
      <c r="KNR65" s="137"/>
      <c r="KNS65" s="137"/>
      <c r="KNT65" s="137"/>
      <c r="KNU65" s="137"/>
      <c r="KNV65" s="137"/>
      <c r="KNW65" s="137"/>
      <c r="KNX65" s="137"/>
      <c r="KNY65" s="137"/>
      <c r="KNZ65" s="137"/>
      <c r="KOA65" s="137"/>
      <c r="KOB65" s="137"/>
      <c r="KOC65" s="137"/>
      <c r="KOD65" s="137"/>
      <c r="KOE65" s="137"/>
      <c r="KOF65" s="137"/>
      <c r="KOG65" s="137"/>
      <c r="KOH65" s="137"/>
      <c r="KOI65" s="137"/>
      <c r="KOJ65" s="137"/>
      <c r="KOK65" s="137"/>
      <c r="KOL65" s="137"/>
      <c r="KOM65" s="137"/>
      <c r="KON65" s="137"/>
      <c r="KOO65" s="137"/>
      <c r="KOP65" s="137"/>
      <c r="KOQ65" s="137"/>
      <c r="KOR65" s="137"/>
      <c r="KOS65" s="137"/>
      <c r="KOT65" s="137"/>
      <c r="KOU65" s="137"/>
      <c r="KOV65" s="137"/>
      <c r="KOW65" s="137"/>
      <c r="KOX65" s="137"/>
      <c r="KOY65" s="137"/>
      <c r="KOZ65" s="137"/>
      <c r="KPA65" s="137"/>
      <c r="KPB65" s="137"/>
      <c r="KPC65" s="137"/>
      <c r="KPD65" s="137"/>
      <c r="KPE65" s="137"/>
      <c r="KPF65" s="137"/>
      <c r="KPG65" s="137"/>
      <c r="KPH65" s="137"/>
      <c r="KPI65" s="137"/>
      <c r="KPJ65" s="137"/>
      <c r="KPK65" s="137"/>
      <c r="KPL65" s="137"/>
      <c r="KPM65" s="137"/>
      <c r="KPN65" s="137"/>
      <c r="KPO65" s="137"/>
      <c r="KPP65" s="137"/>
      <c r="KPQ65" s="137"/>
      <c r="KPR65" s="137"/>
      <c r="KPS65" s="137"/>
      <c r="KPT65" s="137"/>
      <c r="KPU65" s="137"/>
      <c r="KPV65" s="137"/>
      <c r="KPW65" s="137"/>
      <c r="KPX65" s="137"/>
      <c r="KPY65" s="137"/>
      <c r="KPZ65" s="137"/>
      <c r="KQA65" s="137"/>
      <c r="KQB65" s="137"/>
      <c r="KQC65" s="137"/>
      <c r="KQD65" s="137"/>
      <c r="KQE65" s="137"/>
      <c r="KQF65" s="137"/>
      <c r="KQG65" s="137"/>
      <c r="KQH65" s="137"/>
      <c r="KQI65" s="137"/>
      <c r="KQJ65" s="137"/>
      <c r="KQK65" s="137"/>
      <c r="KQL65" s="137"/>
      <c r="KQM65" s="137"/>
      <c r="KQN65" s="137"/>
      <c r="KQO65" s="137"/>
      <c r="KQP65" s="137"/>
      <c r="KQQ65" s="137"/>
      <c r="KQR65" s="137"/>
      <c r="KQS65" s="137"/>
      <c r="KQT65" s="137"/>
      <c r="KQU65" s="137"/>
      <c r="KQV65" s="137"/>
      <c r="KQW65" s="137"/>
      <c r="KQX65" s="137"/>
      <c r="KQY65" s="137"/>
      <c r="KQZ65" s="137"/>
      <c r="KRA65" s="137"/>
      <c r="KRB65" s="137"/>
      <c r="KRC65" s="137"/>
      <c r="KRD65" s="137"/>
      <c r="KRE65" s="137"/>
      <c r="KRF65" s="137"/>
      <c r="KRG65" s="137"/>
      <c r="KRH65" s="137"/>
      <c r="KRI65" s="137"/>
      <c r="KRJ65" s="137"/>
      <c r="KRK65" s="137"/>
      <c r="KRL65" s="137"/>
      <c r="KRM65" s="137"/>
      <c r="KRN65" s="137"/>
      <c r="KRO65" s="137"/>
      <c r="KRP65" s="137"/>
      <c r="KRQ65" s="137"/>
      <c r="KRR65" s="137"/>
      <c r="KRS65" s="137"/>
      <c r="KRT65" s="137"/>
      <c r="KRU65" s="137"/>
      <c r="KRV65" s="137"/>
      <c r="KRW65" s="137"/>
      <c r="KRX65" s="137"/>
      <c r="KRY65" s="137"/>
      <c r="KRZ65" s="137"/>
      <c r="KSA65" s="137"/>
      <c r="KSB65" s="137"/>
      <c r="KSC65" s="137"/>
      <c r="KSD65" s="137"/>
      <c r="KSE65" s="137"/>
      <c r="KSF65" s="137"/>
      <c r="KSG65" s="137"/>
      <c r="KSH65" s="137"/>
      <c r="KSI65" s="137"/>
      <c r="KSJ65" s="137"/>
      <c r="KSK65" s="137"/>
      <c r="KSL65" s="137"/>
      <c r="KSM65" s="137"/>
      <c r="KSN65" s="137"/>
      <c r="KSO65" s="137"/>
      <c r="KSP65" s="137"/>
      <c r="KSQ65" s="137"/>
      <c r="KSR65" s="137"/>
      <c r="KSS65" s="137"/>
      <c r="KST65" s="137"/>
      <c r="KSU65" s="137"/>
      <c r="KSV65" s="137"/>
      <c r="KSW65" s="137"/>
      <c r="KSX65" s="137"/>
      <c r="KSY65" s="137"/>
      <c r="KSZ65" s="137"/>
      <c r="KTA65" s="137"/>
      <c r="KTB65" s="137"/>
      <c r="KTC65" s="137"/>
      <c r="KTD65" s="137"/>
      <c r="KTE65" s="137"/>
      <c r="KTF65" s="137"/>
      <c r="KTG65" s="137"/>
      <c r="KTH65" s="137"/>
      <c r="KTI65" s="137"/>
      <c r="KTJ65" s="137"/>
      <c r="KTK65" s="137"/>
      <c r="KTL65" s="137"/>
      <c r="KTM65" s="137"/>
      <c r="KTN65" s="137"/>
      <c r="KTO65" s="137"/>
      <c r="KTP65" s="137"/>
      <c r="KTQ65" s="137"/>
      <c r="KTR65" s="137"/>
      <c r="KTS65" s="137"/>
      <c r="KTT65" s="137"/>
      <c r="KTU65" s="137"/>
      <c r="KTV65" s="137"/>
      <c r="KTW65" s="137"/>
      <c r="KTX65" s="137"/>
      <c r="KTY65" s="137"/>
      <c r="KTZ65" s="137"/>
      <c r="KUA65" s="137"/>
      <c r="KUB65" s="137"/>
      <c r="KUC65" s="137"/>
      <c r="KUD65" s="137"/>
      <c r="KUE65" s="137"/>
      <c r="KUF65" s="137"/>
      <c r="KUG65" s="137"/>
      <c r="KUH65" s="137"/>
      <c r="KUI65" s="137"/>
      <c r="KUJ65" s="137"/>
      <c r="KUK65" s="137"/>
      <c r="KUL65" s="137"/>
      <c r="KUM65" s="137"/>
      <c r="KUN65" s="137"/>
      <c r="KUO65" s="137"/>
      <c r="KUP65" s="137"/>
      <c r="KUQ65" s="137"/>
      <c r="KUR65" s="137"/>
      <c r="KUS65" s="137"/>
      <c r="KUT65" s="137"/>
      <c r="KUU65" s="137"/>
      <c r="KUV65" s="137"/>
      <c r="KUW65" s="137"/>
      <c r="KUX65" s="137"/>
      <c r="KUY65" s="137"/>
      <c r="KUZ65" s="137"/>
      <c r="KVA65" s="137"/>
      <c r="KVB65" s="137"/>
      <c r="KVC65" s="137"/>
      <c r="KVD65" s="137"/>
      <c r="KVE65" s="137"/>
      <c r="KVF65" s="137"/>
      <c r="KVG65" s="137"/>
      <c r="KVH65" s="137"/>
      <c r="KVI65" s="137"/>
      <c r="KVJ65" s="137"/>
      <c r="KVK65" s="137"/>
      <c r="KVL65" s="137"/>
      <c r="KVM65" s="137"/>
      <c r="KVN65" s="137"/>
      <c r="KVO65" s="137"/>
      <c r="KVP65" s="137"/>
      <c r="KVQ65" s="137"/>
      <c r="KVR65" s="137"/>
      <c r="KVS65" s="137"/>
      <c r="KVT65" s="137"/>
      <c r="KVU65" s="137"/>
      <c r="KVV65" s="137"/>
      <c r="KVW65" s="137"/>
      <c r="KVX65" s="137"/>
      <c r="KVY65" s="137"/>
      <c r="KVZ65" s="137"/>
      <c r="KWA65" s="137"/>
      <c r="KWB65" s="137"/>
      <c r="KWC65" s="137"/>
      <c r="KWD65" s="137"/>
      <c r="KWE65" s="137"/>
      <c r="KWF65" s="137"/>
      <c r="KWG65" s="137"/>
      <c r="KWH65" s="137"/>
      <c r="KWI65" s="137"/>
      <c r="KWJ65" s="137"/>
      <c r="KWK65" s="137"/>
      <c r="KWL65" s="137"/>
      <c r="KWM65" s="137"/>
      <c r="KWN65" s="137"/>
      <c r="KWO65" s="137"/>
      <c r="KWP65" s="137"/>
      <c r="KWQ65" s="137"/>
      <c r="KWR65" s="137"/>
      <c r="KWS65" s="137"/>
      <c r="KWT65" s="137"/>
      <c r="KWU65" s="137"/>
      <c r="KWV65" s="137"/>
      <c r="KWW65" s="137"/>
      <c r="KWX65" s="137"/>
      <c r="KWY65" s="137"/>
      <c r="KWZ65" s="137"/>
      <c r="KXA65" s="137"/>
      <c r="KXB65" s="137"/>
      <c r="KXC65" s="137"/>
      <c r="KXD65" s="137"/>
      <c r="KXE65" s="137"/>
      <c r="KXF65" s="137"/>
      <c r="KXG65" s="137"/>
      <c r="KXH65" s="137"/>
      <c r="KXI65" s="137"/>
      <c r="KXJ65" s="137"/>
      <c r="KXK65" s="137"/>
      <c r="KXL65" s="137"/>
      <c r="KXM65" s="137"/>
      <c r="KXN65" s="137"/>
      <c r="KXO65" s="137"/>
      <c r="KXP65" s="137"/>
      <c r="KXQ65" s="137"/>
      <c r="KXR65" s="137"/>
      <c r="KXS65" s="137"/>
      <c r="KXT65" s="137"/>
      <c r="KXU65" s="137"/>
      <c r="KXV65" s="137"/>
      <c r="KXW65" s="137"/>
      <c r="KXX65" s="137"/>
      <c r="KXY65" s="137"/>
      <c r="KXZ65" s="137"/>
      <c r="KYA65" s="137"/>
      <c r="KYB65" s="137"/>
      <c r="KYC65" s="137"/>
      <c r="KYD65" s="137"/>
      <c r="KYE65" s="137"/>
      <c r="KYF65" s="137"/>
      <c r="KYG65" s="137"/>
      <c r="KYH65" s="137"/>
      <c r="KYI65" s="137"/>
      <c r="KYJ65" s="137"/>
      <c r="KYK65" s="137"/>
      <c r="KYL65" s="137"/>
      <c r="KYM65" s="137"/>
      <c r="KYN65" s="137"/>
      <c r="KYO65" s="137"/>
      <c r="KYP65" s="137"/>
      <c r="KYQ65" s="137"/>
      <c r="KYR65" s="137"/>
      <c r="KYS65" s="137"/>
      <c r="KYT65" s="137"/>
      <c r="KYU65" s="137"/>
      <c r="KYV65" s="137"/>
      <c r="KYW65" s="137"/>
      <c r="KYX65" s="137"/>
      <c r="KYY65" s="137"/>
      <c r="KYZ65" s="137"/>
      <c r="KZA65" s="137"/>
      <c r="KZB65" s="137"/>
      <c r="KZC65" s="137"/>
      <c r="KZD65" s="137"/>
      <c r="KZE65" s="137"/>
      <c r="KZF65" s="137"/>
      <c r="KZG65" s="137"/>
      <c r="KZH65" s="137"/>
      <c r="KZI65" s="137"/>
      <c r="KZJ65" s="137"/>
      <c r="KZK65" s="137"/>
      <c r="KZL65" s="137"/>
      <c r="KZM65" s="137"/>
      <c r="KZN65" s="137"/>
      <c r="KZO65" s="137"/>
      <c r="KZP65" s="137"/>
      <c r="KZQ65" s="137"/>
      <c r="KZR65" s="137"/>
      <c r="KZS65" s="137"/>
      <c r="KZT65" s="137"/>
      <c r="KZU65" s="137"/>
      <c r="KZV65" s="137"/>
      <c r="KZW65" s="137"/>
      <c r="KZX65" s="137"/>
      <c r="KZY65" s="137"/>
      <c r="KZZ65" s="137"/>
      <c r="LAA65" s="137"/>
      <c r="LAB65" s="137"/>
      <c r="LAC65" s="137"/>
      <c r="LAD65" s="137"/>
      <c r="LAE65" s="137"/>
      <c r="LAF65" s="137"/>
      <c r="LAG65" s="137"/>
      <c r="LAH65" s="137"/>
      <c r="LAI65" s="137"/>
      <c r="LAJ65" s="137"/>
      <c r="LAK65" s="137"/>
      <c r="LAL65" s="137"/>
      <c r="LAM65" s="137"/>
      <c r="LAN65" s="137"/>
      <c r="LAO65" s="137"/>
      <c r="LAP65" s="137"/>
      <c r="LAQ65" s="137"/>
      <c r="LAR65" s="137"/>
      <c r="LAS65" s="137"/>
      <c r="LAT65" s="137"/>
      <c r="LAU65" s="137"/>
      <c r="LAV65" s="137"/>
      <c r="LAW65" s="137"/>
      <c r="LAX65" s="137"/>
      <c r="LAY65" s="137"/>
      <c r="LAZ65" s="137"/>
      <c r="LBA65" s="137"/>
      <c r="LBB65" s="137"/>
      <c r="LBC65" s="137"/>
      <c r="LBD65" s="137"/>
      <c r="LBE65" s="137"/>
      <c r="LBF65" s="137"/>
      <c r="LBG65" s="137"/>
      <c r="LBH65" s="137"/>
      <c r="LBI65" s="137"/>
      <c r="LBJ65" s="137"/>
      <c r="LBK65" s="137"/>
      <c r="LBL65" s="137"/>
      <c r="LBM65" s="137"/>
      <c r="LBN65" s="137"/>
      <c r="LBO65" s="137"/>
      <c r="LBP65" s="137"/>
      <c r="LBQ65" s="137"/>
      <c r="LBR65" s="137"/>
      <c r="LBS65" s="137"/>
      <c r="LBT65" s="137"/>
      <c r="LBU65" s="137"/>
      <c r="LBV65" s="137"/>
      <c r="LBW65" s="137"/>
      <c r="LBX65" s="137"/>
      <c r="LBY65" s="137"/>
      <c r="LBZ65" s="137"/>
      <c r="LCA65" s="137"/>
      <c r="LCB65" s="137"/>
      <c r="LCC65" s="137"/>
      <c r="LCD65" s="137"/>
      <c r="LCE65" s="137"/>
      <c r="LCF65" s="137"/>
      <c r="LCG65" s="137"/>
      <c r="LCH65" s="137"/>
      <c r="LCI65" s="137"/>
      <c r="LCJ65" s="137"/>
      <c r="LCK65" s="137"/>
      <c r="LCL65" s="137"/>
      <c r="LCM65" s="137"/>
      <c r="LCN65" s="137"/>
      <c r="LCO65" s="137"/>
      <c r="LCP65" s="137"/>
      <c r="LCQ65" s="137"/>
      <c r="LCR65" s="137"/>
      <c r="LCS65" s="137"/>
      <c r="LCT65" s="137"/>
      <c r="LCU65" s="137"/>
      <c r="LCV65" s="137"/>
      <c r="LCW65" s="137"/>
      <c r="LCX65" s="137"/>
      <c r="LCY65" s="137"/>
      <c r="LCZ65" s="137"/>
      <c r="LDA65" s="137"/>
      <c r="LDB65" s="137"/>
      <c r="LDC65" s="137"/>
      <c r="LDD65" s="137"/>
      <c r="LDE65" s="137"/>
      <c r="LDF65" s="137"/>
      <c r="LDG65" s="137"/>
      <c r="LDH65" s="137"/>
      <c r="LDI65" s="137"/>
      <c r="LDJ65" s="137"/>
      <c r="LDK65" s="137"/>
      <c r="LDL65" s="137"/>
      <c r="LDM65" s="137"/>
      <c r="LDN65" s="137"/>
      <c r="LDO65" s="137"/>
      <c r="LDP65" s="137"/>
      <c r="LDQ65" s="137"/>
      <c r="LDR65" s="137"/>
      <c r="LDS65" s="137"/>
      <c r="LDT65" s="137"/>
      <c r="LDU65" s="137"/>
      <c r="LDV65" s="137"/>
      <c r="LDW65" s="137"/>
      <c r="LDX65" s="137"/>
      <c r="LDY65" s="137"/>
      <c r="LDZ65" s="137"/>
      <c r="LEA65" s="137"/>
      <c r="LEB65" s="137"/>
      <c r="LEC65" s="137"/>
      <c r="LED65" s="137"/>
      <c r="LEE65" s="137"/>
      <c r="LEF65" s="137"/>
      <c r="LEG65" s="137"/>
      <c r="LEH65" s="137"/>
      <c r="LEI65" s="137"/>
      <c r="LEJ65" s="137"/>
      <c r="LEK65" s="137"/>
      <c r="LEL65" s="137"/>
      <c r="LEM65" s="137"/>
      <c r="LEN65" s="137"/>
      <c r="LEO65" s="137"/>
      <c r="LEP65" s="137"/>
      <c r="LEQ65" s="137"/>
      <c r="LER65" s="137"/>
      <c r="LES65" s="137"/>
      <c r="LET65" s="137"/>
      <c r="LEU65" s="137"/>
      <c r="LEV65" s="137"/>
      <c r="LEW65" s="137"/>
      <c r="LEX65" s="137"/>
      <c r="LEY65" s="137"/>
      <c r="LEZ65" s="137"/>
      <c r="LFA65" s="137"/>
      <c r="LFB65" s="137"/>
      <c r="LFC65" s="137"/>
      <c r="LFD65" s="137"/>
      <c r="LFE65" s="137"/>
      <c r="LFF65" s="137"/>
      <c r="LFG65" s="137"/>
      <c r="LFH65" s="137"/>
      <c r="LFI65" s="137"/>
      <c r="LFJ65" s="137"/>
      <c r="LFK65" s="137"/>
      <c r="LFL65" s="137"/>
      <c r="LFM65" s="137"/>
      <c r="LFN65" s="137"/>
      <c r="LFO65" s="137"/>
      <c r="LFP65" s="137"/>
      <c r="LFQ65" s="137"/>
      <c r="LFR65" s="137"/>
      <c r="LFS65" s="137"/>
      <c r="LFT65" s="137"/>
      <c r="LFU65" s="137"/>
      <c r="LFV65" s="137"/>
      <c r="LFW65" s="137"/>
      <c r="LFX65" s="137"/>
      <c r="LFY65" s="137"/>
      <c r="LFZ65" s="137"/>
      <c r="LGA65" s="137"/>
      <c r="LGB65" s="137"/>
      <c r="LGC65" s="137"/>
      <c r="LGD65" s="137"/>
      <c r="LGE65" s="137"/>
      <c r="LGF65" s="137"/>
      <c r="LGG65" s="137"/>
      <c r="LGH65" s="137"/>
      <c r="LGI65" s="137"/>
      <c r="LGJ65" s="137"/>
      <c r="LGK65" s="137"/>
      <c r="LGL65" s="137"/>
      <c r="LGM65" s="137"/>
      <c r="LGN65" s="137"/>
      <c r="LGO65" s="137"/>
      <c r="LGP65" s="137"/>
      <c r="LGQ65" s="137"/>
      <c r="LGR65" s="137"/>
      <c r="LGS65" s="137"/>
      <c r="LGT65" s="137"/>
      <c r="LGU65" s="137"/>
      <c r="LGV65" s="137"/>
      <c r="LGW65" s="137"/>
      <c r="LGX65" s="137"/>
      <c r="LGY65" s="137"/>
      <c r="LGZ65" s="137"/>
      <c r="LHA65" s="137"/>
      <c r="LHB65" s="137"/>
      <c r="LHC65" s="137"/>
      <c r="LHD65" s="137"/>
      <c r="LHE65" s="137"/>
      <c r="LHF65" s="137"/>
      <c r="LHG65" s="137"/>
      <c r="LHH65" s="137"/>
      <c r="LHI65" s="137"/>
      <c r="LHJ65" s="137"/>
      <c r="LHK65" s="137"/>
      <c r="LHL65" s="137"/>
      <c r="LHM65" s="137"/>
      <c r="LHN65" s="137"/>
      <c r="LHO65" s="137"/>
      <c r="LHP65" s="137"/>
      <c r="LHQ65" s="137"/>
      <c r="LHR65" s="137"/>
      <c r="LHS65" s="137"/>
      <c r="LHT65" s="137"/>
      <c r="LHU65" s="137"/>
      <c r="LHV65" s="137"/>
      <c r="LHW65" s="137"/>
      <c r="LHX65" s="137"/>
      <c r="LHY65" s="137"/>
      <c r="LHZ65" s="137"/>
      <c r="LIA65" s="137"/>
      <c r="LIB65" s="137"/>
      <c r="LIC65" s="137"/>
      <c r="LID65" s="137"/>
      <c r="LIE65" s="137"/>
      <c r="LIF65" s="137"/>
      <c r="LIG65" s="137"/>
      <c r="LIH65" s="137"/>
      <c r="LII65" s="137"/>
      <c r="LIJ65" s="137"/>
      <c r="LIK65" s="137"/>
      <c r="LIL65" s="137"/>
      <c r="LIM65" s="137"/>
      <c r="LIN65" s="137"/>
      <c r="LIO65" s="137"/>
      <c r="LIP65" s="137"/>
      <c r="LIQ65" s="137"/>
      <c r="LIR65" s="137"/>
      <c r="LIS65" s="137"/>
      <c r="LIT65" s="137"/>
      <c r="LIU65" s="137"/>
      <c r="LIV65" s="137"/>
      <c r="LIW65" s="137"/>
      <c r="LIX65" s="137"/>
      <c r="LIY65" s="137"/>
      <c r="LIZ65" s="137"/>
      <c r="LJA65" s="137"/>
      <c r="LJB65" s="137"/>
      <c r="LJC65" s="137"/>
      <c r="LJD65" s="137"/>
      <c r="LJE65" s="137"/>
      <c r="LJF65" s="137"/>
      <c r="LJG65" s="137"/>
      <c r="LJH65" s="137"/>
      <c r="LJI65" s="137"/>
      <c r="LJJ65" s="137"/>
      <c r="LJK65" s="137"/>
      <c r="LJL65" s="137"/>
      <c r="LJM65" s="137"/>
      <c r="LJN65" s="137"/>
      <c r="LJO65" s="137"/>
      <c r="LJP65" s="137"/>
      <c r="LJQ65" s="137"/>
      <c r="LJR65" s="137"/>
      <c r="LJS65" s="137"/>
      <c r="LJT65" s="137"/>
      <c r="LJU65" s="137"/>
      <c r="LJV65" s="137"/>
      <c r="LJW65" s="137"/>
      <c r="LJX65" s="137"/>
      <c r="LJY65" s="137"/>
      <c r="LJZ65" s="137"/>
      <c r="LKA65" s="137"/>
      <c r="LKB65" s="137"/>
      <c r="LKC65" s="137"/>
      <c r="LKD65" s="137"/>
      <c r="LKE65" s="137"/>
      <c r="LKF65" s="137"/>
      <c r="LKG65" s="137"/>
      <c r="LKH65" s="137"/>
      <c r="LKI65" s="137"/>
      <c r="LKJ65" s="137"/>
      <c r="LKK65" s="137"/>
      <c r="LKL65" s="137"/>
      <c r="LKM65" s="137"/>
      <c r="LKN65" s="137"/>
      <c r="LKO65" s="137"/>
      <c r="LKP65" s="137"/>
      <c r="LKQ65" s="137"/>
      <c r="LKR65" s="137"/>
      <c r="LKS65" s="137"/>
      <c r="LKT65" s="137"/>
      <c r="LKU65" s="137"/>
      <c r="LKV65" s="137"/>
      <c r="LKW65" s="137"/>
      <c r="LKX65" s="137"/>
      <c r="LKY65" s="137"/>
      <c r="LKZ65" s="137"/>
      <c r="LLA65" s="137"/>
      <c r="LLB65" s="137"/>
      <c r="LLC65" s="137"/>
      <c r="LLD65" s="137"/>
      <c r="LLE65" s="137"/>
      <c r="LLF65" s="137"/>
      <c r="LLG65" s="137"/>
      <c r="LLH65" s="137"/>
      <c r="LLI65" s="137"/>
      <c r="LLJ65" s="137"/>
      <c r="LLK65" s="137"/>
      <c r="LLL65" s="137"/>
      <c r="LLM65" s="137"/>
      <c r="LLN65" s="137"/>
      <c r="LLO65" s="137"/>
      <c r="LLP65" s="137"/>
      <c r="LLQ65" s="137"/>
      <c r="LLR65" s="137"/>
      <c r="LLS65" s="137"/>
      <c r="LLT65" s="137"/>
      <c r="LLU65" s="137"/>
      <c r="LLV65" s="137"/>
      <c r="LLW65" s="137"/>
      <c r="LLX65" s="137"/>
      <c r="LLY65" s="137"/>
      <c r="LLZ65" s="137"/>
      <c r="LMA65" s="137"/>
      <c r="LMB65" s="137"/>
      <c r="LMC65" s="137"/>
      <c r="LMD65" s="137"/>
      <c r="LME65" s="137"/>
      <c r="LMF65" s="137"/>
      <c r="LMG65" s="137"/>
      <c r="LMH65" s="137"/>
      <c r="LMI65" s="137"/>
      <c r="LMJ65" s="137"/>
      <c r="LMK65" s="137"/>
      <c r="LML65" s="137"/>
      <c r="LMM65" s="137"/>
      <c r="LMN65" s="137"/>
      <c r="LMO65" s="137"/>
      <c r="LMP65" s="137"/>
      <c r="LMQ65" s="137"/>
      <c r="LMR65" s="137"/>
      <c r="LMS65" s="137"/>
      <c r="LMT65" s="137"/>
      <c r="LMU65" s="137"/>
      <c r="LMV65" s="137"/>
      <c r="LMW65" s="137"/>
      <c r="LMX65" s="137"/>
      <c r="LMY65" s="137"/>
      <c r="LMZ65" s="137"/>
      <c r="LNA65" s="137"/>
      <c r="LNB65" s="137"/>
      <c r="LNC65" s="137"/>
      <c r="LND65" s="137"/>
      <c r="LNE65" s="137"/>
      <c r="LNF65" s="137"/>
      <c r="LNG65" s="137"/>
      <c r="LNH65" s="137"/>
      <c r="LNI65" s="137"/>
      <c r="LNJ65" s="137"/>
      <c r="LNK65" s="137"/>
      <c r="LNL65" s="137"/>
      <c r="LNM65" s="137"/>
      <c r="LNN65" s="137"/>
      <c r="LNO65" s="137"/>
      <c r="LNP65" s="137"/>
      <c r="LNQ65" s="137"/>
      <c r="LNR65" s="137"/>
      <c r="LNS65" s="137"/>
      <c r="LNT65" s="137"/>
      <c r="LNU65" s="137"/>
      <c r="LNV65" s="137"/>
      <c r="LNW65" s="137"/>
      <c r="LNX65" s="137"/>
      <c r="LNY65" s="137"/>
      <c r="LNZ65" s="137"/>
      <c r="LOA65" s="137"/>
      <c r="LOB65" s="137"/>
      <c r="LOC65" s="137"/>
      <c r="LOD65" s="137"/>
      <c r="LOE65" s="137"/>
      <c r="LOF65" s="137"/>
      <c r="LOG65" s="137"/>
      <c r="LOH65" s="137"/>
      <c r="LOI65" s="137"/>
      <c r="LOJ65" s="137"/>
      <c r="LOK65" s="137"/>
      <c r="LOL65" s="137"/>
      <c r="LOM65" s="137"/>
      <c r="LON65" s="137"/>
      <c r="LOO65" s="137"/>
      <c r="LOP65" s="137"/>
      <c r="LOQ65" s="137"/>
      <c r="LOR65" s="137"/>
      <c r="LOS65" s="137"/>
      <c r="LOT65" s="137"/>
      <c r="LOU65" s="137"/>
      <c r="LOV65" s="137"/>
      <c r="LOW65" s="137"/>
      <c r="LOX65" s="137"/>
      <c r="LOY65" s="137"/>
      <c r="LOZ65" s="137"/>
      <c r="LPA65" s="137"/>
      <c r="LPB65" s="137"/>
      <c r="LPC65" s="137"/>
      <c r="LPD65" s="137"/>
      <c r="LPE65" s="137"/>
      <c r="LPF65" s="137"/>
      <c r="LPG65" s="137"/>
      <c r="LPH65" s="137"/>
      <c r="LPI65" s="137"/>
      <c r="LPJ65" s="137"/>
      <c r="LPK65" s="137"/>
      <c r="LPL65" s="137"/>
      <c r="LPM65" s="137"/>
      <c r="LPN65" s="137"/>
      <c r="LPO65" s="137"/>
      <c r="LPP65" s="137"/>
      <c r="LPQ65" s="137"/>
      <c r="LPR65" s="137"/>
      <c r="LPS65" s="137"/>
      <c r="LPT65" s="137"/>
      <c r="LPU65" s="137"/>
      <c r="LPV65" s="137"/>
      <c r="LPW65" s="137"/>
      <c r="LPX65" s="137"/>
      <c r="LPY65" s="137"/>
      <c r="LPZ65" s="137"/>
      <c r="LQA65" s="137"/>
      <c r="LQB65" s="137"/>
      <c r="LQC65" s="137"/>
      <c r="LQD65" s="137"/>
      <c r="LQE65" s="137"/>
      <c r="LQF65" s="137"/>
      <c r="LQG65" s="137"/>
      <c r="LQH65" s="137"/>
      <c r="LQI65" s="137"/>
      <c r="LQJ65" s="137"/>
      <c r="LQK65" s="137"/>
      <c r="LQL65" s="137"/>
      <c r="LQM65" s="137"/>
      <c r="LQN65" s="137"/>
      <c r="LQO65" s="137"/>
      <c r="LQP65" s="137"/>
      <c r="LQQ65" s="137"/>
      <c r="LQR65" s="137"/>
      <c r="LQS65" s="137"/>
      <c r="LQT65" s="137"/>
      <c r="LQU65" s="137"/>
      <c r="LQV65" s="137"/>
      <c r="LQW65" s="137"/>
      <c r="LQX65" s="137"/>
      <c r="LQY65" s="137"/>
      <c r="LQZ65" s="137"/>
      <c r="LRA65" s="137"/>
      <c r="LRB65" s="137"/>
      <c r="LRC65" s="137"/>
      <c r="LRD65" s="137"/>
      <c r="LRE65" s="137"/>
      <c r="LRF65" s="137"/>
      <c r="LRG65" s="137"/>
      <c r="LRH65" s="137"/>
      <c r="LRI65" s="137"/>
      <c r="LRJ65" s="137"/>
      <c r="LRK65" s="137"/>
      <c r="LRL65" s="137"/>
      <c r="LRM65" s="137"/>
      <c r="LRN65" s="137"/>
      <c r="LRO65" s="137"/>
      <c r="LRP65" s="137"/>
      <c r="LRQ65" s="137"/>
      <c r="LRR65" s="137"/>
      <c r="LRS65" s="137"/>
      <c r="LRT65" s="137"/>
      <c r="LRU65" s="137"/>
      <c r="LRV65" s="137"/>
      <c r="LRW65" s="137"/>
      <c r="LRX65" s="137"/>
      <c r="LRY65" s="137"/>
      <c r="LRZ65" s="137"/>
      <c r="LSA65" s="137"/>
      <c r="LSB65" s="137"/>
      <c r="LSC65" s="137"/>
      <c r="LSD65" s="137"/>
      <c r="LSE65" s="137"/>
      <c r="LSF65" s="137"/>
      <c r="LSG65" s="137"/>
      <c r="LSH65" s="137"/>
      <c r="LSI65" s="137"/>
      <c r="LSJ65" s="137"/>
      <c r="LSK65" s="137"/>
      <c r="LSL65" s="137"/>
      <c r="LSM65" s="137"/>
      <c r="LSN65" s="137"/>
      <c r="LSO65" s="137"/>
      <c r="LSP65" s="137"/>
      <c r="LSQ65" s="137"/>
      <c r="LSR65" s="137"/>
      <c r="LSS65" s="137"/>
      <c r="LST65" s="137"/>
      <c r="LSU65" s="137"/>
      <c r="LSV65" s="137"/>
      <c r="LSW65" s="137"/>
      <c r="LSX65" s="137"/>
      <c r="LSY65" s="137"/>
      <c r="LSZ65" s="137"/>
      <c r="LTA65" s="137"/>
      <c r="LTB65" s="137"/>
      <c r="LTC65" s="137"/>
      <c r="LTD65" s="137"/>
      <c r="LTE65" s="137"/>
      <c r="LTF65" s="137"/>
      <c r="LTG65" s="137"/>
      <c r="LTH65" s="137"/>
      <c r="LTI65" s="137"/>
      <c r="LTJ65" s="137"/>
      <c r="LTK65" s="137"/>
      <c r="LTL65" s="137"/>
      <c r="LTM65" s="137"/>
      <c r="LTN65" s="137"/>
      <c r="LTO65" s="137"/>
      <c r="LTP65" s="137"/>
      <c r="LTQ65" s="137"/>
      <c r="LTR65" s="137"/>
      <c r="LTS65" s="137"/>
      <c r="LTT65" s="137"/>
      <c r="LTU65" s="137"/>
      <c r="LTV65" s="137"/>
      <c r="LTW65" s="137"/>
      <c r="LTX65" s="137"/>
      <c r="LTY65" s="137"/>
      <c r="LTZ65" s="137"/>
      <c r="LUA65" s="137"/>
      <c r="LUB65" s="137"/>
      <c r="LUC65" s="137"/>
      <c r="LUD65" s="137"/>
      <c r="LUE65" s="137"/>
      <c r="LUF65" s="137"/>
      <c r="LUG65" s="137"/>
      <c r="LUH65" s="137"/>
      <c r="LUI65" s="137"/>
      <c r="LUJ65" s="137"/>
      <c r="LUK65" s="137"/>
      <c r="LUL65" s="137"/>
      <c r="LUM65" s="137"/>
      <c r="LUN65" s="137"/>
      <c r="LUO65" s="137"/>
      <c r="LUP65" s="137"/>
      <c r="LUQ65" s="137"/>
      <c r="LUR65" s="137"/>
      <c r="LUS65" s="137"/>
      <c r="LUT65" s="137"/>
      <c r="LUU65" s="137"/>
      <c r="LUV65" s="137"/>
      <c r="LUW65" s="137"/>
      <c r="LUX65" s="137"/>
      <c r="LUY65" s="137"/>
      <c r="LUZ65" s="137"/>
      <c r="LVA65" s="137"/>
      <c r="LVB65" s="137"/>
      <c r="LVC65" s="137"/>
      <c r="LVD65" s="137"/>
      <c r="LVE65" s="137"/>
      <c r="LVF65" s="137"/>
      <c r="LVG65" s="137"/>
      <c r="LVH65" s="137"/>
      <c r="LVI65" s="137"/>
      <c r="LVJ65" s="137"/>
      <c r="LVK65" s="137"/>
      <c r="LVL65" s="137"/>
      <c r="LVM65" s="137"/>
      <c r="LVN65" s="137"/>
      <c r="LVO65" s="137"/>
      <c r="LVP65" s="137"/>
      <c r="LVQ65" s="137"/>
      <c r="LVR65" s="137"/>
      <c r="LVS65" s="137"/>
      <c r="LVT65" s="137"/>
      <c r="LVU65" s="137"/>
      <c r="LVV65" s="137"/>
      <c r="LVW65" s="137"/>
      <c r="LVX65" s="137"/>
      <c r="LVY65" s="137"/>
      <c r="LVZ65" s="137"/>
      <c r="LWA65" s="137"/>
      <c r="LWB65" s="137"/>
      <c r="LWC65" s="137"/>
      <c r="LWD65" s="137"/>
      <c r="LWE65" s="137"/>
      <c r="LWF65" s="137"/>
      <c r="LWG65" s="137"/>
      <c r="LWH65" s="137"/>
      <c r="LWI65" s="137"/>
      <c r="LWJ65" s="137"/>
      <c r="LWK65" s="137"/>
      <c r="LWL65" s="137"/>
      <c r="LWM65" s="137"/>
      <c r="LWN65" s="137"/>
      <c r="LWO65" s="137"/>
      <c r="LWP65" s="137"/>
      <c r="LWQ65" s="137"/>
      <c r="LWR65" s="137"/>
      <c r="LWS65" s="137"/>
      <c r="LWT65" s="137"/>
      <c r="LWU65" s="137"/>
      <c r="LWV65" s="137"/>
      <c r="LWW65" s="137"/>
      <c r="LWX65" s="137"/>
      <c r="LWY65" s="137"/>
      <c r="LWZ65" s="137"/>
      <c r="LXA65" s="137"/>
      <c r="LXB65" s="137"/>
      <c r="LXC65" s="137"/>
      <c r="LXD65" s="137"/>
      <c r="LXE65" s="137"/>
      <c r="LXF65" s="137"/>
      <c r="LXG65" s="137"/>
      <c r="LXH65" s="137"/>
      <c r="LXI65" s="137"/>
      <c r="LXJ65" s="137"/>
      <c r="LXK65" s="137"/>
      <c r="LXL65" s="137"/>
      <c r="LXM65" s="137"/>
      <c r="LXN65" s="137"/>
      <c r="LXO65" s="137"/>
      <c r="LXP65" s="137"/>
      <c r="LXQ65" s="137"/>
      <c r="LXR65" s="137"/>
      <c r="LXS65" s="137"/>
      <c r="LXT65" s="137"/>
      <c r="LXU65" s="137"/>
      <c r="LXV65" s="137"/>
      <c r="LXW65" s="137"/>
      <c r="LXX65" s="137"/>
      <c r="LXY65" s="137"/>
      <c r="LXZ65" s="137"/>
      <c r="LYA65" s="137"/>
      <c r="LYB65" s="137"/>
      <c r="LYC65" s="137"/>
      <c r="LYD65" s="137"/>
      <c r="LYE65" s="137"/>
      <c r="LYF65" s="137"/>
      <c r="LYG65" s="137"/>
      <c r="LYH65" s="137"/>
      <c r="LYI65" s="137"/>
      <c r="LYJ65" s="137"/>
      <c r="LYK65" s="137"/>
      <c r="LYL65" s="137"/>
      <c r="LYM65" s="137"/>
      <c r="LYN65" s="137"/>
      <c r="LYO65" s="137"/>
      <c r="LYP65" s="137"/>
      <c r="LYQ65" s="137"/>
      <c r="LYR65" s="137"/>
      <c r="LYS65" s="137"/>
      <c r="LYT65" s="137"/>
      <c r="LYU65" s="137"/>
      <c r="LYV65" s="137"/>
      <c r="LYW65" s="137"/>
      <c r="LYX65" s="137"/>
      <c r="LYY65" s="137"/>
      <c r="LYZ65" s="137"/>
      <c r="LZA65" s="137"/>
      <c r="LZB65" s="137"/>
      <c r="LZC65" s="137"/>
      <c r="LZD65" s="137"/>
      <c r="LZE65" s="137"/>
      <c r="LZF65" s="137"/>
      <c r="LZG65" s="137"/>
      <c r="LZH65" s="137"/>
      <c r="LZI65" s="137"/>
      <c r="LZJ65" s="137"/>
      <c r="LZK65" s="137"/>
      <c r="LZL65" s="137"/>
      <c r="LZM65" s="137"/>
      <c r="LZN65" s="137"/>
      <c r="LZO65" s="137"/>
      <c r="LZP65" s="137"/>
      <c r="LZQ65" s="137"/>
      <c r="LZR65" s="137"/>
      <c r="LZS65" s="137"/>
      <c r="LZT65" s="137"/>
      <c r="LZU65" s="137"/>
      <c r="LZV65" s="137"/>
      <c r="LZW65" s="137"/>
      <c r="LZX65" s="137"/>
      <c r="LZY65" s="137"/>
      <c r="LZZ65" s="137"/>
      <c r="MAA65" s="137"/>
      <c r="MAB65" s="137"/>
      <c r="MAC65" s="137"/>
      <c r="MAD65" s="137"/>
      <c r="MAE65" s="137"/>
      <c r="MAF65" s="137"/>
      <c r="MAG65" s="137"/>
      <c r="MAH65" s="137"/>
      <c r="MAI65" s="137"/>
      <c r="MAJ65" s="137"/>
      <c r="MAK65" s="137"/>
      <c r="MAL65" s="137"/>
      <c r="MAM65" s="137"/>
      <c r="MAN65" s="137"/>
      <c r="MAO65" s="137"/>
      <c r="MAP65" s="137"/>
      <c r="MAQ65" s="137"/>
      <c r="MAR65" s="137"/>
      <c r="MAS65" s="137"/>
      <c r="MAT65" s="137"/>
      <c r="MAU65" s="137"/>
      <c r="MAV65" s="137"/>
      <c r="MAW65" s="137"/>
      <c r="MAX65" s="137"/>
      <c r="MAY65" s="137"/>
      <c r="MAZ65" s="137"/>
      <c r="MBA65" s="137"/>
      <c r="MBB65" s="137"/>
      <c r="MBC65" s="137"/>
      <c r="MBD65" s="137"/>
      <c r="MBE65" s="137"/>
      <c r="MBF65" s="137"/>
      <c r="MBG65" s="137"/>
      <c r="MBH65" s="137"/>
      <c r="MBI65" s="137"/>
      <c r="MBJ65" s="137"/>
      <c r="MBK65" s="137"/>
      <c r="MBL65" s="137"/>
      <c r="MBM65" s="137"/>
      <c r="MBN65" s="137"/>
      <c r="MBO65" s="137"/>
      <c r="MBP65" s="137"/>
      <c r="MBQ65" s="137"/>
      <c r="MBR65" s="137"/>
      <c r="MBS65" s="137"/>
      <c r="MBT65" s="137"/>
      <c r="MBU65" s="137"/>
      <c r="MBV65" s="137"/>
      <c r="MBW65" s="137"/>
      <c r="MBX65" s="137"/>
      <c r="MBY65" s="137"/>
      <c r="MBZ65" s="137"/>
      <c r="MCA65" s="137"/>
      <c r="MCB65" s="137"/>
      <c r="MCC65" s="137"/>
      <c r="MCD65" s="137"/>
      <c r="MCE65" s="137"/>
      <c r="MCF65" s="137"/>
      <c r="MCG65" s="137"/>
      <c r="MCH65" s="137"/>
      <c r="MCI65" s="137"/>
      <c r="MCJ65" s="137"/>
      <c r="MCK65" s="137"/>
      <c r="MCL65" s="137"/>
      <c r="MCM65" s="137"/>
      <c r="MCN65" s="137"/>
      <c r="MCO65" s="137"/>
      <c r="MCP65" s="137"/>
      <c r="MCQ65" s="137"/>
      <c r="MCR65" s="137"/>
      <c r="MCS65" s="137"/>
      <c r="MCT65" s="137"/>
      <c r="MCU65" s="137"/>
      <c r="MCV65" s="137"/>
      <c r="MCW65" s="137"/>
      <c r="MCX65" s="137"/>
      <c r="MCY65" s="137"/>
      <c r="MCZ65" s="137"/>
      <c r="MDA65" s="137"/>
      <c r="MDB65" s="137"/>
      <c r="MDC65" s="137"/>
      <c r="MDD65" s="137"/>
      <c r="MDE65" s="137"/>
      <c r="MDF65" s="137"/>
      <c r="MDG65" s="137"/>
      <c r="MDH65" s="137"/>
      <c r="MDI65" s="137"/>
      <c r="MDJ65" s="137"/>
      <c r="MDK65" s="137"/>
      <c r="MDL65" s="137"/>
      <c r="MDM65" s="137"/>
      <c r="MDN65" s="137"/>
      <c r="MDO65" s="137"/>
      <c r="MDP65" s="137"/>
      <c r="MDQ65" s="137"/>
      <c r="MDR65" s="137"/>
      <c r="MDS65" s="137"/>
      <c r="MDT65" s="137"/>
      <c r="MDU65" s="137"/>
      <c r="MDV65" s="137"/>
      <c r="MDW65" s="137"/>
      <c r="MDX65" s="137"/>
      <c r="MDY65" s="137"/>
      <c r="MDZ65" s="137"/>
      <c r="MEA65" s="137"/>
      <c r="MEB65" s="137"/>
      <c r="MEC65" s="137"/>
      <c r="MED65" s="137"/>
      <c r="MEE65" s="137"/>
      <c r="MEF65" s="137"/>
      <c r="MEG65" s="137"/>
      <c r="MEH65" s="137"/>
      <c r="MEI65" s="137"/>
      <c r="MEJ65" s="137"/>
      <c r="MEK65" s="137"/>
      <c r="MEL65" s="137"/>
      <c r="MEM65" s="137"/>
      <c r="MEN65" s="137"/>
      <c r="MEO65" s="137"/>
      <c r="MEP65" s="137"/>
      <c r="MEQ65" s="137"/>
      <c r="MER65" s="137"/>
      <c r="MES65" s="137"/>
      <c r="MET65" s="137"/>
      <c r="MEU65" s="137"/>
      <c r="MEV65" s="137"/>
      <c r="MEW65" s="137"/>
      <c r="MEX65" s="137"/>
      <c r="MEY65" s="137"/>
      <c r="MEZ65" s="137"/>
      <c r="MFA65" s="137"/>
      <c r="MFB65" s="137"/>
      <c r="MFC65" s="137"/>
      <c r="MFD65" s="137"/>
      <c r="MFE65" s="137"/>
      <c r="MFF65" s="137"/>
      <c r="MFG65" s="137"/>
      <c r="MFH65" s="137"/>
      <c r="MFI65" s="137"/>
      <c r="MFJ65" s="137"/>
      <c r="MFK65" s="137"/>
      <c r="MFL65" s="137"/>
      <c r="MFM65" s="137"/>
      <c r="MFN65" s="137"/>
      <c r="MFO65" s="137"/>
      <c r="MFP65" s="137"/>
      <c r="MFQ65" s="137"/>
      <c r="MFR65" s="137"/>
      <c r="MFS65" s="137"/>
      <c r="MFT65" s="137"/>
      <c r="MFU65" s="137"/>
      <c r="MFV65" s="137"/>
      <c r="MFW65" s="137"/>
      <c r="MFX65" s="137"/>
      <c r="MFY65" s="137"/>
      <c r="MFZ65" s="137"/>
      <c r="MGA65" s="137"/>
      <c r="MGB65" s="137"/>
      <c r="MGC65" s="137"/>
      <c r="MGD65" s="137"/>
      <c r="MGE65" s="137"/>
      <c r="MGF65" s="137"/>
      <c r="MGG65" s="137"/>
      <c r="MGH65" s="137"/>
      <c r="MGI65" s="137"/>
      <c r="MGJ65" s="137"/>
      <c r="MGK65" s="137"/>
      <c r="MGL65" s="137"/>
      <c r="MGM65" s="137"/>
      <c r="MGN65" s="137"/>
      <c r="MGO65" s="137"/>
      <c r="MGP65" s="137"/>
      <c r="MGQ65" s="137"/>
      <c r="MGR65" s="137"/>
      <c r="MGS65" s="137"/>
      <c r="MGT65" s="137"/>
      <c r="MGU65" s="137"/>
      <c r="MGV65" s="137"/>
      <c r="MGW65" s="137"/>
      <c r="MGX65" s="137"/>
      <c r="MGY65" s="137"/>
      <c r="MGZ65" s="137"/>
      <c r="MHA65" s="137"/>
      <c r="MHB65" s="137"/>
      <c r="MHC65" s="137"/>
      <c r="MHD65" s="137"/>
      <c r="MHE65" s="137"/>
      <c r="MHF65" s="137"/>
      <c r="MHG65" s="137"/>
      <c r="MHH65" s="137"/>
      <c r="MHI65" s="137"/>
      <c r="MHJ65" s="137"/>
      <c r="MHK65" s="137"/>
      <c r="MHL65" s="137"/>
      <c r="MHM65" s="137"/>
      <c r="MHN65" s="137"/>
      <c r="MHO65" s="137"/>
      <c r="MHP65" s="137"/>
      <c r="MHQ65" s="137"/>
      <c r="MHR65" s="137"/>
      <c r="MHS65" s="137"/>
      <c r="MHT65" s="137"/>
      <c r="MHU65" s="137"/>
      <c r="MHV65" s="137"/>
      <c r="MHW65" s="137"/>
      <c r="MHX65" s="137"/>
      <c r="MHY65" s="137"/>
      <c r="MHZ65" s="137"/>
      <c r="MIA65" s="137"/>
      <c r="MIB65" s="137"/>
      <c r="MIC65" s="137"/>
      <c r="MID65" s="137"/>
      <c r="MIE65" s="137"/>
      <c r="MIF65" s="137"/>
      <c r="MIG65" s="137"/>
      <c r="MIH65" s="137"/>
      <c r="MII65" s="137"/>
      <c r="MIJ65" s="137"/>
      <c r="MIK65" s="137"/>
      <c r="MIL65" s="137"/>
      <c r="MIM65" s="137"/>
      <c r="MIN65" s="137"/>
      <c r="MIO65" s="137"/>
      <c r="MIP65" s="137"/>
      <c r="MIQ65" s="137"/>
      <c r="MIR65" s="137"/>
      <c r="MIS65" s="137"/>
      <c r="MIT65" s="137"/>
      <c r="MIU65" s="137"/>
      <c r="MIV65" s="137"/>
      <c r="MIW65" s="137"/>
      <c r="MIX65" s="137"/>
      <c r="MIY65" s="137"/>
      <c r="MIZ65" s="137"/>
      <c r="MJA65" s="137"/>
      <c r="MJB65" s="137"/>
      <c r="MJC65" s="137"/>
      <c r="MJD65" s="137"/>
      <c r="MJE65" s="137"/>
      <c r="MJF65" s="137"/>
      <c r="MJG65" s="137"/>
      <c r="MJH65" s="137"/>
      <c r="MJI65" s="137"/>
      <c r="MJJ65" s="137"/>
      <c r="MJK65" s="137"/>
      <c r="MJL65" s="137"/>
      <c r="MJM65" s="137"/>
      <c r="MJN65" s="137"/>
      <c r="MJO65" s="137"/>
      <c r="MJP65" s="137"/>
      <c r="MJQ65" s="137"/>
      <c r="MJR65" s="137"/>
      <c r="MJS65" s="137"/>
      <c r="MJT65" s="137"/>
      <c r="MJU65" s="137"/>
      <c r="MJV65" s="137"/>
      <c r="MJW65" s="137"/>
      <c r="MJX65" s="137"/>
      <c r="MJY65" s="137"/>
      <c r="MJZ65" s="137"/>
      <c r="MKA65" s="137"/>
      <c r="MKB65" s="137"/>
      <c r="MKC65" s="137"/>
      <c r="MKD65" s="137"/>
      <c r="MKE65" s="137"/>
      <c r="MKF65" s="137"/>
      <c r="MKG65" s="137"/>
      <c r="MKH65" s="137"/>
      <c r="MKI65" s="137"/>
      <c r="MKJ65" s="137"/>
      <c r="MKK65" s="137"/>
      <c r="MKL65" s="137"/>
      <c r="MKM65" s="137"/>
      <c r="MKN65" s="137"/>
      <c r="MKO65" s="137"/>
      <c r="MKP65" s="137"/>
      <c r="MKQ65" s="137"/>
      <c r="MKR65" s="137"/>
      <c r="MKS65" s="137"/>
      <c r="MKT65" s="137"/>
      <c r="MKU65" s="137"/>
      <c r="MKV65" s="137"/>
      <c r="MKW65" s="137"/>
      <c r="MKX65" s="137"/>
      <c r="MKY65" s="137"/>
      <c r="MKZ65" s="137"/>
      <c r="MLA65" s="137"/>
      <c r="MLB65" s="137"/>
      <c r="MLC65" s="137"/>
      <c r="MLD65" s="137"/>
      <c r="MLE65" s="137"/>
      <c r="MLF65" s="137"/>
      <c r="MLG65" s="137"/>
      <c r="MLH65" s="137"/>
      <c r="MLI65" s="137"/>
      <c r="MLJ65" s="137"/>
      <c r="MLK65" s="137"/>
      <c r="MLL65" s="137"/>
      <c r="MLM65" s="137"/>
      <c r="MLN65" s="137"/>
      <c r="MLO65" s="137"/>
      <c r="MLP65" s="137"/>
      <c r="MLQ65" s="137"/>
      <c r="MLR65" s="137"/>
      <c r="MLS65" s="137"/>
      <c r="MLT65" s="137"/>
      <c r="MLU65" s="137"/>
      <c r="MLV65" s="137"/>
      <c r="MLW65" s="137"/>
      <c r="MLX65" s="137"/>
      <c r="MLY65" s="137"/>
      <c r="MLZ65" s="137"/>
      <c r="MMA65" s="137"/>
      <c r="MMB65" s="137"/>
      <c r="MMC65" s="137"/>
      <c r="MMD65" s="137"/>
      <c r="MME65" s="137"/>
      <c r="MMF65" s="137"/>
      <c r="MMG65" s="137"/>
      <c r="MMH65" s="137"/>
      <c r="MMI65" s="137"/>
      <c r="MMJ65" s="137"/>
      <c r="MMK65" s="137"/>
      <c r="MML65" s="137"/>
      <c r="MMM65" s="137"/>
      <c r="MMN65" s="137"/>
      <c r="MMO65" s="137"/>
      <c r="MMP65" s="137"/>
      <c r="MMQ65" s="137"/>
      <c r="MMR65" s="137"/>
      <c r="MMS65" s="137"/>
      <c r="MMT65" s="137"/>
      <c r="MMU65" s="137"/>
      <c r="MMV65" s="137"/>
      <c r="MMW65" s="137"/>
      <c r="MMX65" s="137"/>
      <c r="MMY65" s="137"/>
      <c r="MMZ65" s="137"/>
      <c r="MNA65" s="137"/>
      <c r="MNB65" s="137"/>
      <c r="MNC65" s="137"/>
      <c r="MND65" s="137"/>
      <c r="MNE65" s="137"/>
      <c r="MNF65" s="137"/>
      <c r="MNG65" s="137"/>
      <c r="MNH65" s="137"/>
      <c r="MNI65" s="137"/>
      <c r="MNJ65" s="137"/>
      <c r="MNK65" s="137"/>
      <c r="MNL65" s="137"/>
      <c r="MNM65" s="137"/>
      <c r="MNN65" s="137"/>
      <c r="MNO65" s="137"/>
      <c r="MNP65" s="137"/>
      <c r="MNQ65" s="137"/>
      <c r="MNR65" s="137"/>
      <c r="MNS65" s="137"/>
      <c r="MNT65" s="137"/>
      <c r="MNU65" s="137"/>
      <c r="MNV65" s="137"/>
      <c r="MNW65" s="137"/>
      <c r="MNX65" s="137"/>
      <c r="MNY65" s="137"/>
      <c r="MNZ65" s="137"/>
      <c r="MOA65" s="137"/>
      <c r="MOB65" s="137"/>
      <c r="MOC65" s="137"/>
      <c r="MOD65" s="137"/>
      <c r="MOE65" s="137"/>
      <c r="MOF65" s="137"/>
      <c r="MOG65" s="137"/>
      <c r="MOH65" s="137"/>
      <c r="MOI65" s="137"/>
      <c r="MOJ65" s="137"/>
      <c r="MOK65" s="137"/>
      <c r="MOL65" s="137"/>
      <c r="MOM65" s="137"/>
      <c r="MON65" s="137"/>
      <c r="MOO65" s="137"/>
      <c r="MOP65" s="137"/>
      <c r="MOQ65" s="137"/>
      <c r="MOR65" s="137"/>
      <c r="MOS65" s="137"/>
      <c r="MOT65" s="137"/>
      <c r="MOU65" s="137"/>
      <c r="MOV65" s="137"/>
      <c r="MOW65" s="137"/>
      <c r="MOX65" s="137"/>
      <c r="MOY65" s="137"/>
      <c r="MOZ65" s="137"/>
      <c r="MPA65" s="137"/>
      <c r="MPB65" s="137"/>
      <c r="MPC65" s="137"/>
      <c r="MPD65" s="137"/>
      <c r="MPE65" s="137"/>
      <c r="MPF65" s="137"/>
      <c r="MPG65" s="137"/>
      <c r="MPH65" s="137"/>
      <c r="MPI65" s="137"/>
      <c r="MPJ65" s="137"/>
      <c r="MPK65" s="137"/>
      <c r="MPL65" s="137"/>
      <c r="MPM65" s="137"/>
      <c r="MPN65" s="137"/>
      <c r="MPO65" s="137"/>
      <c r="MPP65" s="137"/>
      <c r="MPQ65" s="137"/>
      <c r="MPR65" s="137"/>
      <c r="MPS65" s="137"/>
      <c r="MPT65" s="137"/>
      <c r="MPU65" s="137"/>
      <c r="MPV65" s="137"/>
      <c r="MPW65" s="137"/>
      <c r="MPX65" s="137"/>
      <c r="MPY65" s="137"/>
      <c r="MPZ65" s="137"/>
      <c r="MQA65" s="137"/>
      <c r="MQB65" s="137"/>
      <c r="MQC65" s="137"/>
      <c r="MQD65" s="137"/>
      <c r="MQE65" s="137"/>
      <c r="MQF65" s="137"/>
      <c r="MQG65" s="137"/>
      <c r="MQH65" s="137"/>
      <c r="MQI65" s="137"/>
      <c r="MQJ65" s="137"/>
      <c r="MQK65" s="137"/>
      <c r="MQL65" s="137"/>
      <c r="MQM65" s="137"/>
      <c r="MQN65" s="137"/>
      <c r="MQO65" s="137"/>
      <c r="MQP65" s="137"/>
      <c r="MQQ65" s="137"/>
      <c r="MQR65" s="137"/>
      <c r="MQS65" s="137"/>
      <c r="MQT65" s="137"/>
      <c r="MQU65" s="137"/>
      <c r="MQV65" s="137"/>
      <c r="MQW65" s="137"/>
      <c r="MQX65" s="137"/>
      <c r="MQY65" s="137"/>
      <c r="MQZ65" s="137"/>
      <c r="MRA65" s="137"/>
      <c r="MRB65" s="137"/>
      <c r="MRC65" s="137"/>
      <c r="MRD65" s="137"/>
      <c r="MRE65" s="137"/>
      <c r="MRF65" s="137"/>
      <c r="MRG65" s="137"/>
      <c r="MRH65" s="137"/>
      <c r="MRI65" s="137"/>
      <c r="MRJ65" s="137"/>
      <c r="MRK65" s="137"/>
      <c r="MRL65" s="137"/>
      <c r="MRM65" s="137"/>
      <c r="MRN65" s="137"/>
      <c r="MRO65" s="137"/>
      <c r="MRP65" s="137"/>
      <c r="MRQ65" s="137"/>
      <c r="MRR65" s="137"/>
      <c r="MRS65" s="137"/>
      <c r="MRT65" s="137"/>
      <c r="MRU65" s="137"/>
      <c r="MRV65" s="137"/>
      <c r="MRW65" s="137"/>
      <c r="MRX65" s="137"/>
      <c r="MRY65" s="137"/>
      <c r="MRZ65" s="137"/>
      <c r="MSA65" s="137"/>
      <c r="MSB65" s="137"/>
      <c r="MSC65" s="137"/>
      <c r="MSD65" s="137"/>
      <c r="MSE65" s="137"/>
      <c r="MSF65" s="137"/>
      <c r="MSG65" s="137"/>
      <c r="MSH65" s="137"/>
      <c r="MSI65" s="137"/>
      <c r="MSJ65" s="137"/>
      <c r="MSK65" s="137"/>
      <c r="MSL65" s="137"/>
      <c r="MSM65" s="137"/>
      <c r="MSN65" s="137"/>
      <c r="MSO65" s="137"/>
      <c r="MSP65" s="137"/>
      <c r="MSQ65" s="137"/>
      <c r="MSR65" s="137"/>
      <c r="MSS65" s="137"/>
      <c r="MST65" s="137"/>
      <c r="MSU65" s="137"/>
      <c r="MSV65" s="137"/>
      <c r="MSW65" s="137"/>
      <c r="MSX65" s="137"/>
      <c r="MSY65" s="137"/>
      <c r="MSZ65" s="137"/>
      <c r="MTA65" s="137"/>
      <c r="MTB65" s="137"/>
      <c r="MTC65" s="137"/>
      <c r="MTD65" s="137"/>
      <c r="MTE65" s="137"/>
      <c r="MTF65" s="137"/>
      <c r="MTG65" s="137"/>
      <c r="MTH65" s="137"/>
      <c r="MTI65" s="137"/>
      <c r="MTJ65" s="137"/>
      <c r="MTK65" s="137"/>
      <c r="MTL65" s="137"/>
      <c r="MTM65" s="137"/>
      <c r="MTN65" s="137"/>
      <c r="MTO65" s="137"/>
      <c r="MTP65" s="137"/>
      <c r="MTQ65" s="137"/>
      <c r="MTR65" s="137"/>
      <c r="MTS65" s="137"/>
      <c r="MTT65" s="137"/>
      <c r="MTU65" s="137"/>
      <c r="MTV65" s="137"/>
      <c r="MTW65" s="137"/>
      <c r="MTX65" s="137"/>
      <c r="MTY65" s="137"/>
      <c r="MTZ65" s="137"/>
      <c r="MUA65" s="137"/>
      <c r="MUB65" s="137"/>
      <c r="MUC65" s="137"/>
      <c r="MUD65" s="137"/>
      <c r="MUE65" s="137"/>
      <c r="MUF65" s="137"/>
      <c r="MUG65" s="137"/>
      <c r="MUH65" s="137"/>
      <c r="MUI65" s="137"/>
      <c r="MUJ65" s="137"/>
      <c r="MUK65" s="137"/>
      <c r="MUL65" s="137"/>
      <c r="MUM65" s="137"/>
      <c r="MUN65" s="137"/>
      <c r="MUO65" s="137"/>
      <c r="MUP65" s="137"/>
      <c r="MUQ65" s="137"/>
      <c r="MUR65" s="137"/>
      <c r="MUS65" s="137"/>
      <c r="MUT65" s="137"/>
      <c r="MUU65" s="137"/>
      <c r="MUV65" s="137"/>
      <c r="MUW65" s="137"/>
      <c r="MUX65" s="137"/>
      <c r="MUY65" s="137"/>
      <c r="MUZ65" s="137"/>
      <c r="MVA65" s="137"/>
      <c r="MVB65" s="137"/>
      <c r="MVC65" s="137"/>
      <c r="MVD65" s="137"/>
      <c r="MVE65" s="137"/>
      <c r="MVF65" s="137"/>
      <c r="MVG65" s="137"/>
      <c r="MVH65" s="137"/>
      <c r="MVI65" s="137"/>
      <c r="MVJ65" s="137"/>
      <c r="MVK65" s="137"/>
      <c r="MVL65" s="137"/>
      <c r="MVM65" s="137"/>
      <c r="MVN65" s="137"/>
      <c r="MVO65" s="137"/>
      <c r="MVP65" s="137"/>
      <c r="MVQ65" s="137"/>
      <c r="MVR65" s="137"/>
      <c r="MVS65" s="137"/>
      <c r="MVT65" s="137"/>
      <c r="MVU65" s="137"/>
      <c r="MVV65" s="137"/>
      <c r="MVW65" s="137"/>
      <c r="MVX65" s="137"/>
      <c r="MVY65" s="137"/>
      <c r="MVZ65" s="137"/>
      <c r="MWA65" s="137"/>
      <c r="MWB65" s="137"/>
      <c r="MWC65" s="137"/>
      <c r="MWD65" s="137"/>
      <c r="MWE65" s="137"/>
      <c r="MWF65" s="137"/>
      <c r="MWG65" s="137"/>
      <c r="MWH65" s="137"/>
      <c r="MWI65" s="137"/>
      <c r="MWJ65" s="137"/>
      <c r="MWK65" s="137"/>
      <c r="MWL65" s="137"/>
      <c r="MWM65" s="137"/>
      <c r="MWN65" s="137"/>
      <c r="MWO65" s="137"/>
      <c r="MWP65" s="137"/>
      <c r="MWQ65" s="137"/>
      <c r="MWR65" s="137"/>
      <c r="MWS65" s="137"/>
      <c r="MWT65" s="137"/>
      <c r="MWU65" s="137"/>
      <c r="MWV65" s="137"/>
      <c r="MWW65" s="137"/>
      <c r="MWX65" s="137"/>
      <c r="MWY65" s="137"/>
      <c r="MWZ65" s="137"/>
      <c r="MXA65" s="137"/>
      <c r="MXB65" s="137"/>
      <c r="MXC65" s="137"/>
      <c r="MXD65" s="137"/>
      <c r="MXE65" s="137"/>
      <c r="MXF65" s="137"/>
      <c r="MXG65" s="137"/>
      <c r="MXH65" s="137"/>
      <c r="MXI65" s="137"/>
      <c r="MXJ65" s="137"/>
      <c r="MXK65" s="137"/>
      <c r="MXL65" s="137"/>
      <c r="MXM65" s="137"/>
      <c r="MXN65" s="137"/>
      <c r="MXO65" s="137"/>
      <c r="MXP65" s="137"/>
      <c r="MXQ65" s="137"/>
      <c r="MXR65" s="137"/>
      <c r="MXS65" s="137"/>
      <c r="MXT65" s="137"/>
      <c r="MXU65" s="137"/>
      <c r="MXV65" s="137"/>
      <c r="MXW65" s="137"/>
      <c r="MXX65" s="137"/>
      <c r="MXY65" s="137"/>
      <c r="MXZ65" s="137"/>
      <c r="MYA65" s="137"/>
      <c r="MYB65" s="137"/>
      <c r="MYC65" s="137"/>
      <c r="MYD65" s="137"/>
      <c r="MYE65" s="137"/>
      <c r="MYF65" s="137"/>
      <c r="MYG65" s="137"/>
      <c r="MYH65" s="137"/>
      <c r="MYI65" s="137"/>
      <c r="MYJ65" s="137"/>
      <c r="MYK65" s="137"/>
      <c r="MYL65" s="137"/>
      <c r="MYM65" s="137"/>
      <c r="MYN65" s="137"/>
      <c r="MYO65" s="137"/>
      <c r="MYP65" s="137"/>
      <c r="MYQ65" s="137"/>
      <c r="MYR65" s="137"/>
      <c r="MYS65" s="137"/>
      <c r="MYT65" s="137"/>
      <c r="MYU65" s="137"/>
      <c r="MYV65" s="137"/>
      <c r="MYW65" s="137"/>
      <c r="MYX65" s="137"/>
      <c r="MYY65" s="137"/>
      <c r="MYZ65" s="137"/>
      <c r="MZA65" s="137"/>
      <c r="MZB65" s="137"/>
      <c r="MZC65" s="137"/>
      <c r="MZD65" s="137"/>
      <c r="MZE65" s="137"/>
      <c r="MZF65" s="137"/>
      <c r="MZG65" s="137"/>
      <c r="MZH65" s="137"/>
      <c r="MZI65" s="137"/>
      <c r="MZJ65" s="137"/>
      <c r="MZK65" s="137"/>
      <c r="MZL65" s="137"/>
      <c r="MZM65" s="137"/>
      <c r="MZN65" s="137"/>
      <c r="MZO65" s="137"/>
      <c r="MZP65" s="137"/>
      <c r="MZQ65" s="137"/>
      <c r="MZR65" s="137"/>
      <c r="MZS65" s="137"/>
      <c r="MZT65" s="137"/>
      <c r="MZU65" s="137"/>
      <c r="MZV65" s="137"/>
      <c r="MZW65" s="137"/>
      <c r="MZX65" s="137"/>
      <c r="MZY65" s="137"/>
      <c r="MZZ65" s="137"/>
      <c r="NAA65" s="137"/>
      <c r="NAB65" s="137"/>
      <c r="NAC65" s="137"/>
      <c r="NAD65" s="137"/>
      <c r="NAE65" s="137"/>
      <c r="NAF65" s="137"/>
      <c r="NAG65" s="137"/>
      <c r="NAH65" s="137"/>
      <c r="NAI65" s="137"/>
      <c r="NAJ65" s="137"/>
      <c r="NAK65" s="137"/>
      <c r="NAL65" s="137"/>
      <c r="NAM65" s="137"/>
      <c r="NAN65" s="137"/>
      <c r="NAO65" s="137"/>
      <c r="NAP65" s="137"/>
      <c r="NAQ65" s="137"/>
      <c r="NAR65" s="137"/>
      <c r="NAS65" s="137"/>
      <c r="NAT65" s="137"/>
      <c r="NAU65" s="137"/>
      <c r="NAV65" s="137"/>
      <c r="NAW65" s="137"/>
      <c r="NAX65" s="137"/>
      <c r="NAY65" s="137"/>
      <c r="NAZ65" s="137"/>
      <c r="NBA65" s="137"/>
      <c r="NBB65" s="137"/>
      <c r="NBC65" s="137"/>
      <c r="NBD65" s="137"/>
      <c r="NBE65" s="137"/>
      <c r="NBF65" s="137"/>
      <c r="NBG65" s="137"/>
      <c r="NBH65" s="137"/>
      <c r="NBI65" s="137"/>
      <c r="NBJ65" s="137"/>
      <c r="NBK65" s="137"/>
      <c r="NBL65" s="137"/>
      <c r="NBM65" s="137"/>
      <c r="NBN65" s="137"/>
      <c r="NBO65" s="137"/>
      <c r="NBP65" s="137"/>
      <c r="NBQ65" s="137"/>
      <c r="NBR65" s="137"/>
      <c r="NBS65" s="137"/>
      <c r="NBT65" s="137"/>
      <c r="NBU65" s="137"/>
      <c r="NBV65" s="137"/>
      <c r="NBW65" s="137"/>
      <c r="NBX65" s="137"/>
      <c r="NBY65" s="137"/>
      <c r="NBZ65" s="137"/>
      <c r="NCA65" s="137"/>
      <c r="NCB65" s="137"/>
      <c r="NCC65" s="137"/>
      <c r="NCD65" s="137"/>
      <c r="NCE65" s="137"/>
      <c r="NCF65" s="137"/>
      <c r="NCG65" s="137"/>
      <c r="NCH65" s="137"/>
      <c r="NCI65" s="137"/>
      <c r="NCJ65" s="137"/>
      <c r="NCK65" s="137"/>
      <c r="NCL65" s="137"/>
      <c r="NCM65" s="137"/>
      <c r="NCN65" s="137"/>
      <c r="NCO65" s="137"/>
      <c r="NCP65" s="137"/>
      <c r="NCQ65" s="137"/>
      <c r="NCR65" s="137"/>
      <c r="NCS65" s="137"/>
      <c r="NCT65" s="137"/>
      <c r="NCU65" s="137"/>
      <c r="NCV65" s="137"/>
      <c r="NCW65" s="137"/>
      <c r="NCX65" s="137"/>
      <c r="NCY65" s="137"/>
      <c r="NCZ65" s="137"/>
      <c r="NDA65" s="137"/>
      <c r="NDB65" s="137"/>
      <c r="NDC65" s="137"/>
      <c r="NDD65" s="137"/>
      <c r="NDE65" s="137"/>
      <c r="NDF65" s="137"/>
      <c r="NDG65" s="137"/>
      <c r="NDH65" s="137"/>
      <c r="NDI65" s="137"/>
      <c r="NDJ65" s="137"/>
      <c r="NDK65" s="137"/>
      <c r="NDL65" s="137"/>
      <c r="NDM65" s="137"/>
      <c r="NDN65" s="137"/>
      <c r="NDO65" s="137"/>
      <c r="NDP65" s="137"/>
      <c r="NDQ65" s="137"/>
      <c r="NDR65" s="137"/>
      <c r="NDS65" s="137"/>
      <c r="NDT65" s="137"/>
      <c r="NDU65" s="137"/>
      <c r="NDV65" s="137"/>
      <c r="NDW65" s="137"/>
      <c r="NDX65" s="137"/>
      <c r="NDY65" s="137"/>
      <c r="NDZ65" s="137"/>
      <c r="NEA65" s="137"/>
      <c r="NEB65" s="137"/>
      <c r="NEC65" s="137"/>
      <c r="NED65" s="137"/>
      <c r="NEE65" s="137"/>
      <c r="NEF65" s="137"/>
      <c r="NEG65" s="137"/>
      <c r="NEH65" s="137"/>
      <c r="NEI65" s="137"/>
      <c r="NEJ65" s="137"/>
      <c r="NEK65" s="137"/>
      <c r="NEL65" s="137"/>
      <c r="NEM65" s="137"/>
      <c r="NEN65" s="137"/>
      <c r="NEO65" s="137"/>
      <c r="NEP65" s="137"/>
      <c r="NEQ65" s="137"/>
      <c r="NER65" s="137"/>
      <c r="NES65" s="137"/>
      <c r="NET65" s="137"/>
      <c r="NEU65" s="137"/>
      <c r="NEV65" s="137"/>
      <c r="NEW65" s="137"/>
      <c r="NEX65" s="137"/>
      <c r="NEY65" s="137"/>
      <c r="NEZ65" s="137"/>
      <c r="NFA65" s="137"/>
      <c r="NFB65" s="137"/>
      <c r="NFC65" s="137"/>
      <c r="NFD65" s="137"/>
      <c r="NFE65" s="137"/>
      <c r="NFF65" s="137"/>
      <c r="NFG65" s="137"/>
      <c r="NFH65" s="137"/>
      <c r="NFI65" s="137"/>
      <c r="NFJ65" s="137"/>
      <c r="NFK65" s="137"/>
      <c r="NFL65" s="137"/>
      <c r="NFM65" s="137"/>
      <c r="NFN65" s="137"/>
      <c r="NFO65" s="137"/>
      <c r="NFP65" s="137"/>
      <c r="NFQ65" s="137"/>
      <c r="NFR65" s="137"/>
      <c r="NFS65" s="137"/>
      <c r="NFT65" s="137"/>
      <c r="NFU65" s="137"/>
      <c r="NFV65" s="137"/>
      <c r="NFW65" s="137"/>
      <c r="NFX65" s="137"/>
      <c r="NFY65" s="137"/>
      <c r="NFZ65" s="137"/>
      <c r="NGA65" s="137"/>
      <c r="NGB65" s="137"/>
      <c r="NGC65" s="137"/>
      <c r="NGD65" s="137"/>
      <c r="NGE65" s="137"/>
      <c r="NGF65" s="137"/>
      <c r="NGG65" s="137"/>
      <c r="NGH65" s="137"/>
      <c r="NGI65" s="137"/>
      <c r="NGJ65" s="137"/>
      <c r="NGK65" s="137"/>
      <c r="NGL65" s="137"/>
      <c r="NGM65" s="137"/>
      <c r="NGN65" s="137"/>
      <c r="NGO65" s="137"/>
      <c r="NGP65" s="137"/>
      <c r="NGQ65" s="137"/>
      <c r="NGR65" s="137"/>
      <c r="NGS65" s="137"/>
      <c r="NGT65" s="137"/>
      <c r="NGU65" s="137"/>
      <c r="NGV65" s="137"/>
      <c r="NGW65" s="137"/>
      <c r="NGX65" s="137"/>
      <c r="NGY65" s="137"/>
      <c r="NGZ65" s="137"/>
      <c r="NHA65" s="137"/>
      <c r="NHB65" s="137"/>
      <c r="NHC65" s="137"/>
      <c r="NHD65" s="137"/>
      <c r="NHE65" s="137"/>
      <c r="NHF65" s="137"/>
      <c r="NHG65" s="137"/>
      <c r="NHH65" s="137"/>
      <c r="NHI65" s="137"/>
      <c r="NHJ65" s="137"/>
      <c r="NHK65" s="137"/>
      <c r="NHL65" s="137"/>
      <c r="NHM65" s="137"/>
      <c r="NHN65" s="137"/>
      <c r="NHO65" s="137"/>
      <c r="NHP65" s="137"/>
      <c r="NHQ65" s="137"/>
      <c r="NHR65" s="137"/>
      <c r="NHS65" s="137"/>
      <c r="NHT65" s="137"/>
      <c r="NHU65" s="137"/>
      <c r="NHV65" s="137"/>
      <c r="NHW65" s="137"/>
      <c r="NHX65" s="137"/>
      <c r="NHY65" s="137"/>
      <c r="NHZ65" s="137"/>
      <c r="NIA65" s="137"/>
      <c r="NIB65" s="137"/>
      <c r="NIC65" s="137"/>
      <c r="NID65" s="137"/>
      <c r="NIE65" s="137"/>
      <c r="NIF65" s="137"/>
      <c r="NIG65" s="137"/>
      <c r="NIH65" s="137"/>
      <c r="NII65" s="137"/>
      <c r="NIJ65" s="137"/>
      <c r="NIK65" s="137"/>
      <c r="NIL65" s="137"/>
      <c r="NIM65" s="137"/>
      <c r="NIN65" s="137"/>
      <c r="NIO65" s="137"/>
      <c r="NIP65" s="137"/>
      <c r="NIQ65" s="137"/>
      <c r="NIR65" s="137"/>
      <c r="NIS65" s="137"/>
      <c r="NIT65" s="137"/>
      <c r="NIU65" s="137"/>
      <c r="NIV65" s="137"/>
      <c r="NIW65" s="137"/>
      <c r="NIX65" s="137"/>
      <c r="NIY65" s="137"/>
      <c r="NIZ65" s="137"/>
      <c r="NJA65" s="137"/>
      <c r="NJB65" s="137"/>
      <c r="NJC65" s="137"/>
      <c r="NJD65" s="137"/>
      <c r="NJE65" s="137"/>
      <c r="NJF65" s="137"/>
      <c r="NJG65" s="137"/>
      <c r="NJH65" s="137"/>
      <c r="NJI65" s="137"/>
      <c r="NJJ65" s="137"/>
      <c r="NJK65" s="137"/>
      <c r="NJL65" s="137"/>
      <c r="NJM65" s="137"/>
      <c r="NJN65" s="137"/>
      <c r="NJO65" s="137"/>
      <c r="NJP65" s="137"/>
      <c r="NJQ65" s="137"/>
      <c r="NJR65" s="137"/>
      <c r="NJS65" s="137"/>
      <c r="NJT65" s="137"/>
      <c r="NJU65" s="137"/>
      <c r="NJV65" s="137"/>
      <c r="NJW65" s="137"/>
      <c r="NJX65" s="137"/>
      <c r="NJY65" s="137"/>
      <c r="NJZ65" s="137"/>
      <c r="NKA65" s="137"/>
      <c r="NKB65" s="137"/>
      <c r="NKC65" s="137"/>
      <c r="NKD65" s="137"/>
      <c r="NKE65" s="137"/>
      <c r="NKF65" s="137"/>
      <c r="NKG65" s="137"/>
      <c r="NKH65" s="137"/>
      <c r="NKI65" s="137"/>
      <c r="NKJ65" s="137"/>
      <c r="NKK65" s="137"/>
      <c r="NKL65" s="137"/>
      <c r="NKM65" s="137"/>
      <c r="NKN65" s="137"/>
      <c r="NKO65" s="137"/>
      <c r="NKP65" s="137"/>
      <c r="NKQ65" s="137"/>
      <c r="NKR65" s="137"/>
      <c r="NKS65" s="137"/>
      <c r="NKT65" s="137"/>
      <c r="NKU65" s="137"/>
      <c r="NKV65" s="137"/>
      <c r="NKW65" s="137"/>
      <c r="NKX65" s="137"/>
      <c r="NKY65" s="137"/>
      <c r="NKZ65" s="137"/>
      <c r="NLA65" s="137"/>
      <c r="NLB65" s="137"/>
      <c r="NLC65" s="137"/>
      <c r="NLD65" s="137"/>
      <c r="NLE65" s="137"/>
      <c r="NLF65" s="137"/>
      <c r="NLG65" s="137"/>
      <c r="NLH65" s="137"/>
      <c r="NLI65" s="137"/>
      <c r="NLJ65" s="137"/>
      <c r="NLK65" s="137"/>
      <c r="NLL65" s="137"/>
      <c r="NLM65" s="137"/>
      <c r="NLN65" s="137"/>
      <c r="NLO65" s="137"/>
      <c r="NLP65" s="137"/>
      <c r="NLQ65" s="137"/>
      <c r="NLR65" s="137"/>
      <c r="NLS65" s="137"/>
      <c r="NLT65" s="137"/>
      <c r="NLU65" s="137"/>
      <c r="NLV65" s="137"/>
      <c r="NLW65" s="137"/>
      <c r="NLX65" s="137"/>
      <c r="NLY65" s="137"/>
      <c r="NLZ65" s="137"/>
      <c r="NMA65" s="137"/>
      <c r="NMB65" s="137"/>
      <c r="NMC65" s="137"/>
      <c r="NMD65" s="137"/>
      <c r="NME65" s="137"/>
      <c r="NMF65" s="137"/>
      <c r="NMG65" s="137"/>
      <c r="NMH65" s="137"/>
      <c r="NMI65" s="137"/>
      <c r="NMJ65" s="137"/>
      <c r="NMK65" s="137"/>
      <c r="NML65" s="137"/>
      <c r="NMM65" s="137"/>
      <c r="NMN65" s="137"/>
      <c r="NMO65" s="137"/>
      <c r="NMP65" s="137"/>
      <c r="NMQ65" s="137"/>
      <c r="NMR65" s="137"/>
      <c r="NMS65" s="137"/>
      <c r="NMT65" s="137"/>
      <c r="NMU65" s="137"/>
      <c r="NMV65" s="137"/>
      <c r="NMW65" s="137"/>
      <c r="NMX65" s="137"/>
      <c r="NMY65" s="137"/>
      <c r="NMZ65" s="137"/>
      <c r="NNA65" s="137"/>
      <c r="NNB65" s="137"/>
      <c r="NNC65" s="137"/>
      <c r="NND65" s="137"/>
      <c r="NNE65" s="137"/>
      <c r="NNF65" s="137"/>
      <c r="NNG65" s="137"/>
      <c r="NNH65" s="137"/>
      <c r="NNI65" s="137"/>
      <c r="NNJ65" s="137"/>
      <c r="NNK65" s="137"/>
      <c r="NNL65" s="137"/>
      <c r="NNM65" s="137"/>
      <c r="NNN65" s="137"/>
      <c r="NNO65" s="137"/>
      <c r="NNP65" s="137"/>
      <c r="NNQ65" s="137"/>
      <c r="NNR65" s="137"/>
      <c r="NNS65" s="137"/>
      <c r="NNT65" s="137"/>
      <c r="NNU65" s="137"/>
      <c r="NNV65" s="137"/>
      <c r="NNW65" s="137"/>
      <c r="NNX65" s="137"/>
      <c r="NNY65" s="137"/>
      <c r="NNZ65" s="137"/>
      <c r="NOA65" s="137"/>
      <c r="NOB65" s="137"/>
      <c r="NOC65" s="137"/>
      <c r="NOD65" s="137"/>
      <c r="NOE65" s="137"/>
      <c r="NOF65" s="137"/>
      <c r="NOG65" s="137"/>
      <c r="NOH65" s="137"/>
      <c r="NOI65" s="137"/>
      <c r="NOJ65" s="137"/>
      <c r="NOK65" s="137"/>
      <c r="NOL65" s="137"/>
      <c r="NOM65" s="137"/>
      <c r="NON65" s="137"/>
      <c r="NOO65" s="137"/>
      <c r="NOP65" s="137"/>
      <c r="NOQ65" s="137"/>
      <c r="NOR65" s="137"/>
      <c r="NOS65" s="137"/>
      <c r="NOT65" s="137"/>
      <c r="NOU65" s="137"/>
      <c r="NOV65" s="137"/>
      <c r="NOW65" s="137"/>
      <c r="NOX65" s="137"/>
      <c r="NOY65" s="137"/>
      <c r="NOZ65" s="137"/>
      <c r="NPA65" s="137"/>
      <c r="NPB65" s="137"/>
      <c r="NPC65" s="137"/>
      <c r="NPD65" s="137"/>
      <c r="NPE65" s="137"/>
      <c r="NPF65" s="137"/>
      <c r="NPG65" s="137"/>
      <c r="NPH65" s="137"/>
      <c r="NPI65" s="137"/>
      <c r="NPJ65" s="137"/>
      <c r="NPK65" s="137"/>
      <c r="NPL65" s="137"/>
      <c r="NPM65" s="137"/>
      <c r="NPN65" s="137"/>
      <c r="NPO65" s="137"/>
      <c r="NPP65" s="137"/>
      <c r="NPQ65" s="137"/>
      <c r="NPR65" s="137"/>
      <c r="NPS65" s="137"/>
      <c r="NPT65" s="137"/>
      <c r="NPU65" s="137"/>
      <c r="NPV65" s="137"/>
      <c r="NPW65" s="137"/>
      <c r="NPX65" s="137"/>
      <c r="NPY65" s="137"/>
      <c r="NPZ65" s="137"/>
      <c r="NQA65" s="137"/>
      <c r="NQB65" s="137"/>
      <c r="NQC65" s="137"/>
      <c r="NQD65" s="137"/>
      <c r="NQE65" s="137"/>
      <c r="NQF65" s="137"/>
      <c r="NQG65" s="137"/>
      <c r="NQH65" s="137"/>
      <c r="NQI65" s="137"/>
      <c r="NQJ65" s="137"/>
      <c r="NQK65" s="137"/>
      <c r="NQL65" s="137"/>
      <c r="NQM65" s="137"/>
      <c r="NQN65" s="137"/>
      <c r="NQO65" s="137"/>
      <c r="NQP65" s="137"/>
      <c r="NQQ65" s="137"/>
      <c r="NQR65" s="137"/>
      <c r="NQS65" s="137"/>
      <c r="NQT65" s="137"/>
      <c r="NQU65" s="137"/>
      <c r="NQV65" s="137"/>
      <c r="NQW65" s="137"/>
      <c r="NQX65" s="137"/>
      <c r="NQY65" s="137"/>
      <c r="NQZ65" s="137"/>
      <c r="NRA65" s="137"/>
      <c r="NRB65" s="137"/>
      <c r="NRC65" s="137"/>
      <c r="NRD65" s="137"/>
      <c r="NRE65" s="137"/>
      <c r="NRF65" s="137"/>
      <c r="NRG65" s="137"/>
      <c r="NRH65" s="137"/>
      <c r="NRI65" s="137"/>
      <c r="NRJ65" s="137"/>
      <c r="NRK65" s="137"/>
      <c r="NRL65" s="137"/>
      <c r="NRM65" s="137"/>
      <c r="NRN65" s="137"/>
      <c r="NRO65" s="137"/>
      <c r="NRP65" s="137"/>
      <c r="NRQ65" s="137"/>
      <c r="NRR65" s="137"/>
      <c r="NRS65" s="137"/>
      <c r="NRT65" s="137"/>
      <c r="NRU65" s="137"/>
      <c r="NRV65" s="137"/>
      <c r="NRW65" s="137"/>
      <c r="NRX65" s="137"/>
      <c r="NRY65" s="137"/>
      <c r="NRZ65" s="137"/>
      <c r="NSA65" s="137"/>
      <c r="NSB65" s="137"/>
      <c r="NSC65" s="137"/>
      <c r="NSD65" s="137"/>
      <c r="NSE65" s="137"/>
      <c r="NSF65" s="137"/>
      <c r="NSG65" s="137"/>
      <c r="NSH65" s="137"/>
      <c r="NSI65" s="137"/>
      <c r="NSJ65" s="137"/>
      <c r="NSK65" s="137"/>
      <c r="NSL65" s="137"/>
      <c r="NSM65" s="137"/>
      <c r="NSN65" s="137"/>
      <c r="NSO65" s="137"/>
      <c r="NSP65" s="137"/>
      <c r="NSQ65" s="137"/>
      <c r="NSR65" s="137"/>
      <c r="NSS65" s="137"/>
      <c r="NST65" s="137"/>
      <c r="NSU65" s="137"/>
      <c r="NSV65" s="137"/>
      <c r="NSW65" s="137"/>
      <c r="NSX65" s="137"/>
      <c r="NSY65" s="137"/>
      <c r="NSZ65" s="137"/>
      <c r="NTA65" s="137"/>
      <c r="NTB65" s="137"/>
      <c r="NTC65" s="137"/>
      <c r="NTD65" s="137"/>
      <c r="NTE65" s="137"/>
      <c r="NTF65" s="137"/>
      <c r="NTG65" s="137"/>
      <c r="NTH65" s="137"/>
      <c r="NTI65" s="137"/>
      <c r="NTJ65" s="137"/>
      <c r="NTK65" s="137"/>
      <c r="NTL65" s="137"/>
      <c r="NTM65" s="137"/>
      <c r="NTN65" s="137"/>
      <c r="NTO65" s="137"/>
      <c r="NTP65" s="137"/>
      <c r="NTQ65" s="137"/>
      <c r="NTR65" s="137"/>
      <c r="NTS65" s="137"/>
      <c r="NTT65" s="137"/>
      <c r="NTU65" s="137"/>
      <c r="NTV65" s="137"/>
      <c r="NTW65" s="137"/>
      <c r="NTX65" s="137"/>
      <c r="NTY65" s="137"/>
      <c r="NTZ65" s="137"/>
      <c r="NUA65" s="137"/>
      <c r="NUB65" s="137"/>
      <c r="NUC65" s="137"/>
      <c r="NUD65" s="137"/>
      <c r="NUE65" s="137"/>
      <c r="NUF65" s="137"/>
      <c r="NUG65" s="137"/>
      <c r="NUH65" s="137"/>
      <c r="NUI65" s="137"/>
      <c r="NUJ65" s="137"/>
      <c r="NUK65" s="137"/>
      <c r="NUL65" s="137"/>
      <c r="NUM65" s="137"/>
      <c r="NUN65" s="137"/>
      <c r="NUO65" s="137"/>
      <c r="NUP65" s="137"/>
      <c r="NUQ65" s="137"/>
      <c r="NUR65" s="137"/>
      <c r="NUS65" s="137"/>
      <c r="NUT65" s="137"/>
      <c r="NUU65" s="137"/>
      <c r="NUV65" s="137"/>
      <c r="NUW65" s="137"/>
      <c r="NUX65" s="137"/>
      <c r="NUY65" s="137"/>
      <c r="NUZ65" s="137"/>
      <c r="NVA65" s="137"/>
      <c r="NVB65" s="137"/>
      <c r="NVC65" s="137"/>
      <c r="NVD65" s="137"/>
      <c r="NVE65" s="137"/>
      <c r="NVF65" s="137"/>
      <c r="NVG65" s="137"/>
      <c r="NVH65" s="137"/>
      <c r="NVI65" s="137"/>
      <c r="NVJ65" s="137"/>
      <c r="NVK65" s="137"/>
      <c r="NVL65" s="137"/>
      <c r="NVM65" s="137"/>
      <c r="NVN65" s="137"/>
      <c r="NVO65" s="137"/>
      <c r="NVP65" s="137"/>
      <c r="NVQ65" s="137"/>
      <c r="NVR65" s="137"/>
      <c r="NVS65" s="137"/>
      <c r="NVT65" s="137"/>
      <c r="NVU65" s="137"/>
      <c r="NVV65" s="137"/>
      <c r="NVW65" s="137"/>
      <c r="NVX65" s="137"/>
      <c r="NVY65" s="137"/>
      <c r="NVZ65" s="137"/>
      <c r="NWA65" s="137"/>
      <c r="NWB65" s="137"/>
      <c r="NWC65" s="137"/>
      <c r="NWD65" s="137"/>
      <c r="NWE65" s="137"/>
      <c r="NWF65" s="137"/>
      <c r="NWG65" s="137"/>
      <c r="NWH65" s="137"/>
      <c r="NWI65" s="137"/>
      <c r="NWJ65" s="137"/>
      <c r="NWK65" s="137"/>
      <c r="NWL65" s="137"/>
      <c r="NWM65" s="137"/>
      <c r="NWN65" s="137"/>
      <c r="NWO65" s="137"/>
      <c r="NWP65" s="137"/>
      <c r="NWQ65" s="137"/>
      <c r="NWR65" s="137"/>
      <c r="NWS65" s="137"/>
      <c r="NWT65" s="137"/>
      <c r="NWU65" s="137"/>
      <c r="NWV65" s="137"/>
      <c r="NWW65" s="137"/>
      <c r="NWX65" s="137"/>
      <c r="NWY65" s="137"/>
      <c r="NWZ65" s="137"/>
      <c r="NXA65" s="137"/>
      <c r="NXB65" s="137"/>
      <c r="NXC65" s="137"/>
      <c r="NXD65" s="137"/>
      <c r="NXE65" s="137"/>
      <c r="NXF65" s="137"/>
      <c r="NXG65" s="137"/>
      <c r="NXH65" s="137"/>
      <c r="NXI65" s="137"/>
      <c r="NXJ65" s="137"/>
      <c r="NXK65" s="137"/>
      <c r="NXL65" s="137"/>
      <c r="NXM65" s="137"/>
      <c r="NXN65" s="137"/>
      <c r="NXO65" s="137"/>
      <c r="NXP65" s="137"/>
      <c r="NXQ65" s="137"/>
      <c r="NXR65" s="137"/>
      <c r="NXS65" s="137"/>
      <c r="NXT65" s="137"/>
      <c r="NXU65" s="137"/>
      <c r="NXV65" s="137"/>
      <c r="NXW65" s="137"/>
      <c r="NXX65" s="137"/>
      <c r="NXY65" s="137"/>
      <c r="NXZ65" s="137"/>
      <c r="NYA65" s="137"/>
      <c r="NYB65" s="137"/>
      <c r="NYC65" s="137"/>
      <c r="NYD65" s="137"/>
      <c r="NYE65" s="137"/>
      <c r="NYF65" s="137"/>
      <c r="NYG65" s="137"/>
      <c r="NYH65" s="137"/>
      <c r="NYI65" s="137"/>
      <c r="NYJ65" s="137"/>
      <c r="NYK65" s="137"/>
      <c r="NYL65" s="137"/>
      <c r="NYM65" s="137"/>
      <c r="NYN65" s="137"/>
      <c r="NYO65" s="137"/>
      <c r="NYP65" s="137"/>
      <c r="NYQ65" s="137"/>
      <c r="NYR65" s="137"/>
      <c r="NYS65" s="137"/>
      <c r="NYT65" s="137"/>
      <c r="NYU65" s="137"/>
      <c r="NYV65" s="137"/>
      <c r="NYW65" s="137"/>
      <c r="NYX65" s="137"/>
      <c r="NYY65" s="137"/>
      <c r="NYZ65" s="137"/>
      <c r="NZA65" s="137"/>
      <c r="NZB65" s="137"/>
      <c r="NZC65" s="137"/>
      <c r="NZD65" s="137"/>
      <c r="NZE65" s="137"/>
      <c r="NZF65" s="137"/>
      <c r="NZG65" s="137"/>
      <c r="NZH65" s="137"/>
      <c r="NZI65" s="137"/>
      <c r="NZJ65" s="137"/>
      <c r="NZK65" s="137"/>
      <c r="NZL65" s="137"/>
      <c r="NZM65" s="137"/>
      <c r="NZN65" s="137"/>
      <c r="NZO65" s="137"/>
      <c r="NZP65" s="137"/>
      <c r="NZQ65" s="137"/>
      <c r="NZR65" s="137"/>
      <c r="NZS65" s="137"/>
      <c r="NZT65" s="137"/>
      <c r="NZU65" s="137"/>
      <c r="NZV65" s="137"/>
      <c r="NZW65" s="137"/>
      <c r="NZX65" s="137"/>
      <c r="NZY65" s="137"/>
      <c r="NZZ65" s="137"/>
      <c r="OAA65" s="137"/>
      <c r="OAB65" s="137"/>
      <c r="OAC65" s="137"/>
      <c r="OAD65" s="137"/>
      <c r="OAE65" s="137"/>
      <c r="OAF65" s="137"/>
      <c r="OAG65" s="137"/>
      <c r="OAH65" s="137"/>
      <c r="OAI65" s="137"/>
      <c r="OAJ65" s="137"/>
      <c r="OAK65" s="137"/>
      <c r="OAL65" s="137"/>
      <c r="OAM65" s="137"/>
      <c r="OAN65" s="137"/>
      <c r="OAO65" s="137"/>
      <c r="OAP65" s="137"/>
      <c r="OAQ65" s="137"/>
      <c r="OAR65" s="137"/>
      <c r="OAS65" s="137"/>
      <c r="OAT65" s="137"/>
      <c r="OAU65" s="137"/>
      <c r="OAV65" s="137"/>
      <c r="OAW65" s="137"/>
      <c r="OAX65" s="137"/>
      <c r="OAY65" s="137"/>
      <c r="OAZ65" s="137"/>
      <c r="OBA65" s="137"/>
      <c r="OBB65" s="137"/>
      <c r="OBC65" s="137"/>
      <c r="OBD65" s="137"/>
      <c r="OBE65" s="137"/>
      <c r="OBF65" s="137"/>
      <c r="OBG65" s="137"/>
      <c r="OBH65" s="137"/>
      <c r="OBI65" s="137"/>
      <c r="OBJ65" s="137"/>
      <c r="OBK65" s="137"/>
      <c r="OBL65" s="137"/>
      <c r="OBM65" s="137"/>
      <c r="OBN65" s="137"/>
      <c r="OBO65" s="137"/>
      <c r="OBP65" s="137"/>
      <c r="OBQ65" s="137"/>
      <c r="OBR65" s="137"/>
      <c r="OBS65" s="137"/>
      <c r="OBT65" s="137"/>
      <c r="OBU65" s="137"/>
      <c r="OBV65" s="137"/>
      <c r="OBW65" s="137"/>
      <c r="OBX65" s="137"/>
      <c r="OBY65" s="137"/>
      <c r="OBZ65" s="137"/>
      <c r="OCA65" s="137"/>
      <c r="OCB65" s="137"/>
      <c r="OCC65" s="137"/>
      <c r="OCD65" s="137"/>
      <c r="OCE65" s="137"/>
      <c r="OCF65" s="137"/>
      <c r="OCG65" s="137"/>
      <c r="OCH65" s="137"/>
      <c r="OCI65" s="137"/>
      <c r="OCJ65" s="137"/>
      <c r="OCK65" s="137"/>
      <c r="OCL65" s="137"/>
      <c r="OCM65" s="137"/>
      <c r="OCN65" s="137"/>
      <c r="OCO65" s="137"/>
      <c r="OCP65" s="137"/>
      <c r="OCQ65" s="137"/>
      <c r="OCR65" s="137"/>
      <c r="OCS65" s="137"/>
      <c r="OCT65" s="137"/>
      <c r="OCU65" s="137"/>
      <c r="OCV65" s="137"/>
      <c r="OCW65" s="137"/>
      <c r="OCX65" s="137"/>
      <c r="OCY65" s="137"/>
      <c r="OCZ65" s="137"/>
      <c r="ODA65" s="137"/>
      <c r="ODB65" s="137"/>
      <c r="ODC65" s="137"/>
      <c r="ODD65" s="137"/>
      <c r="ODE65" s="137"/>
      <c r="ODF65" s="137"/>
      <c r="ODG65" s="137"/>
      <c r="ODH65" s="137"/>
      <c r="ODI65" s="137"/>
      <c r="ODJ65" s="137"/>
      <c r="ODK65" s="137"/>
      <c r="ODL65" s="137"/>
      <c r="ODM65" s="137"/>
      <c r="ODN65" s="137"/>
      <c r="ODO65" s="137"/>
      <c r="ODP65" s="137"/>
      <c r="ODQ65" s="137"/>
      <c r="ODR65" s="137"/>
      <c r="ODS65" s="137"/>
      <c r="ODT65" s="137"/>
      <c r="ODU65" s="137"/>
      <c r="ODV65" s="137"/>
      <c r="ODW65" s="137"/>
      <c r="ODX65" s="137"/>
      <c r="ODY65" s="137"/>
      <c r="ODZ65" s="137"/>
      <c r="OEA65" s="137"/>
      <c r="OEB65" s="137"/>
      <c r="OEC65" s="137"/>
      <c r="OED65" s="137"/>
      <c r="OEE65" s="137"/>
      <c r="OEF65" s="137"/>
      <c r="OEG65" s="137"/>
      <c r="OEH65" s="137"/>
      <c r="OEI65" s="137"/>
      <c r="OEJ65" s="137"/>
      <c r="OEK65" s="137"/>
      <c r="OEL65" s="137"/>
      <c r="OEM65" s="137"/>
      <c r="OEN65" s="137"/>
      <c r="OEO65" s="137"/>
      <c r="OEP65" s="137"/>
      <c r="OEQ65" s="137"/>
      <c r="OER65" s="137"/>
      <c r="OES65" s="137"/>
      <c r="OET65" s="137"/>
      <c r="OEU65" s="137"/>
      <c r="OEV65" s="137"/>
      <c r="OEW65" s="137"/>
      <c r="OEX65" s="137"/>
      <c r="OEY65" s="137"/>
      <c r="OEZ65" s="137"/>
      <c r="OFA65" s="137"/>
      <c r="OFB65" s="137"/>
      <c r="OFC65" s="137"/>
      <c r="OFD65" s="137"/>
      <c r="OFE65" s="137"/>
      <c r="OFF65" s="137"/>
      <c r="OFG65" s="137"/>
      <c r="OFH65" s="137"/>
      <c r="OFI65" s="137"/>
      <c r="OFJ65" s="137"/>
      <c r="OFK65" s="137"/>
      <c r="OFL65" s="137"/>
      <c r="OFM65" s="137"/>
      <c r="OFN65" s="137"/>
      <c r="OFO65" s="137"/>
      <c r="OFP65" s="137"/>
      <c r="OFQ65" s="137"/>
      <c r="OFR65" s="137"/>
      <c r="OFS65" s="137"/>
      <c r="OFT65" s="137"/>
      <c r="OFU65" s="137"/>
      <c r="OFV65" s="137"/>
      <c r="OFW65" s="137"/>
      <c r="OFX65" s="137"/>
      <c r="OFY65" s="137"/>
      <c r="OFZ65" s="137"/>
      <c r="OGA65" s="137"/>
      <c r="OGB65" s="137"/>
      <c r="OGC65" s="137"/>
      <c r="OGD65" s="137"/>
      <c r="OGE65" s="137"/>
      <c r="OGF65" s="137"/>
      <c r="OGG65" s="137"/>
      <c r="OGH65" s="137"/>
      <c r="OGI65" s="137"/>
      <c r="OGJ65" s="137"/>
      <c r="OGK65" s="137"/>
      <c r="OGL65" s="137"/>
      <c r="OGM65" s="137"/>
      <c r="OGN65" s="137"/>
      <c r="OGO65" s="137"/>
      <c r="OGP65" s="137"/>
      <c r="OGQ65" s="137"/>
      <c r="OGR65" s="137"/>
      <c r="OGS65" s="137"/>
      <c r="OGT65" s="137"/>
      <c r="OGU65" s="137"/>
      <c r="OGV65" s="137"/>
      <c r="OGW65" s="137"/>
      <c r="OGX65" s="137"/>
      <c r="OGY65" s="137"/>
      <c r="OGZ65" s="137"/>
      <c r="OHA65" s="137"/>
      <c r="OHB65" s="137"/>
      <c r="OHC65" s="137"/>
      <c r="OHD65" s="137"/>
      <c r="OHE65" s="137"/>
      <c r="OHF65" s="137"/>
      <c r="OHG65" s="137"/>
      <c r="OHH65" s="137"/>
      <c r="OHI65" s="137"/>
      <c r="OHJ65" s="137"/>
      <c r="OHK65" s="137"/>
      <c r="OHL65" s="137"/>
      <c r="OHM65" s="137"/>
      <c r="OHN65" s="137"/>
      <c r="OHO65" s="137"/>
      <c r="OHP65" s="137"/>
      <c r="OHQ65" s="137"/>
      <c r="OHR65" s="137"/>
      <c r="OHS65" s="137"/>
      <c r="OHT65" s="137"/>
      <c r="OHU65" s="137"/>
      <c r="OHV65" s="137"/>
      <c r="OHW65" s="137"/>
      <c r="OHX65" s="137"/>
      <c r="OHY65" s="137"/>
      <c r="OHZ65" s="137"/>
      <c r="OIA65" s="137"/>
      <c r="OIB65" s="137"/>
      <c r="OIC65" s="137"/>
      <c r="OID65" s="137"/>
      <c r="OIE65" s="137"/>
      <c r="OIF65" s="137"/>
      <c r="OIG65" s="137"/>
      <c r="OIH65" s="137"/>
      <c r="OII65" s="137"/>
      <c r="OIJ65" s="137"/>
      <c r="OIK65" s="137"/>
      <c r="OIL65" s="137"/>
      <c r="OIM65" s="137"/>
      <c r="OIN65" s="137"/>
      <c r="OIO65" s="137"/>
      <c r="OIP65" s="137"/>
      <c r="OIQ65" s="137"/>
      <c r="OIR65" s="137"/>
      <c r="OIS65" s="137"/>
      <c r="OIT65" s="137"/>
      <c r="OIU65" s="137"/>
      <c r="OIV65" s="137"/>
      <c r="OIW65" s="137"/>
      <c r="OIX65" s="137"/>
      <c r="OIY65" s="137"/>
      <c r="OIZ65" s="137"/>
      <c r="OJA65" s="137"/>
      <c r="OJB65" s="137"/>
      <c r="OJC65" s="137"/>
      <c r="OJD65" s="137"/>
      <c r="OJE65" s="137"/>
      <c r="OJF65" s="137"/>
      <c r="OJG65" s="137"/>
      <c r="OJH65" s="137"/>
      <c r="OJI65" s="137"/>
      <c r="OJJ65" s="137"/>
      <c r="OJK65" s="137"/>
      <c r="OJL65" s="137"/>
      <c r="OJM65" s="137"/>
      <c r="OJN65" s="137"/>
      <c r="OJO65" s="137"/>
      <c r="OJP65" s="137"/>
      <c r="OJQ65" s="137"/>
      <c r="OJR65" s="137"/>
      <c r="OJS65" s="137"/>
      <c r="OJT65" s="137"/>
      <c r="OJU65" s="137"/>
      <c r="OJV65" s="137"/>
      <c r="OJW65" s="137"/>
      <c r="OJX65" s="137"/>
      <c r="OJY65" s="137"/>
      <c r="OJZ65" s="137"/>
      <c r="OKA65" s="137"/>
      <c r="OKB65" s="137"/>
      <c r="OKC65" s="137"/>
      <c r="OKD65" s="137"/>
      <c r="OKE65" s="137"/>
      <c r="OKF65" s="137"/>
      <c r="OKG65" s="137"/>
      <c r="OKH65" s="137"/>
      <c r="OKI65" s="137"/>
      <c r="OKJ65" s="137"/>
      <c r="OKK65" s="137"/>
      <c r="OKL65" s="137"/>
      <c r="OKM65" s="137"/>
      <c r="OKN65" s="137"/>
      <c r="OKO65" s="137"/>
      <c r="OKP65" s="137"/>
      <c r="OKQ65" s="137"/>
      <c r="OKR65" s="137"/>
      <c r="OKS65" s="137"/>
      <c r="OKT65" s="137"/>
      <c r="OKU65" s="137"/>
      <c r="OKV65" s="137"/>
      <c r="OKW65" s="137"/>
      <c r="OKX65" s="137"/>
      <c r="OKY65" s="137"/>
      <c r="OKZ65" s="137"/>
      <c r="OLA65" s="137"/>
      <c r="OLB65" s="137"/>
      <c r="OLC65" s="137"/>
      <c r="OLD65" s="137"/>
      <c r="OLE65" s="137"/>
      <c r="OLF65" s="137"/>
      <c r="OLG65" s="137"/>
      <c r="OLH65" s="137"/>
      <c r="OLI65" s="137"/>
      <c r="OLJ65" s="137"/>
      <c r="OLK65" s="137"/>
      <c r="OLL65" s="137"/>
      <c r="OLM65" s="137"/>
      <c r="OLN65" s="137"/>
      <c r="OLO65" s="137"/>
      <c r="OLP65" s="137"/>
      <c r="OLQ65" s="137"/>
      <c r="OLR65" s="137"/>
      <c r="OLS65" s="137"/>
      <c r="OLT65" s="137"/>
      <c r="OLU65" s="137"/>
      <c r="OLV65" s="137"/>
      <c r="OLW65" s="137"/>
      <c r="OLX65" s="137"/>
      <c r="OLY65" s="137"/>
      <c r="OLZ65" s="137"/>
      <c r="OMA65" s="137"/>
      <c r="OMB65" s="137"/>
      <c r="OMC65" s="137"/>
      <c r="OMD65" s="137"/>
      <c r="OME65" s="137"/>
      <c r="OMF65" s="137"/>
      <c r="OMG65" s="137"/>
      <c r="OMH65" s="137"/>
      <c r="OMI65" s="137"/>
      <c r="OMJ65" s="137"/>
      <c r="OMK65" s="137"/>
      <c r="OML65" s="137"/>
      <c r="OMM65" s="137"/>
      <c r="OMN65" s="137"/>
      <c r="OMO65" s="137"/>
      <c r="OMP65" s="137"/>
      <c r="OMQ65" s="137"/>
      <c r="OMR65" s="137"/>
      <c r="OMS65" s="137"/>
      <c r="OMT65" s="137"/>
      <c r="OMU65" s="137"/>
      <c r="OMV65" s="137"/>
      <c r="OMW65" s="137"/>
      <c r="OMX65" s="137"/>
      <c r="OMY65" s="137"/>
      <c r="OMZ65" s="137"/>
      <c r="ONA65" s="137"/>
      <c r="ONB65" s="137"/>
      <c r="ONC65" s="137"/>
      <c r="OND65" s="137"/>
      <c r="ONE65" s="137"/>
      <c r="ONF65" s="137"/>
      <c r="ONG65" s="137"/>
      <c r="ONH65" s="137"/>
      <c r="ONI65" s="137"/>
      <c r="ONJ65" s="137"/>
      <c r="ONK65" s="137"/>
      <c r="ONL65" s="137"/>
      <c r="ONM65" s="137"/>
      <c r="ONN65" s="137"/>
      <c r="ONO65" s="137"/>
      <c r="ONP65" s="137"/>
      <c r="ONQ65" s="137"/>
      <c r="ONR65" s="137"/>
      <c r="ONS65" s="137"/>
      <c r="ONT65" s="137"/>
      <c r="ONU65" s="137"/>
      <c r="ONV65" s="137"/>
      <c r="ONW65" s="137"/>
      <c r="ONX65" s="137"/>
      <c r="ONY65" s="137"/>
      <c r="ONZ65" s="137"/>
      <c r="OOA65" s="137"/>
      <c r="OOB65" s="137"/>
      <c r="OOC65" s="137"/>
      <c r="OOD65" s="137"/>
      <c r="OOE65" s="137"/>
      <c r="OOF65" s="137"/>
      <c r="OOG65" s="137"/>
      <c r="OOH65" s="137"/>
      <c r="OOI65" s="137"/>
      <c r="OOJ65" s="137"/>
      <c r="OOK65" s="137"/>
      <c r="OOL65" s="137"/>
      <c r="OOM65" s="137"/>
      <c r="OON65" s="137"/>
      <c r="OOO65" s="137"/>
      <c r="OOP65" s="137"/>
      <c r="OOQ65" s="137"/>
      <c r="OOR65" s="137"/>
      <c r="OOS65" s="137"/>
      <c r="OOT65" s="137"/>
      <c r="OOU65" s="137"/>
      <c r="OOV65" s="137"/>
      <c r="OOW65" s="137"/>
      <c r="OOX65" s="137"/>
      <c r="OOY65" s="137"/>
      <c r="OOZ65" s="137"/>
      <c r="OPA65" s="137"/>
      <c r="OPB65" s="137"/>
      <c r="OPC65" s="137"/>
      <c r="OPD65" s="137"/>
      <c r="OPE65" s="137"/>
      <c r="OPF65" s="137"/>
      <c r="OPG65" s="137"/>
      <c r="OPH65" s="137"/>
      <c r="OPI65" s="137"/>
      <c r="OPJ65" s="137"/>
      <c r="OPK65" s="137"/>
      <c r="OPL65" s="137"/>
      <c r="OPM65" s="137"/>
      <c r="OPN65" s="137"/>
      <c r="OPO65" s="137"/>
      <c r="OPP65" s="137"/>
      <c r="OPQ65" s="137"/>
      <c r="OPR65" s="137"/>
      <c r="OPS65" s="137"/>
      <c r="OPT65" s="137"/>
      <c r="OPU65" s="137"/>
      <c r="OPV65" s="137"/>
      <c r="OPW65" s="137"/>
      <c r="OPX65" s="137"/>
      <c r="OPY65" s="137"/>
      <c r="OPZ65" s="137"/>
      <c r="OQA65" s="137"/>
      <c r="OQB65" s="137"/>
      <c r="OQC65" s="137"/>
      <c r="OQD65" s="137"/>
      <c r="OQE65" s="137"/>
      <c r="OQF65" s="137"/>
      <c r="OQG65" s="137"/>
      <c r="OQH65" s="137"/>
      <c r="OQI65" s="137"/>
      <c r="OQJ65" s="137"/>
      <c r="OQK65" s="137"/>
      <c r="OQL65" s="137"/>
      <c r="OQM65" s="137"/>
      <c r="OQN65" s="137"/>
      <c r="OQO65" s="137"/>
      <c r="OQP65" s="137"/>
      <c r="OQQ65" s="137"/>
      <c r="OQR65" s="137"/>
      <c r="OQS65" s="137"/>
      <c r="OQT65" s="137"/>
      <c r="OQU65" s="137"/>
      <c r="OQV65" s="137"/>
      <c r="OQW65" s="137"/>
      <c r="OQX65" s="137"/>
      <c r="OQY65" s="137"/>
      <c r="OQZ65" s="137"/>
      <c r="ORA65" s="137"/>
      <c r="ORB65" s="137"/>
      <c r="ORC65" s="137"/>
      <c r="ORD65" s="137"/>
      <c r="ORE65" s="137"/>
      <c r="ORF65" s="137"/>
      <c r="ORG65" s="137"/>
      <c r="ORH65" s="137"/>
      <c r="ORI65" s="137"/>
      <c r="ORJ65" s="137"/>
      <c r="ORK65" s="137"/>
      <c r="ORL65" s="137"/>
      <c r="ORM65" s="137"/>
      <c r="ORN65" s="137"/>
      <c r="ORO65" s="137"/>
      <c r="ORP65" s="137"/>
      <c r="ORQ65" s="137"/>
      <c r="ORR65" s="137"/>
      <c r="ORS65" s="137"/>
      <c r="ORT65" s="137"/>
      <c r="ORU65" s="137"/>
      <c r="ORV65" s="137"/>
      <c r="ORW65" s="137"/>
      <c r="ORX65" s="137"/>
      <c r="ORY65" s="137"/>
      <c r="ORZ65" s="137"/>
      <c r="OSA65" s="137"/>
      <c r="OSB65" s="137"/>
      <c r="OSC65" s="137"/>
      <c r="OSD65" s="137"/>
      <c r="OSE65" s="137"/>
      <c r="OSF65" s="137"/>
      <c r="OSG65" s="137"/>
      <c r="OSH65" s="137"/>
      <c r="OSI65" s="137"/>
      <c r="OSJ65" s="137"/>
      <c r="OSK65" s="137"/>
      <c r="OSL65" s="137"/>
      <c r="OSM65" s="137"/>
      <c r="OSN65" s="137"/>
      <c r="OSO65" s="137"/>
      <c r="OSP65" s="137"/>
      <c r="OSQ65" s="137"/>
      <c r="OSR65" s="137"/>
      <c r="OSS65" s="137"/>
      <c r="OST65" s="137"/>
      <c r="OSU65" s="137"/>
      <c r="OSV65" s="137"/>
      <c r="OSW65" s="137"/>
      <c r="OSX65" s="137"/>
      <c r="OSY65" s="137"/>
      <c r="OSZ65" s="137"/>
      <c r="OTA65" s="137"/>
      <c r="OTB65" s="137"/>
      <c r="OTC65" s="137"/>
      <c r="OTD65" s="137"/>
      <c r="OTE65" s="137"/>
      <c r="OTF65" s="137"/>
      <c r="OTG65" s="137"/>
      <c r="OTH65" s="137"/>
      <c r="OTI65" s="137"/>
      <c r="OTJ65" s="137"/>
      <c r="OTK65" s="137"/>
      <c r="OTL65" s="137"/>
      <c r="OTM65" s="137"/>
      <c r="OTN65" s="137"/>
      <c r="OTO65" s="137"/>
      <c r="OTP65" s="137"/>
      <c r="OTQ65" s="137"/>
      <c r="OTR65" s="137"/>
      <c r="OTS65" s="137"/>
      <c r="OTT65" s="137"/>
      <c r="OTU65" s="137"/>
      <c r="OTV65" s="137"/>
      <c r="OTW65" s="137"/>
      <c r="OTX65" s="137"/>
      <c r="OTY65" s="137"/>
      <c r="OTZ65" s="137"/>
      <c r="OUA65" s="137"/>
      <c r="OUB65" s="137"/>
      <c r="OUC65" s="137"/>
      <c r="OUD65" s="137"/>
      <c r="OUE65" s="137"/>
      <c r="OUF65" s="137"/>
      <c r="OUG65" s="137"/>
      <c r="OUH65" s="137"/>
      <c r="OUI65" s="137"/>
      <c r="OUJ65" s="137"/>
      <c r="OUK65" s="137"/>
      <c r="OUL65" s="137"/>
      <c r="OUM65" s="137"/>
      <c r="OUN65" s="137"/>
      <c r="OUO65" s="137"/>
      <c r="OUP65" s="137"/>
      <c r="OUQ65" s="137"/>
      <c r="OUR65" s="137"/>
      <c r="OUS65" s="137"/>
      <c r="OUT65" s="137"/>
      <c r="OUU65" s="137"/>
      <c r="OUV65" s="137"/>
      <c r="OUW65" s="137"/>
      <c r="OUX65" s="137"/>
      <c r="OUY65" s="137"/>
      <c r="OUZ65" s="137"/>
      <c r="OVA65" s="137"/>
      <c r="OVB65" s="137"/>
      <c r="OVC65" s="137"/>
      <c r="OVD65" s="137"/>
      <c r="OVE65" s="137"/>
      <c r="OVF65" s="137"/>
      <c r="OVG65" s="137"/>
      <c r="OVH65" s="137"/>
      <c r="OVI65" s="137"/>
      <c r="OVJ65" s="137"/>
      <c r="OVK65" s="137"/>
      <c r="OVL65" s="137"/>
      <c r="OVM65" s="137"/>
      <c r="OVN65" s="137"/>
      <c r="OVO65" s="137"/>
      <c r="OVP65" s="137"/>
      <c r="OVQ65" s="137"/>
      <c r="OVR65" s="137"/>
      <c r="OVS65" s="137"/>
      <c r="OVT65" s="137"/>
      <c r="OVU65" s="137"/>
      <c r="OVV65" s="137"/>
      <c r="OVW65" s="137"/>
      <c r="OVX65" s="137"/>
      <c r="OVY65" s="137"/>
      <c r="OVZ65" s="137"/>
      <c r="OWA65" s="137"/>
      <c r="OWB65" s="137"/>
      <c r="OWC65" s="137"/>
      <c r="OWD65" s="137"/>
      <c r="OWE65" s="137"/>
      <c r="OWF65" s="137"/>
      <c r="OWG65" s="137"/>
      <c r="OWH65" s="137"/>
      <c r="OWI65" s="137"/>
      <c r="OWJ65" s="137"/>
      <c r="OWK65" s="137"/>
      <c r="OWL65" s="137"/>
      <c r="OWM65" s="137"/>
      <c r="OWN65" s="137"/>
      <c r="OWO65" s="137"/>
      <c r="OWP65" s="137"/>
      <c r="OWQ65" s="137"/>
      <c r="OWR65" s="137"/>
      <c r="OWS65" s="137"/>
      <c r="OWT65" s="137"/>
      <c r="OWU65" s="137"/>
      <c r="OWV65" s="137"/>
      <c r="OWW65" s="137"/>
      <c r="OWX65" s="137"/>
      <c r="OWY65" s="137"/>
      <c r="OWZ65" s="137"/>
      <c r="OXA65" s="137"/>
      <c r="OXB65" s="137"/>
      <c r="OXC65" s="137"/>
      <c r="OXD65" s="137"/>
      <c r="OXE65" s="137"/>
      <c r="OXF65" s="137"/>
      <c r="OXG65" s="137"/>
      <c r="OXH65" s="137"/>
      <c r="OXI65" s="137"/>
      <c r="OXJ65" s="137"/>
      <c r="OXK65" s="137"/>
      <c r="OXL65" s="137"/>
      <c r="OXM65" s="137"/>
      <c r="OXN65" s="137"/>
      <c r="OXO65" s="137"/>
      <c r="OXP65" s="137"/>
      <c r="OXQ65" s="137"/>
      <c r="OXR65" s="137"/>
      <c r="OXS65" s="137"/>
      <c r="OXT65" s="137"/>
      <c r="OXU65" s="137"/>
      <c r="OXV65" s="137"/>
      <c r="OXW65" s="137"/>
      <c r="OXX65" s="137"/>
      <c r="OXY65" s="137"/>
      <c r="OXZ65" s="137"/>
      <c r="OYA65" s="137"/>
      <c r="OYB65" s="137"/>
      <c r="OYC65" s="137"/>
      <c r="OYD65" s="137"/>
      <c r="OYE65" s="137"/>
      <c r="OYF65" s="137"/>
      <c r="OYG65" s="137"/>
      <c r="OYH65" s="137"/>
      <c r="OYI65" s="137"/>
      <c r="OYJ65" s="137"/>
      <c r="OYK65" s="137"/>
      <c r="OYL65" s="137"/>
      <c r="OYM65" s="137"/>
      <c r="OYN65" s="137"/>
      <c r="OYO65" s="137"/>
      <c r="OYP65" s="137"/>
      <c r="OYQ65" s="137"/>
      <c r="OYR65" s="137"/>
      <c r="OYS65" s="137"/>
      <c r="OYT65" s="137"/>
      <c r="OYU65" s="137"/>
      <c r="OYV65" s="137"/>
      <c r="OYW65" s="137"/>
      <c r="OYX65" s="137"/>
      <c r="OYY65" s="137"/>
      <c r="OYZ65" s="137"/>
      <c r="OZA65" s="137"/>
      <c r="OZB65" s="137"/>
      <c r="OZC65" s="137"/>
      <c r="OZD65" s="137"/>
      <c r="OZE65" s="137"/>
      <c r="OZF65" s="137"/>
      <c r="OZG65" s="137"/>
      <c r="OZH65" s="137"/>
      <c r="OZI65" s="137"/>
      <c r="OZJ65" s="137"/>
      <c r="OZK65" s="137"/>
      <c r="OZL65" s="137"/>
      <c r="OZM65" s="137"/>
      <c r="OZN65" s="137"/>
      <c r="OZO65" s="137"/>
      <c r="OZP65" s="137"/>
      <c r="OZQ65" s="137"/>
      <c r="OZR65" s="137"/>
      <c r="OZS65" s="137"/>
      <c r="OZT65" s="137"/>
      <c r="OZU65" s="137"/>
      <c r="OZV65" s="137"/>
      <c r="OZW65" s="137"/>
      <c r="OZX65" s="137"/>
      <c r="OZY65" s="137"/>
      <c r="OZZ65" s="137"/>
      <c r="PAA65" s="137"/>
      <c r="PAB65" s="137"/>
      <c r="PAC65" s="137"/>
      <c r="PAD65" s="137"/>
      <c r="PAE65" s="137"/>
      <c r="PAF65" s="137"/>
      <c r="PAG65" s="137"/>
      <c r="PAH65" s="137"/>
      <c r="PAI65" s="137"/>
      <c r="PAJ65" s="137"/>
      <c r="PAK65" s="137"/>
      <c r="PAL65" s="137"/>
      <c r="PAM65" s="137"/>
      <c r="PAN65" s="137"/>
      <c r="PAO65" s="137"/>
      <c r="PAP65" s="137"/>
      <c r="PAQ65" s="137"/>
      <c r="PAR65" s="137"/>
      <c r="PAS65" s="137"/>
      <c r="PAT65" s="137"/>
      <c r="PAU65" s="137"/>
      <c r="PAV65" s="137"/>
      <c r="PAW65" s="137"/>
      <c r="PAX65" s="137"/>
      <c r="PAY65" s="137"/>
      <c r="PAZ65" s="137"/>
      <c r="PBA65" s="137"/>
      <c r="PBB65" s="137"/>
      <c r="PBC65" s="137"/>
      <c r="PBD65" s="137"/>
      <c r="PBE65" s="137"/>
      <c r="PBF65" s="137"/>
      <c r="PBG65" s="137"/>
      <c r="PBH65" s="137"/>
      <c r="PBI65" s="137"/>
      <c r="PBJ65" s="137"/>
      <c r="PBK65" s="137"/>
      <c r="PBL65" s="137"/>
      <c r="PBM65" s="137"/>
      <c r="PBN65" s="137"/>
      <c r="PBO65" s="137"/>
      <c r="PBP65" s="137"/>
      <c r="PBQ65" s="137"/>
      <c r="PBR65" s="137"/>
      <c r="PBS65" s="137"/>
      <c r="PBT65" s="137"/>
      <c r="PBU65" s="137"/>
      <c r="PBV65" s="137"/>
      <c r="PBW65" s="137"/>
      <c r="PBX65" s="137"/>
      <c r="PBY65" s="137"/>
      <c r="PBZ65" s="137"/>
      <c r="PCA65" s="137"/>
      <c r="PCB65" s="137"/>
      <c r="PCC65" s="137"/>
      <c r="PCD65" s="137"/>
      <c r="PCE65" s="137"/>
      <c r="PCF65" s="137"/>
      <c r="PCG65" s="137"/>
      <c r="PCH65" s="137"/>
      <c r="PCI65" s="137"/>
      <c r="PCJ65" s="137"/>
      <c r="PCK65" s="137"/>
      <c r="PCL65" s="137"/>
      <c r="PCM65" s="137"/>
      <c r="PCN65" s="137"/>
      <c r="PCO65" s="137"/>
      <c r="PCP65" s="137"/>
      <c r="PCQ65" s="137"/>
      <c r="PCR65" s="137"/>
      <c r="PCS65" s="137"/>
      <c r="PCT65" s="137"/>
      <c r="PCU65" s="137"/>
      <c r="PCV65" s="137"/>
      <c r="PCW65" s="137"/>
      <c r="PCX65" s="137"/>
      <c r="PCY65" s="137"/>
      <c r="PCZ65" s="137"/>
      <c r="PDA65" s="137"/>
      <c r="PDB65" s="137"/>
      <c r="PDC65" s="137"/>
      <c r="PDD65" s="137"/>
      <c r="PDE65" s="137"/>
      <c r="PDF65" s="137"/>
      <c r="PDG65" s="137"/>
      <c r="PDH65" s="137"/>
      <c r="PDI65" s="137"/>
      <c r="PDJ65" s="137"/>
      <c r="PDK65" s="137"/>
      <c r="PDL65" s="137"/>
      <c r="PDM65" s="137"/>
      <c r="PDN65" s="137"/>
      <c r="PDO65" s="137"/>
      <c r="PDP65" s="137"/>
      <c r="PDQ65" s="137"/>
      <c r="PDR65" s="137"/>
      <c r="PDS65" s="137"/>
      <c r="PDT65" s="137"/>
      <c r="PDU65" s="137"/>
      <c r="PDV65" s="137"/>
      <c r="PDW65" s="137"/>
      <c r="PDX65" s="137"/>
      <c r="PDY65" s="137"/>
      <c r="PDZ65" s="137"/>
      <c r="PEA65" s="137"/>
      <c r="PEB65" s="137"/>
      <c r="PEC65" s="137"/>
      <c r="PED65" s="137"/>
      <c r="PEE65" s="137"/>
      <c r="PEF65" s="137"/>
      <c r="PEG65" s="137"/>
      <c r="PEH65" s="137"/>
      <c r="PEI65" s="137"/>
      <c r="PEJ65" s="137"/>
      <c r="PEK65" s="137"/>
      <c r="PEL65" s="137"/>
      <c r="PEM65" s="137"/>
      <c r="PEN65" s="137"/>
      <c r="PEO65" s="137"/>
      <c r="PEP65" s="137"/>
      <c r="PEQ65" s="137"/>
      <c r="PER65" s="137"/>
      <c r="PES65" s="137"/>
      <c r="PET65" s="137"/>
      <c r="PEU65" s="137"/>
      <c r="PEV65" s="137"/>
      <c r="PEW65" s="137"/>
      <c r="PEX65" s="137"/>
      <c r="PEY65" s="137"/>
      <c r="PEZ65" s="137"/>
      <c r="PFA65" s="137"/>
      <c r="PFB65" s="137"/>
      <c r="PFC65" s="137"/>
      <c r="PFD65" s="137"/>
      <c r="PFE65" s="137"/>
      <c r="PFF65" s="137"/>
      <c r="PFG65" s="137"/>
      <c r="PFH65" s="137"/>
      <c r="PFI65" s="137"/>
      <c r="PFJ65" s="137"/>
      <c r="PFK65" s="137"/>
      <c r="PFL65" s="137"/>
      <c r="PFM65" s="137"/>
      <c r="PFN65" s="137"/>
      <c r="PFO65" s="137"/>
      <c r="PFP65" s="137"/>
      <c r="PFQ65" s="137"/>
      <c r="PFR65" s="137"/>
      <c r="PFS65" s="137"/>
      <c r="PFT65" s="137"/>
      <c r="PFU65" s="137"/>
      <c r="PFV65" s="137"/>
      <c r="PFW65" s="137"/>
      <c r="PFX65" s="137"/>
      <c r="PFY65" s="137"/>
      <c r="PFZ65" s="137"/>
      <c r="PGA65" s="137"/>
      <c r="PGB65" s="137"/>
      <c r="PGC65" s="137"/>
      <c r="PGD65" s="137"/>
      <c r="PGE65" s="137"/>
      <c r="PGF65" s="137"/>
      <c r="PGG65" s="137"/>
      <c r="PGH65" s="137"/>
      <c r="PGI65" s="137"/>
      <c r="PGJ65" s="137"/>
      <c r="PGK65" s="137"/>
      <c r="PGL65" s="137"/>
      <c r="PGM65" s="137"/>
      <c r="PGN65" s="137"/>
      <c r="PGO65" s="137"/>
      <c r="PGP65" s="137"/>
      <c r="PGQ65" s="137"/>
      <c r="PGR65" s="137"/>
      <c r="PGS65" s="137"/>
      <c r="PGT65" s="137"/>
      <c r="PGU65" s="137"/>
      <c r="PGV65" s="137"/>
      <c r="PGW65" s="137"/>
      <c r="PGX65" s="137"/>
      <c r="PGY65" s="137"/>
      <c r="PGZ65" s="137"/>
      <c r="PHA65" s="137"/>
      <c r="PHB65" s="137"/>
      <c r="PHC65" s="137"/>
      <c r="PHD65" s="137"/>
      <c r="PHE65" s="137"/>
      <c r="PHF65" s="137"/>
      <c r="PHG65" s="137"/>
      <c r="PHH65" s="137"/>
      <c r="PHI65" s="137"/>
      <c r="PHJ65" s="137"/>
      <c r="PHK65" s="137"/>
      <c r="PHL65" s="137"/>
      <c r="PHM65" s="137"/>
      <c r="PHN65" s="137"/>
      <c r="PHO65" s="137"/>
      <c r="PHP65" s="137"/>
      <c r="PHQ65" s="137"/>
      <c r="PHR65" s="137"/>
      <c r="PHS65" s="137"/>
      <c r="PHT65" s="137"/>
      <c r="PHU65" s="137"/>
      <c r="PHV65" s="137"/>
      <c r="PHW65" s="137"/>
      <c r="PHX65" s="137"/>
      <c r="PHY65" s="137"/>
      <c r="PHZ65" s="137"/>
      <c r="PIA65" s="137"/>
      <c r="PIB65" s="137"/>
      <c r="PIC65" s="137"/>
      <c r="PID65" s="137"/>
      <c r="PIE65" s="137"/>
      <c r="PIF65" s="137"/>
      <c r="PIG65" s="137"/>
      <c r="PIH65" s="137"/>
      <c r="PII65" s="137"/>
      <c r="PIJ65" s="137"/>
      <c r="PIK65" s="137"/>
      <c r="PIL65" s="137"/>
      <c r="PIM65" s="137"/>
      <c r="PIN65" s="137"/>
      <c r="PIO65" s="137"/>
      <c r="PIP65" s="137"/>
      <c r="PIQ65" s="137"/>
      <c r="PIR65" s="137"/>
      <c r="PIS65" s="137"/>
      <c r="PIT65" s="137"/>
      <c r="PIU65" s="137"/>
      <c r="PIV65" s="137"/>
      <c r="PIW65" s="137"/>
      <c r="PIX65" s="137"/>
      <c r="PIY65" s="137"/>
      <c r="PIZ65" s="137"/>
      <c r="PJA65" s="137"/>
      <c r="PJB65" s="137"/>
      <c r="PJC65" s="137"/>
      <c r="PJD65" s="137"/>
      <c r="PJE65" s="137"/>
      <c r="PJF65" s="137"/>
      <c r="PJG65" s="137"/>
      <c r="PJH65" s="137"/>
      <c r="PJI65" s="137"/>
      <c r="PJJ65" s="137"/>
      <c r="PJK65" s="137"/>
      <c r="PJL65" s="137"/>
      <c r="PJM65" s="137"/>
      <c r="PJN65" s="137"/>
      <c r="PJO65" s="137"/>
      <c r="PJP65" s="137"/>
      <c r="PJQ65" s="137"/>
      <c r="PJR65" s="137"/>
      <c r="PJS65" s="137"/>
      <c r="PJT65" s="137"/>
      <c r="PJU65" s="137"/>
      <c r="PJV65" s="137"/>
      <c r="PJW65" s="137"/>
      <c r="PJX65" s="137"/>
      <c r="PJY65" s="137"/>
      <c r="PJZ65" s="137"/>
      <c r="PKA65" s="137"/>
      <c r="PKB65" s="137"/>
      <c r="PKC65" s="137"/>
      <c r="PKD65" s="137"/>
      <c r="PKE65" s="137"/>
      <c r="PKF65" s="137"/>
      <c r="PKG65" s="137"/>
      <c r="PKH65" s="137"/>
      <c r="PKI65" s="137"/>
      <c r="PKJ65" s="137"/>
      <c r="PKK65" s="137"/>
      <c r="PKL65" s="137"/>
      <c r="PKM65" s="137"/>
      <c r="PKN65" s="137"/>
      <c r="PKO65" s="137"/>
      <c r="PKP65" s="137"/>
      <c r="PKQ65" s="137"/>
      <c r="PKR65" s="137"/>
      <c r="PKS65" s="137"/>
      <c r="PKT65" s="137"/>
      <c r="PKU65" s="137"/>
      <c r="PKV65" s="137"/>
      <c r="PKW65" s="137"/>
      <c r="PKX65" s="137"/>
      <c r="PKY65" s="137"/>
      <c r="PKZ65" s="137"/>
      <c r="PLA65" s="137"/>
      <c r="PLB65" s="137"/>
      <c r="PLC65" s="137"/>
      <c r="PLD65" s="137"/>
      <c r="PLE65" s="137"/>
      <c r="PLF65" s="137"/>
      <c r="PLG65" s="137"/>
      <c r="PLH65" s="137"/>
      <c r="PLI65" s="137"/>
      <c r="PLJ65" s="137"/>
      <c r="PLK65" s="137"/>
      <c r="PLL65" s="137"/>
      <c r="PLM65" s="137"/>
      <c r="PLN65" s="137"/>
      <c r="PLO65" s="137"/>
      <c r="PLP65" s="137"/>
      <c r="PLQ65" s="137"/>
      <c r="PLR65" s="137"/>
      <c r="PLS65" s="137"/>
      <c r="PLT65" s="137"/>
      <c r="PLU65" s="137"/>
      <c r="PLV65" s="137"/>
      <c r="PLW65" s="137"/>
      <c r="PLX65" s="137"/>
      <c r="PLY65" s="137"/>
      <c r="PLZ65" s="137"/>
      <c r="PMA65" s="137"/>
      <c r="PMB65" s="137"/>
      <c r="PMC65" s="137"/>
      <c r="PMD65" s="137"/>
      <c r="PME65" s="137"/>
      <c r="PMF65" s="137"/>
      <c r="PMG65" s="137"/>
      <c r="PMH65" s="137"/>
      <c r="PMI65" s="137"/>
      <c r="PMJ65" s="137"/>
      <c r="PMK65" s="137"/>
      <c r="PML65" s="137"/>
      <c r="PMM65" s="137"/>
      <c r="PMN65" s="137"/>
      <c r="PMO65" s="137"/>
      <c r="PMP65" s="137"/>
      <c r="PMQ65" s="137"/>
      <c r="PMR65" s="137"/>
      <c r="PMS65" s="137"/>
      <c r="PMT65" s="137"/>
      <c r="PMU65" s="137"/>
      <c r="PMV65" s="137"/>
      <c r="PMW65" s="137"/>
      <c r="PMX65" s="137"/>
      <c r="PMY65" s="137"/>
      <c r="PMZ65" s="137"/>
      <c r="PNA65" s="137"/>
      <c r="PNB65" s="137"/>
      <c r="PNC65" s="137"/>
      <c r="PND65" s="137"/>
      <c r="PNE65" s="137"/>
      <c r="PNF65" s="137"/>
      <c r="PNG65" s="137"/>
      <c r="PNH65" s="137"/>
      <c r="PNI65" s="137"/>
      <c r="PNJ65" s="137"/>
      <c r="PNK65" s="137"/>
      <c r="PNL65" s="137"/>
      <c r="PNM65" s="137"/>
      <c r="PNN65" s="137"/>
      <c r="PNO65" s="137"/>
      <c r="PNP65" s="137"/>
      <c r="PNQ65" s="137"/>
      <c r="PNR65" s="137"/>
      <c r="PNS65" s="137"/>
      <c r="PNT65" s="137"/>
      <c r="PNU65" s="137"/>
      <c r="PNV65" s="137"/>
      <c r="PNW65" s="137"/>
      <c r="PNX65" s="137"/>
      <c r="PNY65" s="137"/>
      <c r="PNZ65" s="137"/>
      <c r="POA65" s="137"/>
      <c r="POB65" s="137"/>
      <c r="POC65" s="137"/>
      <c r="POD65" s="137"/>
      <c r="POE65" s="137"/>
      <c r="POF65" s="137"/>
      <c r="POG65" s="137"/>
      <c r="POH65" s="137"/>
      <c r="POI65" s="137"/>
      <c r="POJ65" s="137"/>
      <c r="POK65" s="137"/>
      <c r="POL65" s="137"/>
      <c r="POM65" s="137"/>
      <c r="PON65" s="137"/>
      <c r="POO65" s="137"/>
      <c r="POP65" s="137"/>
      <c r="POQ65" s="137"/>
      <c r="POR65" s="137"/>
      <c r="POS65" s="137"/>
      <c r="POT65" s="137"/>
      <c r="POU65" s="137"/>
      <c r="POV65" s="137"/>
      <c r="POW65" s="137"/>
      <c r="POX65" s="137"/>
      <c r="POY65" s="137"/>
      <c r="POZ65" s="137"/>
      <c r="PPA65" s="137"/>
      <c r="PPB65" s="137"/>
      <c r="PPC65" s="137"/>
      <c r="PPD65" s="137"/>
      <c r="PPE65" s="137"/>
      <c r="PPF65" s="137"/>
      <c r="PPG65" s="137"/>
      <c r="PPH65" s="137"/>
      <c r="PPI65" s="137"/>
      <c r="PPJ65" s="137"/>
      <c r="PPK65" s="137"/>
      <c r="PPL65" s="137"/>
      <c r="PPM65" s="137"/>
      <c r="PPN65" s="137"/>
      <c r="PPO65" s="137"/>
      <c r="PPP65" s="137"/>
      <c r="PPQ65" s="137"/>
      <c r="PPR65" s="137"/>
      <c r="PPS65" s="137"/>
      <c r="PPT65" s="137"/>
      <c r="PPU65" s="137"/>
      <c r="PPV65" s="137"/>
      <c r="PPW65" s="137"/>
      <c r="PPX65" s="137"/>
      <c r="PPY65" s="137"/>
      <c r="PPZ65" s="137"/>
      <c r="PQA65" s="137"/>
      <c r="PQB65" s="137"/>
      <c r="PQC65" s="137"/>
      <c r="PQD65" s="137"/>
      <c r="PQE65" s="137"/>
      <c r="PQF65" s="137"/>
      <c r="PQG65" s="137"/>
      <c r="PQH65" s="137"/>
      <c r="PQI65" s="137"/>
      <c r="PQJ65" s="137"/>
      <c r="PQK65" s="137"/>
      <c r="PQL65" s="137"/>
      <c r="PQM65" s="137"/>
      <c r="PQN65" s="137"/>
      <c r="PQO65" s="137"/>
      <c r="PQP65" s="137"/>
      <c r="PQQ65" s="137"/>
      <c r="PQR65" s="137"/>
      <c r="PQS65" s="137"/>
      <c r="PQT65" s="137"/>
      <c r="PQU65" s="137"/>
      <c r="PQV65" s="137"/>
      <c r="PQW65" s="137"/>
      <c r="PQX65" s="137"/>
      <c r="PQY65" s="137"/>
      <c r="PQZ65" s="137"/>
      <c r="PRA65" s="137"/>
      <c r="PRB65" s="137"/>
      <c r="PRC65" s="137"/>
      <c r="PRD65" s="137"/>
      <c r="PRE65" s="137"/>
      <c r="PRF65" s="137"/>
      <c r="PRG65" s="137"/>
      <c r="PRH65" s="137"/>
      <c r="PRI65" s="137"/>
      <c r="PRJ65" s="137"/>
      <c r="PRK65" s="137"/>
      <c r="PRL65" s="137"/>
      <c r="PRM65" s="137"/>
      <c r="PRN65" s="137"/>
      <c r="PRO65" s="137"/>
      <c r="PRP65" s="137"/>
      <c r="PRQ65" s="137"/>
      <c r="PRR65" s="137"/>
      <c r="PRS65" s="137"/>
      <c r="PRT65" s="137"/>
      <c r="PRU65" s="137"/>
      <c r="PRV65" s="137"/>
      <c r="PRW65" s="137"/>
      <c r="PRX65" s="137"/>
      <c r="PRY65" s="137"/>
      <c r="PRZ65" s="137"/>
      <c r="PSA65" s="137"/>
      <c r="PSB65" s="137"/>
      <c r="PSC65" s="137"/>
      <c r="PSD65" s="137"/>
      <c r="PSE65" s="137"/>
      <c r="PSF65" s="137"/>
      <c r="PSG65" s="137"/>
      <c r="PSH65" s="137"/>
      <c r="PSI65" s="137"/>
      <c r="PSJ65" s="137"/>
      <c r="PSK65" s="137"/>
      <c r="PSL65" s="137"/>
      <c r="PSM65" s="137"/>
      <c r="PSN65" s="137"/>
      <c r="PSO65" s="137"/>
      <c r="PSP65" s="137"/>
      <c r="PSQ65" s="137"/>
      <c r="PSR65" s="137"/>
      <c r="PSS65" s="137"/>
      <c r="PST65" s="137"/>
      <c r="PSU65" s="137"/>
      <c r="PSV65" s="137"/>
      <c r="PSW65" s="137"/>
      <c r="PSX65" s="137"/>
      <c r="PSY65" s="137"/>
      <c r="PSZ65" s="137"/>
      <c r="PTA65" s="137"/>
      <c r="PTB65" s="137"/>
      <c r="PTC65" s="137"/>
      <c r="PTD65" s="137"/>
      <c r="PTE65" s="137"/>
      <c r="PTF65" s="137"/>
      <c r="PTG65" s="137"/>
      <c r="PTH65" s="137"/>
      <c r="PTI65" s="137"/>
      <c r="PTJ65" s="137"/>
      <c r="PTK65" s="137"/>
      <c r="PTL65" s="137"/>
      <c r="PTM65" s="137"/>
      <c r="PTN65" s="137"/>
      <c r="PTO65" s="137"/>
      <c r="PTP65" s="137"/>
      <c r="PTQ65" s="137"/>
      <c r="PTR65" s="137"/>
      <c r="PTS65" s="137"/>
      <c r="PTT65" s="137"/>
      <c r="PTU65" s="137"/>
      <c r="PTV65" s="137"/>
      <c r="PTW65" s="137"/>
      <c r="PTX65" s="137"/>
      <c r="PTY65" s="137"/>
      <c r="PTZ65" s="137"/>
      <c r="PUA65" s="137"/>
      <c r="PUB65" s="137"/>
      <c r="PUC65" s="137"/>
      <c r="PUD65" s="137"/>
      <c r="PUE65" s="137"/>
      <c r="PUF65" s="137"/>
      <c r="PUG65" s="137"/>
      <c r="PUH65" s="137"/>
      <c r="PUI65" s="137"/>
      <c r="PUJ65" s="137"/>
      <c r="PUK65" s="137"/>
      <c r="PUL65" s="137"/>
      <c r="PUM65" s="137"/>
      <c r="PUN65" s="137"/>
      <c r="PUO65" s="137"/>
      <c r="PUP65" s="137"/>
      <c r="PUQ65" s="137"/>
      <c r="PUR65" s="137"/>
      <c r="PUS65" s="137"/>
      <c r="PUT65" s="137"/>
      <c r="PUU65" s="137"/>
      <c r="PUV65" s="137"/>
      <c r="PUW65" s="137"/>
      <c r="PUX65" s="137"/>
      <c r="PUY65" s="137"/>
      <c r="PUZ65" s="137"/>
      <c r="PVA65" s="137"/>
      <c r="PVB65" s="137"/>
      <c r="PVC65" s="137"/>
      <c r="PVD65" s="137"/>
      <c r="PVE65" s="137"/>
      <c r="PVF65" s="137"/>
      <c r="PVG65" s="137"/>
      <c r="PVH65" s="137"/>
      <c r="PVI65" s="137"/>
      <c r="PVJ65" s="137"/>
      <c r="PVK65" s="137"/>
      <c r="PVL65" s="137"/>
      <c r="PVM65" s="137"/>
      <c r="PVN65" s="137"/>
      <c r="PVO65" s="137"/>
      <c r="PVP65" s="137"/>
      <c r="PVQ65" s="137"/>
      <c r="PVR65" s="137"/>
      <c r="PVS65" s="137"/>
      <c r="PVT65" s="137"/>
      <c r="PVU65" s="137"/>
      <c r="PVV65" s="137"/>
      <c r="PVW65" s="137"/>
      <c r="PVX65" s="137"/>
      <c r="PVY65" s="137"/>
      <c r="PVZ65" s="137"/>
      <c r="PWA65" s="137"/>
      <c r="PWB65" s="137"/>
      <c r="PWC65" s="137"/>
      <c r="PWD65" s="137"/>
      <c r="PWE65" s="137"/>
      <c r="PWF65" s="137"/>
      <c r="PWG65" s="137"/>
      <c r="PWH65" s="137"/>
      <c r="PWI65" s="137"/>
      <c r="PWJ65" s="137"/>
      <c r="PWK65" s="137"/>
      <c r="PWL65" s="137"/>
      <c r="PWM65" s="137"/>
      <c r="PWN65" s="137"/>
      <c r="PWO65" s="137"/>
      <c r="PWP65" s="137"/>
      <c r="PWQ65" s="137"/>
      <c r="PWR65" s="137"/>
      <c r="PWS65" s="137"/>
      <c r="PWT65" s="137"/>
      <c r="PWU65" s="137"/>
      <c r="PWV65" s="137"/>
      <c r="PWW65" s="137"/>
      <c r="PWX65" s="137"/>
      <c r="PWY65" s="137"/>
      <c r="PWZ65" s="137"/>
      <c r="PXA65" s="137"/>
      <c r="PXB65" s="137"/>
      <c r="PXC65" s="137"/>
      <c r="PXD65" s="137"/>
      <c r="PXE65" s="137"/>
      <c r="PXF65" s="137"/>
      <c r="PXG65" s="137"/>
      <c r="PXH65" s="137"/>
      <c r="PXI65" s="137"/>
      <c r="PXJ65" s="137"/>
      <c r="PXK65" s="137"/>
      <c r="PXL65" s="137"/>
      <c r="PXM65" s="137"/>
      <c r="PXN65" s="137"/>
      <c r="PXO65" s="137"/>
      <c r="PXP65" s="137"/>
      <c r="PXQ65" s="137"/>
      <c r="PXR65" s="137"/>
      <c r="PXS65" s="137"/>
      <c r="PXT65" s="137"/>
      <c r="PXU65" s="137"/>
      <c r="PXV65" s="137"/>
      <c r="PXW65" s="137"/>
      <c r="PXX65" s="137"/>
      <c r="PXY65" s="137"/>
      <c r="PXZ65" s="137"/>
      <c r="PYA65" s="137"/>
      <c r="PYB65" s="137"/>
      <c r="PYC65" s="137"/>
      <c r="PYD65" s="137"/>
      <c r="PYE65" s="137"/>
      <c r="PYF65" s="137"/>
      <c r="PYG65" s="137"/>
      <c r="PYH65" s="137"/>
      <c r="PYI65" s="137"/>
      <c r="PYJ65" s="137"/>
      <c r="PYK65" s="137"/>
      <c r="PYL65" s="137"/>
      <c r="PYM65" s="137"/>
      <c r="PYN65" s="137"/>
      <c r="PYO65" s="137"/>
      <c r="PYP65" s="137"/>
      <c r="PYQ65" s="137"/>
      <c r="PYR65" s="137"/>
      <c r="PYS65" s="137"/>
      <c r="PYT65" s="137"/>
      <c r="PYU65" s="137"/>
      <c r="PYV65" s="137"/>
      <c r="PYW65" s="137"/>
      <c r="PYX65" s="137"/>
      <c r="PYY65" s="137"/>
      <c r="PYZ65" s="137"/>
      <c r="PZA65" s="137"/>
      <c r="PZB65" s="137"/>
      <c r="PZC65" s="137"/>
      <c r="PZD65" s="137"/>
      <c r="PZE65" s="137"/>
      <c r="PZF65" s="137"/>
      <c r="PZG65" s="137"/>
      <c r="PZH65" s="137"/>
      <c r="PZI65" s="137"/>
      <c r="PZJ65" s="137"/>
      <c r="PZK65" s="137"/>
      <c r="PZL65" s="137"/>
      <c r="PZM65" s="137"/>
      <c r="PZN65" s="137"/>
      <c r="PZO65" s="137"/>
      <c r="PZP65" s="137"/>
      <c r="PZQ65" s="137"/>
      <c r="PZR65" s="137"/>
      <c r="PZS65" s="137"/>
      <c r="PZT65" s="137"/>
      <c r="PZU65" s="137"/>
      <c r="PZV65" s="137"/>
      <c r="PZW65" s="137"/>
      <c r="PZX65" s="137"/>
      <c r="PZY65" s="137"/>
      <c r="PZZ65" s="137"/>
      <c r="QAA65" s="137"/>
      <c r="QAB65" s="137"/>
      <c r="QAC65" s="137"/>
      <c r="QAD65" s="137"/>
      <c r="QAE65" s="137"/>
      <c r="QAF65" s="137"/>
      <c r="QAG65" s="137"/>
      <c r="QAH65" s="137"/>
      <c r="QAI65" s="137"/>
      <c r="QAJ65" s="137"/>
      <c r="QAK65" s="137"/>
      <c r="QAL65" s="137"/>
      <c r="QAM65" s="137"/>
      <c r="QAN65" s="137"/>
      <c r="QAO65" s="137"/>
      <c r="QAP65" s="137"/>
      <c r="QAQ65" s="137"/>
      <c r="QAR65" s="137"/>
      <c r="QAS65" s="137"/>
      <c r="QAT65" s="137"/>
      <c r="QAU65" s="137"/>
      <c r="QAV65" s="137"/>
      <c r="QAW65" s="137"/>
      <c r="QAX65" s="137"/>
      <c r="QAY65" s="137"/>
      <c r="QAZ65" s="137"/>
      <c r="QBA65" s="137"/>
      <c r="QBB65" s="137"/>
      <c r="QBC65" s="137"/>
      <c r="QBD65" s="137"/>
      <c r="QBE65" s="137"/>
      <c r="QBF65" s="137"/>
      <c r="QBG65" s="137"/>
      <c r="QBH65" s="137"/>
      <c r="QBI65" s="137"/>
      <c r="QBJ65" s="137"/>
      <c r="QBK65" s="137"/>
      <c r="QBL65" s="137"/>
      <c r="QBM65" s="137"/>
      <c r="QBN65" s="137"/>
      <c r="QBO65" s="137"/>
      <c r="QBP65" s="137"/>
      <c r="QBQ65" s="137"/>
      <c r="QBR65" s="137"/>
      <c r="QBS65" s="137"/>
      <c r="QBT65" s="137"/>
      <c r="QBU65" s="137"/>
      <c r="QBV65" s="137"/>
      <c r="QBW65" s="137"/>
      <c r="QBX65" s="137"/>
      <c r="QBY65" s="137"/>
      <c r="QBZ65" s="137"/>
      <c r="QCA65" s="137"/>
      <c r="QCB65" s="137"/>
      <c r="QCC65" s="137"/>
      <c r="QCD65" s="137"/>
      <c r="QCE65" s="137"/>
      <c r="QCF65" s="137"/>
      <c r="QCG65" s="137"/>
      <c r="QCH65" s="137"/>
      <c r="QCI65" s="137"/>
      <c r="QCJ65" s="137"/>
      <c r="QCK65" s="137"/>
      <c r="QCL65" s="137"/>
      <c r="QCM65" s="137"/>
      <c r="QCN65" s="137"/>
      <c r="QCO65" s="137"/>
      <c r="QCP65" s="137"/>
      <c r="QCQ65" s="137"/>
      <c r="QCR65" s="137"/>
      <c r="QCS65" s="137"/>
      <c r="QCT65" s="137"/>
      <c r="QCU65" s="137"/>
      <c r="QCV65" s="137"/>
      <c r="QCW65" s="137"/>
      <c r="QCX65" s="137"/>
      <c r="QCY65" s="137"/>
      <c r="QCZ65" s="137"/>
      <c r="QDA65" s="137"/>
      <c r="QDB65" s="137"/>
      <c r="QDC65" s="137"/>
      <c r="QDD65" s="137"/>
      <c r="QDE65" s="137"/>
      <c r="QDF65" s="137"/>
      <c r="QDG65" s="137"/>
      <c r="QDH65" s="137"/>
      <c r="QDI65" s="137"/>
      <c r="QDJ65" s="137"/>
      <c r="QDK65" s="137"/>
      <c r="QDL65" s="137"/>
      <c r="QDM65" s="137"/>
      <c r="QDN65" s="137"/>
      <c r="QDO65" s="137"/>
      <c r="QDP65" s="137"/>
      <c r="QDQ65" s="137"/>
      <c r="QDR65" s="137"/>
      <c r="QDS65" s="137"/>
      <c r="QDT65" s="137"/>
      <c r="QDU65" s="137"/>
      <c r="QDV65" s="137"/>
      <c r="QDW65" s="137"/>
      <c r="QDX65" s="137"/>
      <c r="QDY65" s="137"/>
      <c r="QDZ65" s="137"/>
      <c r="QEA65" s="137"/>
      <c r="QEB65" s="137"/>
      <c r="QEC65" s="137"/>
      <c r="QED65" s="137"/>
      <c r="QEE65" s="137"/>
      <c r="QEF65" s="137"/>
      <c r="QEG65" s="137"/>
      <c r="QEH65" s="137"/>
      <c r="QEI65" s="137"/>
      <c r="QEJ65" s="137"/>
      <c r="QEK65" s="137"/>
      <c r="QEL65" s="137"/>
      <c r="QEM65" s="137"/>
      <c r="QEN65" s="137"/>
      <c r="QEO65" s="137"/>
      <c r="QEP65" s="137"/>
      <c r="QEQ65" s="137"/>
      <c r="QER65" s="137"/>
      <c r="QES65" s="137"/>
      <c r="QET65" s="137"/>
      <c r="QEU65" s="137"/>
      <c r="QEV65" s="137"/>
      <c r="QEW65" s="137"/>
      <c r="QEX65" s="137"/>
      <c r="QEY65" s="137"/>
      <c r="QEZ65" s="137"/>
      <c r="QFA65" s="137"/>
      <c r="QFB65" s="137"/>
      <c r="QFC65" s="137"/>
      <c r="QFD65" s="137"/>
      <c r="QFE65" s="137"/>
      <c r="QFF65" s="137"/>
      <c r="QFG65" s="137"/>
      <c r="QFH65" s="137"/>
      <c r="QFI65" s="137"/>
      <c r="QFJ65" s="137"/>
      <c r="QFK65" s="137"/>
      <c r="QFL65" s="137"/>
      <c r="QFM65" s="137"/>
      <c r="QFN65" s="137"/>
      <c r="QFO65" s="137"/>
      <c r="QFP65" s="137"/>
      <c r="QFQ65" s="137"/>
      <c r="QFR65" s="137"/>
      <c r="QFS65" s="137"/>
      <c r="QFT65" s="137"/>
      <c r="QFU65" s="137"/>
      <c r="QFV65" s="137"/>
      <c r="QFW65" s="137"/>
      <c r="QFX65" s="137"/>
      <c r="QFY65" s="137"/>
      <c r="QFZ65" s="137"/>
      <c r="QGA65" s="137"/>
      <c r="QGB65" s="137"/>
      <c r="QGC65" s="137"/>
      <c r="QGD65" s="137"/>
      <c r="QGE65" s="137"/>
      <c r="QGF65" s="137"/>
      <c r="QGG65" s="137"/>
      <c r="QGH65" s="137"/>
      <c r="QGI65" s="137"/>
      <c r="QGJ65" s="137"/>
      <c r="QGK65" s="137"/>
      <c r="QGL65" s="137"/>
      <c r="QGM65" s="137"/>
      <c r="QGN65" s="137"/>
      <c r="QGO65" s="137"/>
      <c r="QGP65" s="137"/>
      <c r="QGQ65" s="137"/>
      <c r="QGR65" s="137"/>
      <c r="QGS65" s="137"/>
      <c r="QGT65" s="137"/>
      <c r="QGU65" s="137"/>
      <c r="QGV65" s="137"/>
      <c r="QGW65" s="137"/>
      <c r="QGX65" s="137"/>
      <c r="QGY65" s="137"/>
      <c r="QGZ65" s="137"/>
      <c r="QHA65" s="137"/>
      <c r="QHB65" s="137"/>
      <c r="QHC65" s="137"/>
      <c r="QHD65" s="137"/>
      <c r="QHE65" s="137"/>
      <c r="QHF65" s="137"/>
      <c r="QHG65" s="137"/>
      <c r="QHH65" s="137"/>
      <c r="QHI65" s="137"/>
      <c r="QHJ65" s="137"/>
      <c r="QHK65" s="137"/>
      <c r="QHL65" s="137"/>
      <c r="QHM65" s="137"/>
      <c r="QHN65" s="137"/>
      <c r="QHO65" s="137"/>
      <c r="QHP65" s="137"/>
      <c r="QHQ65" s="137"/>
      <c r="QHR65" s="137"/>
      <c r="QHS65" s="137"/>
      <c r="QHT65" s="137"/>
      <c r="QHU65" s="137"/>
      <c r="QHV65" s="137"/>
      <c r="QHW65" s="137"/>
      <c r="QHX65" s="137"/>
      <c r="QHY65" s="137"/>
      <c r="QHZ65" s="137"/>
      <c r="QIA65" s="137"/>
      <c r="QIB65" s="137"/>
      <c r="QIC65" s="137"/>
      <c r="QID65" s="137"/>
      <c r="QIE65" s="137"/>
      <c r="QIF65" s="137"/>
      <c r="QIG65" s="137"/>
      <c r="QIH65" s="137"/>
      <c r="QII65" s="137"/>
      <c r="QIJ65" s="137"/>
      <c r="QIK65" s="137"/>
      <c r="QIL65" s="137"/>
      <c r="QIM65" s="137"/>
      <c r="QIN65" s="137"/>
      <c r="QIO65" s="137"/>
      <c r="QIP65" s="137"/>
      <c r="QIQ65" s="137"/>
      <c r="QIR65" s="137"/>
      <c r="QIS65" s="137"/>
      <c r="QIT65" s="137"/>
      <c r="QIU65" s="137"/>
      <c r="QIV65" s="137"/>
      <c r="QIW65" s="137"/>
      <c r="QIX65" s="137"/>
      <c r="QIY65" s="137"/>
      <c r="QIZ65" s="137"/>
      <c r="QJA65" s="137"/>
      <c r="QJB65" s="137"/>
      <c r="QJC65" s="137"/>
      <c r="QJD65" s="137"/>
      <c r="QJE65" s="137"/>
      <c r="QJF65" s="137"/>
      <c r="QJG65" s="137"/>
      <c r="QJH65" s="137"/>
      <c r="QJI65" s="137"/>
      <c r="QJJ65" s="137"/>
      <c r="QJK65" s="137"/>
      <c r="QJL65" s="137"/>
      <c r="QJM65" s="137"/>
      <c r="QJN65" s="137"/>
      <c r="QJO65" s="137"/>
      <c r="QJP65" s="137"/>
      <c r="QJQ65" s="137"/>
      <c r="QJR65" s="137"/>
      <c r="QJS65" s="137"/>
      <c r="QJT65" s="137"/>
      <c r="QJU65" s="137"/>
      <c r="QJV65" s="137"/>
      <c r="QJW65" s="137"/>
      <c r="QJX65" s="137"/>
      <c r="QJY65" s="137"/>
      <c r="QJZ65" s="137"/>
      <c r="QKA65" s="137"/>
      <c r="QKB65" s="137"/>
      <c r="QKC65" s="137"/>
      <c r="QKD65" s="137"/>
      <c r="QKE65" s="137"/>
      <c r="QKF65" s="137"/>
      <c r="QKG65" s="137"/>
      <c r="QKH65" s="137"/>
      <c r="QKI65" s="137"/>
      <c r="QKJ65" s="137"/>
      <c r="QKK65" s="137"/>
      <c r="QKL65" s="137"/>
      <c r="QKM65" s="137"/>
      <c r="QKN65" s="137"/>
      <c r="QKO65" s="137"/>
      <c r="QKP65" s="137"/>
      <c r="QKQ65" s="137"/>
      <c r="QKR65" s="137"/>
      <c r="QKS65" s="137"/>
      <c r="QKT65" s="137"/>
      <c r="QKU65" s="137"/>
      <c r="QKV65" s="137"/>
      <c r="QKW65" s="137"/>
      <c r="QKX65" s="137"/>
      <c r="QKY65" s="137"/>
      <c r="QKZ65" s="137"/>
      <c r="QLA65" s="137"/>
      <c r="QLB65" s="137"/>
      <c r="QLC65" s="137"/>
      <c r="QLD65" s="137"/>
      <c r="QLE65" s="137"/>
      <c r="QLF65" s="137"/>
      <c r="QLG65" s="137"/>
      <c r="QLH65" s="137"/>
      <c r="QLI65" s="137"/>
      <c r="QLJ65" s="137"/>
      <c r="QLK65" s="137"/>
      <c r="QLL65" s="137"/>
      <c r="QLM65" s="137"/>
      <c r="QLN65" s="137"/>
      <c r="QLO65" s="137"/>
      <c r="QLP65" s="137"/>
      <c r="QLQ65" s="137"/>
      <c r="QLR65" s="137"/>
      <c r="QLS65" s="137"/>
      <c r="QLT65" s="137"/>
      <c r="QLU65" s="137"/>
      <c r="QLV65" s="137"/>
      <c r="QLW65" s="137"/>
      <c r="QLX65" s="137"/>
      <c r="QLY65" s="137"/>
      <c r="QLZ65" s="137"/>
      <c r="QMA65" s="137"/>
      <c r="QMB65" s="137"/>
      <c r="QMC65" s="137"/>
      <c r="QMD65" s="137"/>
      <c r="QME65" s="137"/>
      <c r="QMF65" s="137"/>
      <c r="QMG65" s="137"/>
      <c r="QMH65" s="137"/>
      <c r="QMI65" s="137"/>
      <c r="QMJ65" s="137"/>
      <c r="QMK65" s="137"/>
      <c r="QML65" s="137"/>
      <c r="QMM65" s="137"/>
      <c r="QMN65" s="137"/>
      <c r="QMO65" s="137"/>
      <c r="QMP65" s="137"/>
      <c r="QMQ65" s="137"/>
      <c r="QMR65" s="137"/>
      <c r="QMS65" s="137"/>
      <c r="QMT65" s="137"/>
      <c r="QMU65" s="137"/>
      <c r="QMV65" s="137"/>
      <c r="QMW65" s="137"/>
      <c r="QMX65" s="137"/>
      <c r="QMY65" s="137"/>
      <c r="QMZ65" s="137"/>
      <c r="QNA65" s="137"/>
      <c r="QNB65" s="137"/>
      <c r="QNC65" s="137"/>
      <c r="QND65" s="137"/>
      <c r="QNE65" s="137"/>
      <c r="QNF65" s="137"/>
      <c r="QNG65" s="137"/>
      <c r="QNH65" s="137"/>
      <c r="QNI65" s="137"/>
      <c r="QNJ65" s="137"/>
      <c r="QNK65" s="137"/>
      <c r="QNL65" s="137"/>
      <c r="QNM65" s="137"/>
      <c r="QNN65" s="137"/>
      <c r="QNO65" s="137"/>
      <c r="QNP65" s="137"/>
      <c r="QNQ65" s="137"/>
      <c r="QNR65" s="137"/>
      <c r="QNS65" s="137"/>
      <c r="QNT65" s="137"/>
      <c r="QNU65" s="137"/>
      <c r="QNV65" s="137"/>
      <c r="QNW65" s="137"/>
      <c r="QNX65" s="137"/>
      <c r="QNY65" s="137"/>
      <c r="QNZ65" s="137"/>
      <c r="QOA65" s="137"/>
      <c r="QOB65" s="137"/>
      <c r="QOC65" s="137"/>
      <c r="QOD65" s="137"/>
      <c r="QOE65" s="137"/>
      <c r="QOF65" s="137"/>
      <c r="QOG65" s="137"/>
      <c r="QOH65" s="137"/>
      <c r="QOI65" s="137"/>
      <c r="QOJ65" s="137"/>
      <c r="QOK65" s="137"/>
      <c r="QOL65" s="137"/>
      <c r="QOM65" s="137"/>
      <c r="QON65" s="137"/>
      <c r="QOO65" s="137"/>
      <c r="QOP65" s="137"/>
      <c r="QOQ65" s="137"/>
      <c r="QOR65" s="137"/>
      <c r="QOS65" s="137"/>
      <c r="QOT65" s="137"/>
      <c r="QOU65" s="137"/>
      <c r="QOV65" s="137"/>
      <c r="QOW65" s="137"/>
      <c r="QOX65" s="137"/>
      <c r="QOY65" s="137"/>
      <c r="QOZ65" s="137"/>
      <c r="QPA65" s="137"/>
      <c r="QPB65" s="137"/>
      <c r="QPC65" s="137"/>
      <c r="QPD65" s="137"/>
      <c r="QPE65" s="137"/>
      <c r="QPF65" s="137"/>
      <c r="QPG65" s="137"/>
      <c r="QPH65" s="137"/>
      <c r="QPI65" s="137"/>
      <c r="QPJ65" s="137"/>
      <c r="QPK65" s="137"/>
      <c r="QPL65" s="137"/>
      <c r="QPM65" s="137"/>
      <c r="QPN65" s="137"/>
      <c r="QPO65" s="137"/>
      <c r="QPP65" s="137"/>
      <c r="QPQ65" s="137"/>
      <c r="QPR65" s="137"/>
      <c r="QPS65" s="137"/>
      <c r="QPT65" s="137"/>
      <c r="QPU65" s="137"/>
      <c r="QPV65" s="137"/>
      <c r="QPW65" s="137"/>
      <c r="QPX65" s="137"/>
      <c r="QPY65" s="137"/>
      <c r="QPZ65" s="137"/>
      <c r="QQA65" s="137"/>
      <c r="QQB65" s="137"/>
      <c r="QQC65" s="137"/>
      <c r="QQD65" s="137"/>
      <c r="QQE65" s="137"/>
      <c r="QQF65" s="137"/>
      <c r="QQG65" s="137"/>
      <c r="QQH65" s="137"/>
      <c r="QQI65" s="137"/>
      <c r="QQJ65" s="137"/>
      <c r="QQK65" s="137"/>
      <c r="QQL65" s="137"/>
      <c r="QQM65" s="137"/>
      <c r="QQN65" s="137"/>
      <c r="QQO65" s="137"/>
      <c r="QQP65" s="137"/>
      <c r="QQQ65" s="137"/>
      <c r="QQR65" s="137"/>
      <c r="QQS65" s="137"/>
      <c r="QQT65" s="137"/>
      <c r="QQU65" s="137"/>
      <c r="QQV65" s="137"/>
      <c r="QQW65" s="137"/>
      <c r="QQX65" s="137"/>
      <c r="QQY65" s="137"/>
      <c r="QQZ65" s="137"/>
      <c r="QRA65" s="137"/>
      <c r="QRB65" s="137"/>
      <c r="QRC65" s="137"/>
      <c r="QRD65" s="137"/>
      <c r="QRE65" s="137"/>
      <c r="QRF65" s="137"/>
      <c r="QRG65" s="137"/>
      <c r="QRH65" s="137"/>
      <c r="QRI65" s="137"/>
      <c r="QRJ65" s="137"/>
      <c r="QRK65" s="137"/>
      <c r="QRL65" s="137"/>
      <c r="QRM65" s="137"/>
      <c r="QRN65" s="137"/>
      <c r="QRO65" s="137"/>
      <c r="QRP65" s="137"/>
      <c r="QRQ65" s="137"/>
      <c r="QRR65" s="137"/>
      <c r="QRS65" s="137"/>
      <c r="QRT65" s="137"/>
      <c r="QRU65" s="137"/>
      <c r="QRV65" s="137"/>
      <c r="QRW65" s="137"/>
      <c r="QRX65" s="137"/>
      <c r="QRY65" s="137"/>
      <c r="QRZ65" s="137"/>
      <c r="QSA65" s="137"/>
      <c r="QSB65" s="137"/>
      <c r="QSC65" s="137"/>
      <c r="QSD65" s="137"/>
      <c r="QSE65" s="137"/>
      <c r="QSF65" s="137"/>
      <c r="QSG65" s="137"/>
      <c r="QSH65" s="137"/>
      <c r="QSI65" s="137"/>
      <c r="QSJ65" s="137"/>
      <c r="QSK65" s="137"/>
      <c r="QSL65" s="137"/>
      <c r="QSM65" s="137"/>
      <c r="QSN65" s="137"/>
      <c r="QSO65" s="137"/>
      <c r="QSP65" s="137"/>
      <c r="QSQ65" s="137"/>
      <c r="QSR65" s="137"/>
      <c r="QSS65" s="137"/>
      <c r="QST65" s="137"/>
      <c r="QSU65" s="137"/>
      <c r="QSV65" s="137"/>
      <c r="QSW65" s="137"/>
      <c r="QSX65" s="137"/>
      <c r="QSY65" s="137"/>
      <c r="QSZ65" s="137"/>
      <c r="QTA65" s="137"/>
      <c r="QTB65" s="137"/>
      <c r="QTC65" s="137"/>
      <c r="QTD65" s="137"/>
      <c r="QTE65" s="137"/>
      <c r="QTF65" s="137"/>
      <c r="QTG65" s="137"/>
      <c r="QTH65" s="137"/>
      <c r="QTI65" s="137"/>
      <c r="QTJ65" s="137"/>
      <c r="QTK65" s="137"/>
      <c r="QTL65" s="137"/>
      <c r="QTM65" s="137"/>
      <c r="QTN65" s="137"/>
      <c r="QTO65" s="137"/>
      <c r="QTP65" s="137"/>
      <c r="QTQ65" s="137"/>
      <c r="QTR65" s="137"/>
      <c r="QTS65" s="137"/>
      <c r="QTT65" s="137"/>
      <c r="QTU65" s="137"/>
      <c r="QTV65" s="137"/>
      <c r="QTW65" s="137"/>
      <c r="QTX65" s="137"/>
      <c r="QTY65" s="137"/>
      <c r="QTZ65" s="137"/>
      <c r="QUA65" s="137"/>
      <c r="QUB65" s="137"/>
      <c r="QUC65" s="137"/>
      <c r="QUD65" s="137"/>
      <c r="QUE65" s="137"/>
      <c r="QUF65" s="137"/>
      <c r="QUG65" s="137"/>
      <c r="QUH65" s="137"/>
      <c r="QUI65" s="137"/>
      <c r="QUJ65" s="137"/>
      <c r="QUK65" s="137"/>
      <c r="QUL65" s="137"/>
      <c r="QUM65" s="137"/>
      <c r="QUN65" s="137"/>
      <c r="QUO65" s="137"/>
      <c r="QUP65" s="137"/>
      <c r="QUQ65" s="137"/>
      <c r="QUR65" s="137"/>
      <c r="QUS65" s="137"/>
      <c r="QUT65" s="137"/>
      <c r="QUU65" s="137"/>
      <c r="QUV65" s="137"/>
      <c r="QUW65" s="137"/>
      <c r="QUX65" s="137"/>
      <c r="QUY65" s="137"/>
      <c r="QUZ65" s="137"/>
      <c r="QVA65" s="137"/>
      <c r="QVB65" s="137"/>
      <c r="QVC65" s="137"/>
      <c r="QVD65" s="137"/>
      <c r="QVE65" s="137"/>
      <c r="QVF65" s="137"/>
      <c r="QVG65" s="137"/>
      <c r="QVH65" s="137"/>
      <c r="QVI65" s="137"/>
      <c r="QVJ65" s="137"/>
      <c r="QVK65" s="137"/>
      <c r="QVL65" s="137"/>
      <c r="QVM65" s="137"/>
      <c r="QVN65" s="137"/>
      <c r="QVO65" s="137"/>
      <c r="QVP65" s="137"/>
      <c r="QVQ65" s="137"/>
      <c r="QVR65" s="137"/>
      <c r="QVS65" s="137"/>
      <c r="QVT65" s="137"/>
      <c r="QVU65" s="137"/>
      <c r="QVV65" s="137"/>
      <c r="QVW65" s="137"/>
      <c r="QVX65" s="137"/>
      <c r="QVY65" s="137"/>
      <c r="QVZ65" s="137"/>
      <c r="QWA65" s="137"/>
      <c r="QWB65" s="137"/>
      <c r="QWC65" s="137"/>
      <c r="QWD65" s="137"/>
      <c r="QWE65" s="137"/>
      <c r="QWF65" s="137"/>
      <c r="QWG65" s="137"/>
      <c r="QWH65" s="137"/>
      <c r="QWI65" s="137"/>
      <c r="QWJ65" s="137"/>
      <c r="QWK65" s="137"/>
      <c r="QWL65" s="137"/>
      <c r="QWM65" s="137"/>
      <c r="QWN65" s="137"/>
      <c r="QWO65" s="137"/>
      <c r="QWP65" s="137"/>
      <c r="QWQ65" s="137"/>
      <c r="QWR65" s="137"/>
      <c r="QWS65" s="137"/>
      <c r="QWT65" s="137"/>
      <c r="QWU65" s="137"/>
      <c r="QWV65" s="137"/>
      <c r="QWW65" s="137"/>
      <c r="QWX65" s="137"/>
      <c r="QWY65" s="137"/>
      <c r="QWZ65" s="137"/>
      <c r="QXA65" s="137"/>
      <c r="QXB65" s="137"/>
      <c r="QXC65" s="137"/>
      <c r="QXD65" s="137"/>
      <c r="QXE65" s="137"/>
      <c r="QXF65" s="137"/>
      <c r="QXG65" s="137"/>
      <c r="QXH65" s="137"/>
      <c r="QXI65" s="137"/>
      <c r="QXJ65" s="137"/>
      <c r="QXK65" s="137"/>
      <c r="QXL65" s="137"/>
      <c r="QXM65" s="137"/>
      <c r="QXN65" s="137"/>
      <c r="QXO65" s="137"/>
      <c r="QXP65" s="137"/>
      <c r="QXQ65" s="137"/>
      <c r="QXR65" s="137"/>
      <c r="QXS65" s="137"/>
      <c r="QXT65" s="137"/>
      <c r="QXU65" s="137"/>
      <c r="QXV65" s="137"/>
      <c r="QXW65" s="137"/>
      <c r="QXX65" s="137"/>
      <c r="QXY65" s="137"/>
      <c r="QXZ65" s="137"/>
      <c r="QYA65" s="137"/>
      <c r="QYB65" s="137"/>
      <c r="QYC65" s="137"/>
      <c r="QYD65" s="137"/>
      <c r="QYE65" s="137"/>
      <c r="QYF65" s="137"/>
      <c r="QYG65" s="137"/>
      <c r="QYH65" s="137"/>
      <c r="QYI65" s="137"/>
      <c r="QYJ65" s="137"/>
      <c r="QYK65" s="137"/>
      <c r="QYL65" s="137"/>
      <c r="QYM65" s="137"/>
      <c r="QYN65" s="137"/>
      <c r="QYO65" s="137"/>
      <c r="QYP65" s="137"/>
      <c r="QYQ65" s="137"/>
      <c r="QYR65" s="137"/>
      <c r="QYS65" s="137"/>
      <c r="QYT65" s="137"/>
      <c r="QYU65" s="137"/>
      <c r="QYV65" s="137"/>
      <c r="QYW65" s="137"/>
      <c r="QYX65" s="137"/>
      <c r="QYY65" s="137"/>
      <c r="QYZ65" s="137"/>
      <c r="QZA65" s="137"/>
      <c r="QZB65" s="137"/>
      <c r="QZC65" s="137"/>
      <c r="QZD65" s="137"/>
      <c r="QZE65" s="137"/>
      <c r="QZF65" s="137"/>
      <c r="QZG65" s="137"/>
      <c r="QZH65" s="137"/>
      <c r="QZI65" s="137"/>
      <c r="QZJ65" s="137"/>
      <c r="QZK65" s="137"/>
      <c r="QZL65" s="137"/>
      <c r="QZM65" s="137"/>
      <c r="QZN65" s="137"/>
      <c r="QZO65" s="137"/>
      <c r="QZP65" s="137"/>
      <c r="QZQ65" s="137"/>
      <c r="QZR65" s="137"/>
      <c r="QZS65" s="137"/>
      <c r="QZT65" s="137"/>
      <c r="QZU65" s="137"/>
      <c r="QZV65" s="137"/>
      <c r="QZW65" s="137"/>
      <c r="QZX65" s="137"/>
      <c r="QZY65" s="137"/>
      <c r="QZZ65" s="137"/>
      <c r="RAA65" s="137"/>
      <c r="RAB65" s="137"/>
      <c r="RAC65" s="137"/>
      <c r="RAD65" s="137"/>
      <c r="RAE65" s="137"/>
      <c r="RAF65" s="137"/>
      <c r="RAG65" s="137"/>
      <c r="RAH65" s="137"/>
      <c r="RAI65" s="137"/>
      <c r="RAJ65" s="137"/>
      <c r="RAK65" s="137"/>
      <c r="RAL65" s="137"/>
      <c r="RAM65" s="137"/>
      <c r="RAN65" s="137"/>
      <c r="RAO65" s="137"/>
      <c r="RAP65" s="137"/>
      <c r="RAQ65" s="137"/>
      <c r="RAR65" s="137"/>
      <c r="RAS65" s="137"/>
      <c r="RAT65" s="137"/>
      <c r="RAU65" s="137"/>
      <c r="RAV65" s="137"/>
      <c r="RAW65" s="137"/>
      <c r="RAX65" s="137"/>
      <c r="RAY65" s="137"/>
      <c r="RAZ65" s="137"/>
      <c r="RBA65" s="137"/>
      <c r="RBB65" s="137"/>
      <c r="RBC65" s="137"/>
      <c r="RBD65" s="137"/>
      <c r="RBE65" s="137"/>
      <c r="RBF65" s="137"/>
      <c r="RBG65" s="137"/>
      <c r="RBH65" s="137"/>
      <c r="RBI65" s="137"/>
      <c r="RBJ65" s="137"/>
      <c r="RBK65" s="137"/>
      <c r="RBL65" s="137"/>
      <c r="RBM65" s="137"/>
      <c r="RBN65" s="137"/>
      <c r="RBO65" s="137"/>
      <c r="RBP65" s="137"/>
      <c r="RBQ65" s="137"/>
      <c r="RBR65" s="137"/>
      <c r="RBS65" s="137"/>
      <c r="RBT65" s="137"/>
      <c r="RBU65" s="137"/>
      <c r="RBV65" s="137"/>
      <c r="RBW65" s="137"/>
      <c r="RBX65" s="137"/>
      <c r="RBY65" s="137"/>
      <c r="RBZ65" s="137"/>
      <c r="RCA65" s="137"/>
      <c r="RCB65" s="137"/>
      <c r="RCC65" s="137"/>
      <c r="RCD65" s="137"/>
      <c r="RCE65" s="137"/>
      <c r="RCF65" s="137"/>
      <c r="RCG65" s="137"/>
      <c r="RCH65" s="137"/>
      <c r="RCI65" s="137"/>
      <c r="RCJ65" s="137"/>
      <c r="RCK65" s="137"/>
      <c r="RCL65" s="137"/>
      <c r="RCM65" s="137"/>
      <c r="RCN65" s="137"/>
      <c r="RCO65" s="137"/>
      <c r="RCP65" s="137"/>
      <c r="RCQ65" s="137"/>
      <c r="RCR65" s="137"/>
      <c r="RCS65" s="137"/>
      <c r="RCT65" s="137"/>
      <c r="RCU65" s="137"/>
      <c r="RCV65" s="137"/>
      <c r="RCW65" s="137"/>
      <c r="RCX65" s="137"/>
      <c r="RCY65" s="137"/>
      <c r="RCZ65" s="137"/>
      <c r="RDA65" s="137"/>
      <c r="RDB65" s="137"/>
      <c r="RDC65" s="137"/>
      <c r="RDD65" s="137"/>
      <c r="RDE65" s="137"/>
      <c r="RDF65" s="137"/>
      <c r="RDG65" s="137"/>
      <c r="RDH65" s="137"/>
      <c r="RDI65" s="137"/>
      <c r="RDJ65" s="137"/>
      <c r="RDK65" s="137"/>
      <c r="RDL65" s="137"/>
      <c r="RDM65" s="137"/>
      <c r="RDN65" s="137"/>
      <c r="RDO65" s="137"/>
      <c r="RDP65" s="137"/>
      <c r="RDQ65" s="137"/>
      <c r="RDR65" s="137"/>
      <c r="RDS65" s="137"/>
      <c r="RDT65" s="137"/>
      <c r="RDU65" s="137"/>
      <c r="RDV65" s="137"/>
      <c r="RDW65" s="137"/>
      <c r="RDX65" s="137"/>
      <c r="RDY65" s="137"/>
      <c r="RDZ65" s="137"/>
      <c r="REA65" s="137"/>
      <c r="REB65" s="137"/>
      <c r="REC65" s="137"/>
      <c r="RED65" s="137"/>
      <c r="REE65" s="137"/>
      <c r="REF65" s="137"/>
      <c r="REG65" s="137"/>
      <c r="REH65" s="137"/>
      <c r="REI65" s="137"/>
      <c r="REJ65" s="137"/>
      <c r="REK65" s="137"/>
      <c r="REL65" s="137"/>
      <c r="REM65" s="137"/>
      <c r="REN65" s="137"/>
      <c r="REO65" s="137"/>
      <c r="REP65" s="137"/>
      <c r="REQ65" s="137"/>
      <c r="RER65" s="137"/>
      <c r="RES65" s="137"/>
      <c r="RET65" s="137"/>
      <c r="REU65" s="137"/>
      <c r="REV65" s="137"/>
      <c r="REW65" s="137"/>
      <c r="REX65" s="137"/>
      <c r="REY65" s="137"/>
      <c r="REZ65" s="137"/>
      <c r="RFA65" s="137"/>
      <c r="RFB65" s="137"/>
      <c r="RFC65" s="137"/>
      <c r="RFD65" s="137"/>
      <c r="RFE65" s="137"/>
      <c r="RFF65" s="137"/>
      <c r="RFG65" s="137"/>
      <c r="RFH65" s="137"/>
      <c r="RFI65" s="137"/>
      <c r="RFJ65" s="137"/>
      <c r="RFK65" s="137"/>
      <c r="RFL65" s="137"/>
      <c r="RFM65" s="137"/>
      <c r="RFN65" s="137"/>
      <c r="RFO65" s="137"/>
      <c r="RFP65" s="137"/>
      <c r="RFQ65" s="137"/>
      <c r="RFR65" s="137"/>
      <c r="RFS65" s="137"/>
      <c r="RFT65" s="137"/>
      <c r="RFU65" s="137"/>
      <c r="RFV65" s="137"/>
      <c r="RFW65" s="137"/>
      <c r="RFX65" s="137"/>
      <c r="RFY65" s="137"/>
      <c r="RFZ65" s="137"/>
      <c r="RGA65" s="137"/>
      <c r="RGB65" s="137"/>
      <c r="RGC65" s="137"/>
      <c r="RGD65" s="137"/>
      <c r="RGE65" s="137"/>
      <c r="RGF65" s="137"/>
      <c r="RGG65" s="137"/>
      <c r="RGH65" s="137"/>
      <c r="RGI65" s="137"/>
      <c r="RGJ65" s="137"/>
      <c r="RGK65" s="137"/>
      <c r="RGL65" s="137"/>
      <c r="RGM65" s="137"/>
      <c r="RGN65" s="137"/>
      <c r="RGO65" s="137"/>
      <c r="RGP65" s="137"/>
      <c r="RGQ65" s="137"/>
      <c r="RGR65" s="137"/>
      <c r="RGS65" s="137"/>
      <c r="RGT65" s="137"/>
      <c r="RGU65" s="137"/>
      <c r="RGV65" s="137"/>
      <c r="RGW65" s="137"/>
      <c r="RGX65" s="137"/>
      <c r="RGY65" s="137"/>
      <c r="RGZ65" s="137"/>
      <c r="RHA65" s="137"/>
      <c r="RHB65" s="137"/>
      <c r="RHC65" s="137"/>
      <c r="RHD65" s="137"/>
      <c r="RHE65" s="137"/>
      <c r="RHF65" s="137"/>
      <c r="RHG65" s="137"/>
      <c r="RHH65" s="137"/>
      <c r="RHI65" s="137"/>
      <c r="RHJ65" s="137"/>
      <c r="RHK65" s="137"/>
      <c r="RHL65" s="137"/>
      <c r="RHM65" s="137"/>
      <c r="RHN65" s="137"/>
      <c r="RHO65" s="137"/>
      <c r="RHP65" s="137"/>
      <c r="RHQ65" s="137"/>
      <c r="RHR65" s="137"/>
      <c r="RHS65" s="137"/>
      <c r="RHT65" s="137"/>
      <c r="RHU65" s="137"/>
      <c r="RHV65" s="137"/>
      <c r="RHW65" s="137"/>
      <c r="RHX65" s="137"/>
      <c r="RHY65" s="137"/>
      <c r="RHZ65" s="137"/>
      <c r="RIA65" s="137"/>
      <c r="RIB65" s="137"/>
      <c r="RIC65" s="137"/>
      <c r="RID65" s="137"/>
      <c r="RIE65" s="137"/>
      <c r="RIF65" s="137"/>
      <c r="RIG65" s="137"/>
      <c r="RIH65" s="137"/>
      <c r="RII65" s="137"/>
      <c r="RIJ65" s="137"/>
      <c r="RIK65" s="137"/>
      <c r="RIL65" s="137"/>
      <c r="RIM65" s="137"/>
      <c r="RIN65" s="137"/>
      <c r="RIO65" s="137"/>
      <c r="RIP65" s="137"/>
      <c r="RIQ65" s="137"/>
      <c r="RIR65" s="137"/>
      <c r="RIS65" s="137"/>
      <c r="RIT65" s="137"/>
      <c r="RIU65" s="137"/>
      <c r="RIV65" s="137"/>
      <c r="RIW65" s="137"/>
      <c r="RIX65" s="137"/>
      <c r="RIY65" s="137"/>
      <c r="RIZ65" s="137"/>
      <c r="RJA65" s="137"/>
      <c r="RJB65" s="137"/>
      <c r="RJC65" s="137"/>
      <c r="RJD65" s="137"/>
      <c r="RJE65" s="137"/>
      <c r="RJF65" s="137"/>
      <c r="RJG65" s="137"/>
      <c r="RJH65" s="137"/>
      <c r="RJI65" s="137"/>
      <c r="RJJ65" s="137"/>
      <c r="RJK65" s="137"/>
      <c r="RJL65" s="137"/>
      <c r="RJM65" s="137"/>
      <c r="RJN65" s="137"/>
      <c r="RJO65" s="137"/>
      <c r="RJP65" s="137"/>
      <c r="RJQ65" s="137"/>
      <c r="RJR65" s="137"/>
      <c r="RJS65" s="137"/>
      <c r="RJT65" s="137"/>
      <c r="RJU65" s="137"/>
      <c r="RJV65" s="137"/>
      <c r="RJW65" s="137"/>
      <c r="RJX65" s="137"/>
      <c r="RJY65" s="137"/>
      <c r="RJZ65" s="137"/>
      <c r="RKA65" s="137"/>
      <c r="RKB65" s="137"/>
      <c r="RKC65" s="137"/>
      <c r="RKD65" s="137"/>
      <c r="RKE65" s="137"/>
      <c r="RKF65" s="137"/>
      <c r="RKG65" s="137"/>
      <c r="RKH65" s="137"/>
      <c r="RKI65" s="137"/>
      <c r="RKJ65" s="137"/>
      <c r="RKK65" s="137"/>
      <c r="RKL65" s="137"/>
      <c r="RKM65" s="137"/>
      <c r="RKN65" s="137"/>
      <c r="RKO65" s="137"/>
      <c r="RKP65" s="137"/>
      <c r="RKQ65" s="137"/>
      <c r="RKR65" s="137"/>
      <c r="RKS65" s="137"/>
      <c r="RKT65" s="137"/>
      <c r="RKU65" s="137"/>
      <c r="RKV65" s="137"/>
      <c r="RKW65" s="137"/>
      <c r="RKX65" s="137"/>
      <c r="RKY65" s="137"/>
      <c r="RKZ65" s="137"/>
      <c r="RLA65" s="137"/>
      <c r="RLB65" s="137"/>
      <c r="RLC65" s="137"/>
      <c r="RLD65" s="137"/>
      <c r="RLE65" s="137"/>
      <c r="RLF65" s="137"/>
      <c r="RLG65" s="137"/>
      <c r="RLH65" s="137"/>
      <c r="RLI65" s="137"/>
      <c r="RLJ65" s="137"/>
      <c r="RLK65" s="137"/>
      <c r="RLL65" s="137"/>
      <c r="RLM65" s="137"/>
      <c r="RLN65" s="137"/>
      <c r="RLO65" s="137"/>
      <c r="RLP65" s="137"/>
      <c r="RLQ65" s="137"/>
      <c r="RLR65" s="137"/>
      <c r="RLS65" s="137"/>
      <c r="RLT65" s="137"/>
      <c r="RLU65" s="137"/>
      <c r="RLV65" s="137"/>
      <c r="RLW65" s="137"/>
      <c r="RLX65" s="137"/>
      <c r="RLY65" s="137"/>
      <c r="RLZ65" s="137"/>
      <c r="RMA65" s="137"/>
      <c r="RMB65" s="137"/>
      <c r="RMC65" s="137"/>
      <c r="RMD65" s="137"/>
      <c r="RME65" s="137"/>
      <c r="RMF65" s="137"/>
      <c r="RMG65" s="137"/>
      <c r="RMH65" s="137"/>
      <c r="RMI65" s="137"/>
      <c r="RMJ65" s="137"/>
      <c r="RMK65" s="137"/>
      <c r="RML65" s="137"/>
      <c r="RMM65" s="137"/>
      <c r="RMN65" s="137"/>
      <c r="RMO65" s="137"/>
      <c r="RMP65" s="137"/>
      <c r="RMQ65" s="137"/>
      <c r="RMR65" s="137"/>
      <c r="RMS65" s="137"/>
      <c r="RMT65" s="137"/>
      <c r="RMU65" s="137"/>
      <c r="RMV65" s="137"/>
      <c r="RMW65" s="137"/>
      <c r="RMX65" s="137"/>
      <c r="RMY65" s="137"/>
      <c r="RMZ65" s="137"/>
      <c r="RNA65" s="137"/>
      <c r="RNB65" s="137"/>
      <c r="RNC65" s="137"/>
      <c r="RND65" s="137"/>
      <c r="RNE65" s="137"/>
      <c r="RNF65" s="137"/>
      <c r="RNG65" s="137"/>
      <c r="RNH65" s="137"/>
      <c r="RNI65" s="137"/>
      <c r="RNJ65" s="137"/>
      <c r="RNK65" s="137"/>
      <c r="RNL65" s="137"/>
      <c r="RNM65" s="137"/>
      <c r="RNN65" s="137"/>
      <c r="RNO65" s="137"/>
      <c r="RNP65" s="137"/>
      <c r="RNQ65" s="137"/>
      <c r="RNR65" s="137"/>
      <c r="RNS65" s="137"/>
      <c r="RNT65" s="137"/>
      <c r="RNU65" s="137"/>
      <c r="RNV65" s="137"/>
      <c r="RNW65" s="137"/>
      <c r="RNX65" s="137"/>
      <c r="RNY65" s="137"/>
      <c r="RNZ65" s="137"/>
      <c r="ROA65" s="137"/>
      <c r="ROB65" s="137"/>
      <c r="ROC65" s="137"/>
      <c r="ROD65" s="137"/>
      <c r="ROE65" s="137"/>
      <c r="ROF65" s="137"/>
      <c r="ROG65" s="137"/>
      <c r="ROH65" s="137"/>
      <c r="ROI65" s="137"/>
      <c r="ROJ65" s="137"/>
      <c r="ROK65" s="137"/>
      <c r="ROL65" s="137"/>
      <c r="ROM65" s="137"/>
      <c r="RON65" s="137"/>
      <c r="ROO65" s="137"/>
      <c r="ROP65" s="137"/>
      <c r="ROQ65" s="137"/>
      <c r="ROR65" s="137"/>
      <c r="ROS65" s="137"/>
      <c r="ROT65" s="137"/>
      <c r="ROU65" s="137"/>
      <c r="ROV65" s="137"/>
      <c r="ROW65" s="137"/>
      <c r="ROX65" s="137"/>
      <c r="ROY65" s="137"/>
      <c r="ROZ65" s="137"/>
      <c r="RPA65" s="137"/>
      <c r="RPB65" s="137"/>
      <c r="RPC65" s="137"/>
      <c r="RPD65" s="137"/>
      <c r="RPE65" s="137"/>
      <c r="RPF65" s="137"/>
      <c r="RPG65" s="137"/>
      <c r="RPH65" s="137"/>
      <c r="RPI65" s="137"/>
      <c r="RPJ65" s="137"/>
      <c r="RPK65" s="137"/>
      <c r="RPL65" s="137"/>
      <c r="RPM65" s="137"/>
      <c r="RPN65" s="137"/>
      <c r="RPO65" s="137"/>
      <c r="RPP65" s="137"/>
      <c r="RPQ65" s="137"/>
      <c r="RPR65" s="137"/>
      <c r="RPS65" s="137"/>
      <c r="RPT65" s="137"/>
      <c r="RPU65" s="137"/>
      <c r="RPV65" s="137"/>
      <c r="RPW65" s="137"/>
      <c r="RPX65" s="137"/>
      <c r="RPY65" s="137"/>
      <c r="RPZ65" s="137"/>
      <c r="RQA65" s="137"/>
      <c r="RQB65" s="137"/>
      <c r="RQC65" s="137"/>
      <c r="RQD65" s="137"/>
      <c r="RQE65" s="137"/>
      <c r="RQF65" s="137"/>
      <c r="RQG65" s="137"/>
      <c r="RQH65" s="137"/>
      <c r="RQI65" s="137"/>
      <c r="RQJ65" s="137"/>
      <c r="RQK65" s="137"/>
      <c r="RQL65" s="137"/>
      <c r="RQM65" s="137"/>
      <c r="RQN65" s="137"/>
      <c r="RQO65" s="137"/>
      <c r="RQP65" s="137"/>
      <c r="RQQ65" s="137"/>
      <c r="RQR65" s="137"/>
      <c r="RQS65" s="137"/>
      <c r="RQT65" s="137"/>
      <c r="RQU65" s="137"/>
      <c r="RQV65" s="137"/>
      <c r="RQW65" s="137"/>
      <c r="RQX65" s="137"/>
      <c r="RQY65" s="137"/>
      <c r="RQZ65" s="137"/>
      <c r="RRA65" s="137"/>
      <c r="RRB65" s="137"/>
      <c r="RRC65" s="137"/>
      <c r="RRD65" s="137"/>
      <c r="RRE65" s="137"/>
      <c r="RRF65" s="137"/>
      <c r="RRG65" s="137"/>
      <c r="RRH65" s="137"/>
      <c r="RRI65" s="137"/>
      <c r="RRJ65" s="137"/>
      <c r="RRK65" s="137"/>
      <c r="RRL65" s="137"/>
      <c r="RRM65" s="137"/>
      <c r="RRN65" s="137"/>
      <c r="RRO65" s="137"/>
      <c r="RRP65" s="137"/>
      <c r="RRQ65" s="137"/>
      <c r="RRR65" s="137"/>
      <c r="RRS65" s="137"/>
      <c r="RRT65" s="137"/>
      <c r="RRU65" s="137"/>
      <c r="RRV65" s="137"/>
      <c r="RRW65" s="137"/>
      <c r="RRX65" s="137"/>
      <c r="RRY65" s="137"/>
      <c r="RRZ65" s="137"/>
      <c r="RSA65" s="137"/>
      <c r="RSB65" s="137"/>
      <c r="RSC65" s="137"/>
      <c r="RSD65" s="137"/>
      <c r="RSE65" s="137"/>
      <c r="RSF65" s="137"/>
      <c r="RSG65" s="137"/>
      <c r="RSH65" s="137"/>
      <c r="RSI65" s="137"/>
      <c r="RSJ65" s="137"/>
      <c r="RSK65" s="137"/>
      <c r="RSL65" s="137"/>
      <c r="RSM65" s="137"/>
      <c r="RSN65" s="137"/>
      <c r="RSO65" s="137"/>
      <c r="RSP65" s="137"/>
      <c r="RSQ65" s="137"/>
      <c r="RSR65" s="137"/>
      <c r="RSS65" s="137"/>
      <c r="RST65" s="137"/>
      <c r="RSU65" s="137"/>
      <c r="RSV65" s="137"/>
      <c r="RSW65" s="137"/>
      <c r="RSX65" s="137"/>
      <c r="RSY65" s="137"/>
      <c r="RSZ65" s="137"/>
      <c r="RTA65" s="137"/>
      <c r="RTB65" s="137"/>
      <c r="RTC65" s="137"/>
      <c r="RTD65" s="137"/>
      <c r="RTE65" s="137"/>
      <c r="RTF65" s="137"/>
      <c r="RTG65" s="137"/>
      <c r="RTH65" s="137"/>
      <c r="RTI65" s="137"/>
      <c r="RTJ65" s="137"/>
      <c r="RTK65" s="137"/>
      <c r="RTL65" s="137"/>
      <c r="RTM65" s="137"/>
      <c r="RTN65" s="137"/>
      <c r="RTO65" s="137"/>
      <c r="RTP65" s="137"/>
      <c r="RTQ65" s="137"/>
      <c r="RTR65" s="137"/>
      <c r="RTS65" s="137"/>
      <c r="RTT65" s="137"/>
      <c r="RTU65" s="137"/>
      <c r="RTV65" s="137"/>
      <c r="RTW65" s="137"/>
      <c r="RTX65" s="137"/>
      <c r="RTY65" s="137"/>
      <c r="RTZ65" s="137"/>
      <c r="RUA65" s="137"/>
      <c r="RUB65" s="137"/>
      <c r="RUC65" s="137"/>
      <c r="RUD65" s="137"/>
      <c r="RUE65" s="137"/>
      <c r="RUF65" s="137"/>
      <c r="RUG65" s="137"/>
      <c r="RUH65" s="137"/>
      <c r="RUI65" s="137"/>
      <c r="RUJ65" s="137"/>
      <c r="RUK65" s="137"/>
      <c r="RUL65" s="137"/>
      <c r="RUM65" s="137"/>
      <c r="RUN65" s="137"/>
      <c r="RUO65" s="137"/>
      <c r="RUP65" s="137"/>
      <c r="RUQ65" s="137"/>
      <c r="RUR65" s="137"/>
      <c r="RUS65" s="137"/>
      <c r="RUT65" s="137"/>
      <c r="RUU65" s="137"/>
      <c r="RUV65" s="137"/>
      <c r="RUW65" s="137"/>
      <c r="RUX65" s="137"/>
      <c r="RUY65" s="137"/>
      <c r="RUZ65" s="137"/>
      <c r="RVA65" s="137"/>
      <c r="RVB65" s="137"/>
      <c r="RVC65" s="137"/>
      <c r="RVD65" s="137"/>
      <c r="RVE65" s="137"/>
      <c r="RVF65" s="137"/>
      <c r="RVG65" s="137"/>
      <c r="RVH65" s="137"/>
      <c r="RVI65" s="137"/>
      <c r="RVJ65" s="137"/>
      <c r="RVK65" s="137"/>
      <c r="RVL65" s="137"/>
      <c r="RVM65" s="137"/>
      <c r="RVN65" s="137"/>
      <c r="RVO65" s="137"/>
      <c r="RVP65" s="137"/>
      <c r="RVQ65" s="137"/>
      <c r="RVR65" s="137"/>
      <c r="RVS65" s="137"/>
      <c r="RVT65" s="137"/>
      <c r="RVU65" s="137"/>
      <c r="RVV65" s="137"/>
      <c r="RVW65" s="137"/>
      <c r="RVX65" s="137"/>
      <c r="RVY65" s="137"/>
      <c r="RVZ65" s="137"/>
      <c r="RWA65" s="137"/>
      <c r="RWB65" s="137"/>
      <c r="RWC65" s="137"/>
      <c r="RWD65" s="137"/>
      <c r="RWE65" s="137"/>
      <c r="RWF65" s="137"/>
      <c r="RWG65" s="137"/>
      <c r="RWH65" s="137"/>
      <c r="RWI65" s="137"/>
      <c r="RWJ65" s="137"/>
      <c r="RWK65" s="137"/>
      <c r="RWL65" s="137"/>
      <c r="RWM65" s="137"/>
      <c r="RWN65" s="137"/>
      <c r="RWO65" s="137"/>
      <c r="RWP65" s="137"/>
      <c r="RWQ65" s="137"/>
      <c r="RWR65" s="137"/>
      <c r="RWS65" s="137"/>
      <c r="RWT65" s="137"/>
      <c r="RWU65" s="137"/>
      <c r="RWV65" s="137"/>
      <c r="RWW65" s="137"/>
      <c r="RWX65" s="137"/>
      <c r="RWY65" s="137"/>
      <c r="RWZ65" s="137"/>
      <c r="RXA65" s="137"/>
      <c r="RXB65" s="137"/>
      <c r="RXC65" s="137"/>
      <c r="RXD65" s="137"/>
      <c r="RXE65" s="137"/>
      <c r="RXF65" s="137"/>
      <c r="RXG65" s="137"/>
      <c r="RXH65" s="137"/>
      <c r="RXI65" s="137"/>
      <c r="RXJ65" s="137"/>
      <c r="RXK65" s="137"/>
      <c r="RXL65" s="137"/>
      <c r="RXM65" s="137"/>
      <c r="RXN65" s="137"/>
      <c r="RXO65" s="137"/>
      <c r="RXP65" s="137"/>
      <c r="RXQ65" s="137"/>
      <c r="RXR65" s="137"/>
      <c r="RXS65" s="137"/>
      <c r="RXT65" s="137"/>
      <c r="RXU65" s="137"/>
      <c r="RXV65" s="137"/>
      <c r="RXW65" s="137"/>
      <c r="RXX65" s="137"/>
      <c r="RXY65" s="137"/>
      <c r="RXZ65" s="137"/>
      <c r="RYA65" s="137"/>
      <c r="RYB65" s="137"/>
      <c r="RYC65" s="137"/>
      <c r="RYD65" s="137"/>
      <c r="RYE65" s="137"/>
      <c r="RYF65" s="137"/>
      <c r="RYG65" s="137"/>
      <c r="RYH65" s="137"/>
      <c r="RYI65" s="137"/>
      <c r="RYJ65" s="137"/>
      <c r="RYK65" s="137"/>
      <c r="RYL65" s="137"/>
      <c r="RYM65" s="137"/>
      <c r="RYN65" s="137"/>
      <c r="RYO65" s="137"/>
      <c r="RYP65" s="137"/>
      <c r="RYQ65" s="137"/>
      <c r="RYR65" s="137"/>
      <c r="RYS65" s="137"/>
      <c r="RYT65" s="137"/>
      <c r="RYU65" s="137"/>
      <c r="RYV65" s="137"/>
      <c r="RYW65" s="137"/>
      <c r="RYX65" s="137"/>
      <c r="RYY65" s="137"/>
      <c r="RYZ65" s="137"/>
      <c r="RZA65" s="137"/>
      <c r="RZB65" s="137"/>
      <c r="RZC65" s="137"/>
      <c r="RZD65" s="137"/>
      <c r="RZE65" s="137"/>
      <c r="RZF65" s="137"/>
      <c r="RZG65" s="137"/>
      <c r="RZH65" s="137"/>
      <c r="RZI65" s="137"/>
      <c r="RZJ65" s="137"/>
      <c r="RZK65" s="137"/>
      <c r="RZL65" s="137"/>
      <c r="RZM65" s="137"/>
      <c r="RZN65" s="137"/>
      <c r="RZO65" s="137"/>
      <c r="RZP65" s="137"/>
      <c r="RZQ65" s="137"/>
      <c r="RZR65" s="137"/>
      <c r="RZS65" s="137"/>
      <c r="RZT65" s="137"/>
      <c r="RZU65" s="137"/>
      <c r="RZV65" s="137"/>
      <c r="RZW65" s="137"/>
      <c r="RZX65" s="137"/>
      <c r="RZY65" s="137"/>
      <c r="RZZ65" s="137"/>
      <c r="SAA65" s="137"/>
      <c r="SAB65" s="137"/>
      <c r="SAC65" s="137"/>
      <c r="SAD65" s="137"/>
      <c r="SAE65" s="137"/>
      <c r="SAF65" s="137"/>
      <c r="SAG65" s="137"/>
      <c r="SAH65" s="137"/>
      <c r="SAI65" s="137"/>
      <c r="SAJ65" s="137"/>
      <c r="SAK65" s="137"/>
      <c r="SAL65" s="137"/>
      <c r="SAM65" s="137"/>
      <c r="SAN65" s="137"/>
      <c r="SAO65" s="137"/>
      <c r="SAP65" s="137"/>
      <c r="SAQ65" s="137"/>
      <c r="SAR65" s="137"/>
      <c r="SAS65" s="137"/>
      <c r="SAT65" s="137"/>
      <c r="SAU65" s="137"/>
      <c r="SAV65" s="137"/>
      <c r="SAW65" s="137"/>
      <c r="SAX65" s="137"/>
      <c r="SAY65" s="137"/>
      <c r="SAZ65" s="137"/>
      <c r="SBA65" s="137"/>
      <c r="SBB65" s="137"/>
      <c r="SBC65" s="137"/>
      <c r="SBD65" s="137"/>
      <c r="SBE65" s="137"/>
      <c r="SBF65" s="137"/>
      <c r="SBG65" s="137"/>
      <c r="SBH65" s="137"/>
      <c r="SBI65" s="137"/>
      <c r="SBJ65" s="137"/>
      <c r="SBK65" s="137"/>
      <c r="SBL65" s="137"/>
      <c r="SBM65" s="137"/>
      <c r="SBN65" s="137"/>
      <c r="SBO65" s="137"/>
      <c r="SBP65" s="137"/>
      <c r="SBQ65" s="137"/>
      <c r="SBR65" s="137"/>
      <c r="SBS65" s="137"/>
      <c r="SBT65" s="137"/>
      <c r="SBU65" s="137"/>
      <c r="SBV65" s="137"/>
      <c r="SBW65" s="137"/>
      <c r="SBX65" s="137"/>
      <c r="SBY65" s="137"/>
      <c r="SBZ65" s="137"/>
      <c r="SCA65" s="137"/>
      <c r="SCB65" s="137"/>
      <c r="SCC65" s="137"/>
      <c r="SCD65" s="137"/>
      <c r="SCE65" s="137"/>
      <c r="SCF65" s="137"/>
      <c r="SCG65" s="137"/>
      <c r="SCH65" s="137"/>
      <c r="SCI65" s="137"/>
      <c r="SCJ65" s="137"/>
      <c r="SCK65" s="137"/>
      <c r="SCL65" s="137"/>
      <c r="SCM65" s="137"/>
      <c r="SCN65" s="137"/>
      <c r="SCO65" s="137"/>
      <c r="SCP65" s="137"/>
      <c r="SCQ65" s="137"/>
      <c r="SCR65" s="137"/>
      <c r="SCS65" s="137"/>
      <c r="SCT65" s="137"/>
      <c r="SCU65" s="137"/>
      <c r="SCV65" s="137"/>
      <c r="SCW65" s="137"/>
      <c r="SCX65" s="137"/>
      <c r="SCY65" s="137"/>
      <c r="SCZ65" s="137"/>
      <c r="SDA65" s="137"/>
      <c r="SDB65" s="137"/>
      <c r="SDC65" s="137"/>
      <c r="SDD65" s="137"/>
      <c r="SDE65" s="137"/>
      <c r="SDF65" s="137"/>
      <c r="SDG65" s="137"/>
      <c r="SDH65" s="137"/>
      <c r="SDI65" s="137"/>
      <c r="SDJ65" s="137"/>
      <c r="SDK65" s="137"/>
      <c r="SDL65" s="137"/>
      <c r="SDM65" s="137"/>
      <c r="SDN65" s="137"/>
      <c r="SDO65" s="137"/>
      <c r="SDP65" s="137"/>
      <c r="SDQ65" s="137"/>
      <c r="SDR65" s="137"/>
      <c r="SDS65" s="137"/>
      <c r="SDT65" s="137"/>
      <c r="SDU65" s="137"/>
      <c r="SDV65" s="137"/>
      <c r="SDW65" s="137"/>
      <c r="SDX65" s="137"/>
      <c r="SDY65" s="137"/>
      <c r="SDZ65" s="137"/>
      <c r="SEA65" s="137"/>
      <c r="SEB65" s="137"/>
      <c r="SEC65" s="137"/>
      <c r="SED65" s="137"/>
      <c r="SEE65" s="137"/>
      <c r="SEF65" s="137"/>
      <c r="SEG65" s="137"/>
      <c r="SEH65" s="137"/>
      <c r="SEI65" s="137"/>
      <c r="SEJ65" s="137"/>
      <c r="SEK65" s="137"/>
      <c r="SEL65" s="137"/>
      <c r="SEM65" s="137"/>
      <c r="SEN65" s="137"/>
      <c r="SEO65" s="137"/>
      <c r="SEP65" s="137"/>
      <c r="SEQ65" s="137"/>
      <c r="SER65" s="137"/>
      <c r="SES65" s="137"/>
      <c r="SET65" s="137"/>
      <c r="SEU65" s="137"/>
      <c r="SEV65" s="137"/>
      <c r="SEW65" s="137"/>
      <c r="SEX65" s="137"/>
      <c r="SEY65" s="137"/>
      <c r="SEZ65" s="137"/>
      <c r="SFA65" s="137"/>
      <c r="SFB65" s="137"/>
      <c r="SFC65" s="137"/>
      <c r="SFD65" s="137"/>
      <c r="SFE65" s="137"/>
      <c r="SFF65" s="137"/>
      <c r="SFG65" s="137"/>
      <c r="SFH65" s="137"/>
      <c r="SFI65" s="137"/>
      <c r="SFJ65" s="137"/>
      <c r="SFK65" s="137"/>
      <c r="SFL65" s="137"/>
      <c r="SFM65" s="137"/>
      <c r="SFN65" s="137"/>
      <c r="SFO65" s="137"/>
      <c r="SFP65" s="137"/>
      <c r="SFQ65" s="137"/>
      <c r="SFR65" s="137"/>
      <c r="SFS65" s="137"/>
      <c r="SFT65" s="137"/>
      <c r="SFU65" s="137"/>
      <c r="SFV65" s="137"/>
      <c r="SFW65" s="137"/>
      <c r="SFX65" s="137"/>
      <c r="SFY65" s="137"/>
      <c r="SFZ65" s="137"/>
      <c r="SGA65" s="137"/>
      <c r="SGB65" s="137"/>
      <c r="SGC65" s="137"/>
      <c r="SGD65" s="137"/>
      <c r="SGE65" s="137"/>
      <c r="SGF65" s="137"/>
      <c r="SGG65" s="137"/>
      <c r="SGH65" s="137"/>
      <c r="SGI65" s="137"/>
      <c r="SGJ65" s="137"/>
      <c r="SGK65" s="137"/>
      <c r="SGL65" s="137"/>
      <c r="SGM65" s="137"/>
      <c r="SGN65" s="137"/>
      <c r="SGO65" s="137"/>
      <c r="SGP65" s="137"/>
      <c r="SGQ65" s="137"/>
      <c r="SGR65" s="137"/>
      <c r="SGS65" s="137"/>
      <c r="SGT65" s="137"/>
      <c r="SGU65" s="137"/>
      <c r="SGV65" s="137"/>
      <c r="SGW65" s="137"/>
      <c r="SGX65" s="137"/>
      <c r="SGY65" s="137"/>
      <c r="SGZ65" s="137"/>
      <c r="SHA65" s="137"/>
      <c r="SHB65" s="137"/>
      <c r="SHC65" s="137"/>
      <c r="SHD65" s="137"/>
      <c r="SHE65" s="137"/>
      <c r="SHF65" s="137"/>
      <c r="SHG65" s="137"/>
      <c r="SHH65" s="137"/>
      <c r="SHI65" s="137"/>
      <c r="SHJ65" s="137"/>
      <c r="SHK65" s="137"/>
      <c r="SHL65" s="137"/>
      <c r="SHM65" s="137"/>
      <c r="SHN65" s="137"/>
      <c r="SHO65" s="137"/>
      <c r="SHP65" s="137"/>
      <c r="SHQ65" s="137"/>
      <c r="SHR65" s="137"/>
      <c r="SHS65" s="137"/>
      <c r="SHT65" s="137"/>
      <c r="SHU65" s="137"/>
      <c r="SHV65" s="137"/>
      <c r="SHW65" s="137"/>
      <c r="SHX65" s="137"/>
      <c r="SHY65" s="137"/>
      <c r="SHZ65" s="137"/>
      <c r="SIA65" s="137"/>
      <c r="SIB65" s="137"/>
      <c r="SIC65" s="137"/>
      <c r="SID65" s="137"/>
      <c r="SIE65" s="137"/>
      <c r="SIF65" s="137"/>
      <c r="SIG65" s="137"/>
      <c r="SIH65" s="137"/>
      <c r="SII65" s="137"/>
      <c r="SIJ65" s="137"/>
      <c r="SIK65" s="137"/>
      <c r="SIL65" s="137"/>
      <c r="SIM65" s="137"/>
      <c r="SIN65" s="137"/>
      <c r="SIO65" s="137"/>
      <c r="SIP65" s="137"/>
      <c r="SIQ65" s="137"/>
      <c r="SIR65" s="137"/>
      <c r="SIS65" s="137"/>
      <c r="SIT65" s="137"/>
      <c r="SIU65" s="137"/>
      <c r="SIV65" s="137"/>
      <c r="SIW65" s="137"/>
      <c r="SIX65" s="137"/>
      <c r="SIY65" s="137"/>
      <c r="SIZ65" s="137"/>
      <c r="SJA65" s="137"/>
      <c r="SJB65" s="137"/>
      <c r="SJC65" s="137"/>
      <c r="SJD65" s="137"/>
      <c r="SJE65" s="137"/>
      <c r="SJF65" s="137"/>
      <c r="SJG65" s="137"/>
      <c r="SJH65" s="137"/>
      <c r="SJI65" s="137"/>
      <c r="SJJ65" s="137"/>
      <c r="SJK65" s="137"/>
      <c r="SJL65" s="137"/>
      <c r="SJM65" s="137"/>
      <c r="SJN65" s="137"/>
      <c r="SJO65" s="137"/>
      <c r="SJP65" s="137"/>
      <c r="SJQ65" s="137"/>
      <c r="SJR65" s="137"/>
      <c r="SJS65" s="137"/>
      <c r="SJT65" s="137"/>
      <c r="SJU65" s="137"/>
      <c r="SJV65" s="137"/>
      <c r="SJW65" s="137"/>
      <c r="SJX65" s="137"/>
      <c r="SJY65" s="137"/>
      <c r="SJZ65" s="137"/>
      <c r="SKA65" s="137"/>
      <c r="SKB65" s="137"/>
      <c r="SKC65" s="137"/>
      <c r="SKD65" s="137"/>
      <c r="SKE65" s="137"/>
      <c r="SKF65" s="137"/>
      <c r="SKG65" s="137"/>
      <c r="SKH65" s="137"/>
      <c r="SKI65" s="137"/>
      <c r="SKJ65" s="137"/>
      <c r="SKK65" s="137"/>
      <c r="SKL65" s="137"/>
      <c r="SKM65" s="137"/>
      <c r="SKN65" s="137"/>
      <c r="SKO65" s="137"/>
      <c r="SKP65" s="137"/>
      <c r="SKQ65" s="137"/>
      <c r="SKR65" s="137"/>
      <c r="SKS65" s="137"/>
      <c r="SKT65" s="137"/>
      <c r="SKU65" s="137"/>
      <c r="SKV65" s="137"/>
      <c r="SKW65" s="137"/>
      <c r="SKX65" s="137"/>
      <c r="SKY65" s="137"/>
      <c r="SKZ65" s="137"/>
      <c r="SLA65" s="137"/>
      <c r="SLB65" s="137"/>
      <c r="SLC65" s="137"/>
      <c r="SLD65" s="137"/>
      <c r="SLE65" s="137"/>
      <c r="SLF65" s="137"/>
      <c r="SLG65" s="137"/>
      <c r="SLH65" s="137"/>
      <c r="SLI65" s="137"/>
      <c r="SLJ65" s="137"/>
      <c r="SLK65" s="137"/>
      <c r="SLL65" s="137"/>
      <c r="SLM65" s="137"/>
      <c r="SLN65" s="137"/>
      <c r="SLO65" s="137"/>
      <c r="SLP65" s="137"/>
      <c r="SLQ65" s="137"/>
      <c r="SLR65" s="137"/>
      <c r="SLS65" s="137"/>
      <c r="SLT65" s="137"/>
      <c r="SLU65" s="137"/>
      <c r="SLV65" s="137"/>
      <c r="SLW65" s="137"/>
      <c r="SLX65" s="137"/>
      <c r="SLY65" s="137"/>
      <c r="SLZ65" s="137"/>
      <c r="SMA65" s="137"/>
      <c r="SMB65" s="137"/>
      <c r="SMC65" s="137"/>
      <c r="SMD65" s="137"/>
      <c r="SME65" s="137"/>
      <c r="SMF65" s="137"/>
      <c r="SMG65" s="137"/>
      <c r="SMH65" s="137"/>
      <c r="SMI65" s="137"/>
      <c r="SMJ65" s="137"/>
      <c r="SMK65" s="137"/>
      <c r="SML65" s="137"/>
      <c r="SMM65" s="137"/>
      <c r="SMN65" s="137"/>
      <c r="SMO65" s="137"/>
      <c r="SMP65" s="137"/>
      <c r="SMQ65" s="137"/>
      <c r="SMR65" s="137"/>
      <c r="SMS65" s="137"/>
      <c r="SMT65" s="137"/>
      <c r="SMU65" s="137"/>
      <c r="SMV65" s="137"/>
      <c r="SMW65" s="137"/>
      <c r="SMX65" s="137"/>
      <c r="SMY65" s="137"/>
      <c r="SMZ65" s="137"/>
      <c r="SNA65" s="137"/>
      <c r="SNB65" s="137"/>
      <c r="SNC65" s="137"/>
      <c r="SND65" s="137"/>
      <c r="SNE65" s="137"/>
      <c r="SNF65" s="137"/>
      <c r="SNG65" s="137"/>
      <c r="SNH65" s="137"/>
      <c r="SNI65" s="137"/>
      <c r="SNJ65" s="137"/>
      <c r="SNK65" s="137"/>
      <c r="SNL65" s="137"/>
      <c r="SNM65" s="137"/>
      <c r="SNN65" s="137"/>
      <c r="SNO65" s="137"/>
      <c r="SNP65" s="137"/>
      <c r="SNQ65" s="137"/>
      <c r="SNR65" s="137"/>
      <c r="SNS65" s="137"/>
      <c r="SNT65" s="137"/>
      <c r="SNU65" s="137"/>
      <c r="SNV65" s="137"/>
      <c r="SNW65" s="137"/>
      <c r="SNX65" s="137"/>
      <c r="SNY65" s="137"/>
      <c r="SNZ65" s="137"/>
      <c r="SOA65" s="137"/>
      <c r="SOB65" s="137"/>
      <c r="SOC65" s="137"/>
      <c r="SOD65" s="137"/>
      <c r="SOE65" s="137"/>
      <c r="SOF65" s="137"/>
      <c r="SOG65" s="137"/>
      <c r="SOH65" s="137"/>
      <c r="SOI65" s="137"/>
      <c r="SOJ65" s="137"/>
      <c r="SOK65" s="137"/>
      <c r="SOL65" s="137"/>
      <c r="SOM65" s="137"/>
      <c r="SON65" s="137"/>
      <c r="SOO65" s="137"/>
      <c r="SOP65" s="137"/>
      <c r="SOQ65" s="137"/>
      <c r="SOR65" s="137"/>
      <c r="SOS65" s="137"/>
      <c r="SOT65" s="137"/>
      <c r="SOU65" s="137"/>
      <c r="SOV65" s="137"/>
      <c r="SOW65" s="137"/>
      <c r="SOX65" s="137"/>
      <c r="SOY65" s="137"/>
      <c r="SOZ65" s="137"/>
      <c r="SPA65" s="137"/>
      <c r="SPB65" s="137"/>
      <c r="SPC65" s="137"/>
      <c r="SPD65" s="137"/>
      <c r="SPE65" s="137"/>
      <c r="SPF65" s="137"/>
      <c r="SPG65" s="137"/>
      <c r="SPH65" s="137"/>
      <c r="SPI65" s="137"/>
      <c r="SPJ65" s="137"/>
      <c r="SPK65" s="137"/>
      <c r="SPL65" s="137"/>
      <c r="SPM65" s="137"/>
      <c r="SPN65" s="137"/>
      <c r="SPO65" s="137"/>
      <c r="SPP65" s="137"/>
      <c r="SPQ65" s="137"/>
      <c r="SPR65" s="137"/>
      <c r="SPS65" s="137"/>
      <c r="SPT65" s="137"/>
      <c r="SPU65" s="137"/>
      <c r="SPV65" s="137"/>
      <c r="SPW65" s="137"/>
      <c r="SPX65" s="137"/>
      <c r="SPY65" s="137"/>
      <c r="SPZ65" s="137"/>
      <c r="SQA65" s="137"/>
      <c r="SQB65" s="137"/>
      <c r="SQC65" s="137"/>
      <c r="SQD65" s="137"/>
      <c r="SQE65" s="137"/>
      <c r="SQF65" s="137"/>
      <c r="SQG65" s="137"/>
      <c r="SQH65" s="137"/>
      <c r="SQI65" s="137"/>
      <c r="SQJ65" s="137"/>
      <c r="SQK65" s="137"/>
      <c r="SQL65" s="137"/>
      <c r="SQM65" s="137"/>
      <c r="SQN65" s="137"/>
      <c r="SQO65" s="137"/>
      <c r="SQP65" s="137"/>
      <c r="SQQ65" s="137"/>
      <c r="SQR65" s="137"/>
      <c r="SQS65" s="137"/>
      <c r="SQT65" s="137"/>
      <c r="SQU65" s="137"/>
      <c r="SQV65" s="137"/>
      <c r="SQW65" s="137"/>
      <c r="SQX65" s="137"/>
      <c r="SQY65" s="137"/>
      <c r="SQZ65" s="137"/>
      <c r="SRA65" s="137"/>
      <c r="SRB65" s="137"/>
      <c r="SRC65" s="137"/>
      <c r="SRD65" s="137"/>
      <c r="SRE65" s="137"/>
      <c r="SRF65" s="137"/>
      <c r="SRG65" s="137"/>
      <c r="SRH65" s="137"/>
      <c r="SRI65" s="137"/>
      <c r="SRJ65" s="137"/>
      <c r="SRK65" s="137"/>
      <c r="SRL65" s="137"/>
      <c r="SRM65" s="137"/>
      <c r="SRN65" s="137"/>
      <c r="SRO65" s="137"/>
      <c r="SRP65" s="137"/>
      <c r="SRQ65" s="137"/>
      <c r="SRR65" s="137"/>
      <c r="SRS65" s="137"/>
      <c r="SRT65" s="137"/>
      <c r="SRU65" s="137"/>
      <c r="SRV65" s="137"/>
      <c r="SRW65" s="137"/>
      <c r="SRX65" s="137"/>
      <c r="SRY65" s="137"/>
      <c r="SRZ65" s="137"/>
      <c r="SSA65" s="137"/>
      <c r="SSB65" s="137"/>
      <c r="SSC65" s="137"/>
      <c r="SSD65" s="137"/>
      <c r="SSE65" s="137"/>
      <c r="SSF65" s="137"/>
      <c r="SSG65" s="137"/>
      <c r="SSH65" s="137"/>
      <c r="SSI65" s="137"/>
      <c r="SSJ65" s="137"/>
      <c r="SSK65" s="137"/>
      <c r="SSL65" s="137"/>
      <c r="SSM65" s="137"/>
      <c r="SSN65" s="137"/>
      <c r="SSO65" s="137"/>
      <c r="SSP65" s="137"/>
      <c r="SSQ65" s="137"/>
      <c r="SSR65" s="137"/>
      <c r="SSS65" s="137"/>
      <c r="SST65" s="137"/>
      <c r="SSU65" s="137"/>
      <c r="SSV65" s="137"/>
      <c r="SSW65" s="137"/>
      <c r="SSX65" s="137"/>
      <c r="SSY65" s="137"/>
      <c r="SSZ65" s="137"/>
      <c r="STA65" s="137"/>
      <c r="STB65" s="137"/>
      <c r="STC65" s="137"/>
      <c r="STD65" s="137"/>
      <c r="STE65" s="137"/>
      <c r="STF65" s="137"/>
      <c r="STG65" s="137"/>
      <c r="STH65" s="137"/>
      <c r="STI65" s="137"/>
      <c r="STJ65" s="137"/>
      <c r="STK65" s="137"/>
      <c r="STL65" s="137"/>
      <c r="STM65" s="137"/>
      <c r="STN65" s="137"/>
      <c r="STO65" s="137"/>
      <c r="STP65" s="137"/>
      <c r="STQ65" s="137"/>
      <c r="STR65" s="137"/>
      <c r="STS65" s="137"/>
      <c r="STT65" s="137"/>
      <c r="STU65" s="137"/>
      <c r="STV65" s="137"/>
      <c r="STW65" s="137"/>
      <c r="STX65" s="137"/>
      <c r="STY65" s="137"/>
      <c r="STZ65" s="137"/>
      <c r="SUA65" s="137"/>
      <c r="SUB65" s="137"/>
      <c r="SUC65" s="137"/>
      <c r="SUD65" s="137"/>
      <c r="SUE65" s="137"/>
      <c r="SUF65" s="137"/>
      <c r="SUG65" s="137"/>
      <c r="SUH65" s="137"/>
      <c r="SUI65" s="137"/>
      <c r="SUJ65" s="137"/>
      <c r="SUK65" s="137"/>
      <c r="SUL65" s="137"/>
      <c r="SUM65" s="137"/>
      <c r="SUN65" s="137"/>
      <c r="SUO65" s="137"/>
      <c r="SUP65" s="137"/>
      <c r="SUQ65" s="137"/>
      <c r="SUR65" s="137"/>
      <c r="SUS65" s="137"/>
      <c r="SUT65" s="137"/>
      <c r="SUU65" s="137"/>
      <c r="SUV65" s="137"/>
      <c r="SUW65" s="137"/>
      <c r="SUX65" s="137"/>
      <c r="SUY65" s="137"/>
      <c r="SUZ65" s="137"/>
      <c r="SVA65" s="137"/>
      <c r="SVB65" s="137"/>
      <c r="SVC65" s="137"/>
      <c r="SVD65" s="137"/>
      <c r="SVE65" s="137"/>
      <c r="SVF65" s="137"/>
      <c r="SVG65" s="137"/>
      <c r="SVH65" s="137"/>
      <c r="SVI65" s="137"/>
      <c r="SVJ65" s="137"/>
      <c r="SVK65" s="137"/>
      <c r="SVL65" s="137"/>
      <c r="SVM65" s="137"/>
      <c r="SVN65" s="137"/>
      <c r="SVO65" s="137"/>
      <c r="SVP65" s="137"/>
      <c r="SVQ65" s="137"/>
      <c r="SVR65" s="137"/>
      <c r="SVS65" s="137"/>
      <c r="SVT65" s="137"/>
      <c r="SVU65" s="137"/>
      <c r="SVV65" s="137"/>
      <c r="SVW65" s="137"/>
      <c r="SVX65" s="137"/>
      <c r="SVY65" s="137"/>
      <c r="SVZ65" s="137"/>
      <c r="SWA65" s="137"/>
      <c r="SWB65" s="137"/>
      <c r="SWC65" s="137"/>
      <c r="SWD65" s="137"/>
      <c r="SWE65" s="137"/>
      <c r="SWF65" s="137"/>
      <c r="SWG65" s="137"/>
      <c r="SWH65" s="137"/>
      <c r="SWI65" s="137"/>
      <c r="SWJ65" s="137"/>
      <c r="SWK65" s="137"/>
      <c r="SWL65" s="137"/>
      <c r="SWM65" s="137"/>
      <c r="SWN65" s="137"/>
      <c r="SWO65" s="137"/>
      <c r="SWP65" s="137"/>
      <c r="SWQ65" s="137"/>
      <c r="SWR65" s="137"/>
      <c r="SWS65" s="137"/>
      <c r="SWT65" s="137"/>
      <c r="SWU65" s="137"/>
      <c r="SWV65" s="137"/>
      <c r="SWW65" s="137"/>
      <c r="SWX65" s="137"/>
      <c r="SWY65" s="137"/>
      <c r="SWZ65" s="137"/>
      <c r="SXA65" s="137"/>
      <c r="SXB65" s="137"/>
      <c r="SXC65" s="137"/>
      <c r="SXD65" s="137"/>
      <c r="SXE65" s="137"/>
      <c r="SXF65" s="137"/>
      <c r="SXG65" s="137"/>
      <c r="SXH65" s="137"/>
      <c r="SXI65" s="137"/>
      <c r="SXJ65" s="137"/>
      <c r="SXK65" s="137"/>
      <c r="SXL65" s="137"/>
      <c r="SXM65" s="137"/>
      <c r="SXN65" s="137"/>
      <c r="SXO65" s="137"/>
      <c r="SXP65" s="137"/>
      <c r="SXQ65" s="137"/>
      <c r="SXR65" s="137"/>
      <c r="SXS65" s="137"/>
      <c r="SXT65" s="137"/>
      <c r="SXU65" s="137"/>
      <c r="SXV65" s="137"/>
      <c r="SXW65" s="137"/>
      <c r="SXX65" s="137"/>
      <c r="SXY65" s="137"/>
      <c r="SXZ65" s="137"/>
      <c r="SYA65" s="137"/>
      <c r="SYB65" s="137"/>
      <c r="SYC65" s="137"/>
      <c r="SYD65" s="137"/>
      <c r="SYE65" s="137"/>
      <c r="SYF65" s="137"/>
      <c r="SYG65" s="137"/>
      <c r="SYH65" s="137"/>
      <c r="SYI65" s="137"/>
      <c r="SYJ65" s="137"/>
      <c r="SYK65" s="137"/>
      <c r="SYL65" s="137"/>
      <c r="SYM65" s="137"/>
      <c r="SYN65" s="137"/>
      <c r="SYO65" s="137"/>
      <c r="SYP65" s="137"/>
      <c r="SYQ65" s="137"/>
      <c r="SYR65" s="137"/>
      <c r="SYS65" s="137"/>
      <c r="SYT65" s="137"/>
      <c r="SYU65" s="137"/>
      <c r="SYV65" s="137"/>
      <c r="SYW65" s="137"/>
      <c r="SYX65" s="137"/>
      <c r="SYY65" s="137"/>
      <c r="SYZ65" s="137"/>
      <c r="SZA65" s="137"/>
      <c r="SZB65" s="137"/>
      <c r="SZC65" s="137"/>
      <c r="SZD65" s="137"/>
      <c r="SZE65" s="137"/>
      <c r="SZF65" s="137"/>
      <c r="SZG65" s="137"/>
      <c r="SZH65" s="137"/>
      <c r="SZI65" s="137"/>
      <c r="SZJ65" s="137"/>
      <c r="SZK65" s="137"/>
      <c r="SZL65" s="137"/>
      <c r="SZM65" s="137"/>
      <c r="SZN65" s="137"/>
      <c r="SZO65" s="137"/>
      <c r="SZP65" s="137"/>
      <c r="SZQ65" s="137"/>
      <c r="SZR65" s="137"/>
      <c r="SZS65" s="137"/>
      <c r="SZT65" s="137"/>
      <c r="SZU65" s="137"/>
      <c r="SZV65" s="137"/>
      <c r="SZW65" s="137"/>
      <c r="SZX65" s="137"/>
      <c r="SZY65" s="137"/>
      <c r="SZZ65" s="137"/>
      <c r="TAA65" s="137"/>
      <c r="TAB65" s="137"/>
      <c r="TAC65" s="137"/>
      <c r="TAD65" s="137"/>
      <c r="TAE65" s="137"/>
      <c r="TAF65" s="137"/>
      <c r="TAG65" s="137"/>
      <c r="TAH65" s="137"/>
      <c r="TAI65" s="137"/>
      <c r="TAJ65" s="137"/>
      <c r="TAK65" s="137"/>
      <c r="TAL65" s="137"/>
      <c r="TAM65" s="137"/>
      <c r="TAN65" s="137"/>
      <c r="TAO65" s="137"/>
      <c r="TAP65" s="137"/>
      <c r="TAQ65" s="137"/>
      <c r="TAR65" s="137"/>
      <c r="TAS65" s="137"/>
      <c r="TAT65" s="137"/>
      <c r="TAU65" s="137"/>
      <c r="TAV65" s="137"/>
      <c r="TAW65" s="137"/>
      <c r="TAX65" s="137"/>
      <c r="TAY65" s="137"/>
      <c r="TAZ65" s="137"/>
      <c r="TBA65" s="137"/>
      <c r="TBB65" s="137"/>
      <c r="TBC65" s="137"/>
      <c r="TBD65" s="137"/>
      <c r="TBE65" s="137"/>
      <c r="TBF65" s="137"/>
      <c r="TBG65" s="137"/>
      <c r="TBH65" s="137"/>
      <c r="TBI65" s="137"/>
      <c r="TBJ65" s="137"/>
      <c r="TBK65" s="137"/>
      <c r="TBL65" s="137"/>
      <c r="TBM65" s="137"/>
      <c r="TBN65" s="137"/>
      <c r="TBO65" s="137"/>
      <c r="TBP65" s="137"/>
      <c r="TBQ65" s="137"/>
      <c r="TBR65" s="137"/>
      <c r="TBS65" s="137"/>
      <c r="TBT65" s="137"/>
      <c r="TBU65" s="137"/>
      <c r="TBV65" s="137"/>
      <c r="TBW65" s="137"/>
      <c r="TBX65" s="137"/>
      <c r="TBY65" s="137"/>
      <c r="TBZ65" s="137"/>
      <c r="TCA65" s="137"/>
      <c r="TCB65" s="137"/>
      <c r="TCC65" s="137"/>
      <c r="TCD65" s="137"/>
      <c r="TCE65" s="137"/>
      <c r="TCF65" s="137"/>
      <c r="TCG65" s="137"/>
      <c r="TCH65" s="137"/>
      <c r="TCI65" s="137"/>
      <c r="TCJ65" s="137"/>
      <c r="TCK65" s="137"/>
      <c r="TCL65" s="137"/>
      <c r="TCM65" s="137"/>
      <c r="TCN65" s="137"/>
      <c r="TCO65" s="137"/>
      <c r="TCP65" s="137"/>
      <c r="TCQ65" s="137"/>
      <c r="TCR65" s="137"/>
      <c r="TCS65" s="137"/>
      <c r="TCT65" s="137"/>
      <c r="TCU65" s="137"/>
      <c r="TCV65" s="137"/>
      <c r="TCW65" s="137"/>
      <c r="TCX65" s="137"/>
      <c r="TCY65" s="137"/>
      <c r="TCZ65" s="137"/>
      <c r="TDA65" s="137"/>
      <c r="TDB65" s="137"/>
      <c r="TDC65" s="137"/>
      <c r="TDD65" s="137"/>
      <c r="TDE65" s="137"/>
      <c r="TDF65" s="137"/>
      <c r="TDG65" s="137"/>
      <c r="TDH65" s="137"/>
      <c r="TDI65" s="137"/>
      <c r="TDJ65" s="137"/>
      <c r="TDK65" s="137"/>
      <c r="TDL65" s="137"/>
      <c r="TDM65" s="137"/>
      <c r="TDN65" s="137"/>
      <c r="TDO65" s="137"/>
      <c r="TDP65" s="137"/>
      <c r="TDQ65" s="137"/>
      <c r="TDR65" s="137"/>
      <c r="TDS65" s="137"/>
      <c r="TDT65" s="137"/>
      <c r="TDU65" s="137"/>
      <c r="TDV65" s="137"/>
      <c r="TDW65" s="137"/>
      <c r="TDX65" s="137"/>
      <c r="TDY65" s="137"/>
      <c r="TDZ65" s="137"/>
      <c r="TEA65" s="137"/>
      <c r="TEB65" s="137"/>
      <c r="TEC65" s="137"/>
      <c r="TED65" s="137"/>
      <c r="TEE65" s="137"/>
      <c r="TEF65" s="137"/>
      <c r="TEG65" s="137"/>
      <c r="TEH65" s="137"/>
      <c r="TEI65" s="137"/>
      <c r="TEJ65" s="137"/>
      <c r="TEK65" s="137"/>
      <c r="TEL65" s="137"/>
      <c r="TEM65" s="137"/>
      <c r="TEN65" s="137"/>
      <c r="TEO65" s="137"/>
      <c r="TEP65" s="137"/>
      <c r="TEQ65" s="137"/>
      <c r="TER65" s="137"/>
      <c r="TES65" s="137"/>
      <c r="TET65" s="137"/>
      <c r="TEU65" s="137"/>
      <c r="TEV65" s="137"/>
      <c r="TEW65" s="137"/>
      <c r="TEX65" s="137"/>
      <c r="TEY65" s="137"/>
      <c r="TEZ65" s="137"/>
      <c r="TFA65" s="137"/>
      <c r="TFB65" s="137"/>
      <c r="TFC65" s="137"/>
      <c r="TFD65" s="137"/>
      <c r="TFE65" s="137"/>
      <c r="TFF65" s="137"/>
      <c r="TFG65" s="137"/>
      <c r="TFH65" s="137"/>
      <c r="TFI65" s="137"/>
      <c r="TFJ65" s="137"/>
      <c r="TFK65" s="137"/>
      <c r="TFL65" s="137"/>
      <c r="TFM65" s="137"/>
      <c r="TFN65" s="137"/>
      <c r="TFO65" s="137"/>
      <c r="TFP65" s="137"/>
      <c r="TFQ65" s="137"/>
      <c r="TFR65" s="137"/>
      <c r="TFS65" s="137"/>
      <c r="TFT65" s="137"/>
      <c r="TFU65" s="137"/>
      <c r="TFV65" s="137"/>
      <c r="TFW65" s="137"/>
      <c r="TFX65" s="137"/>
      <c r="TFY65" s="137"/>
      <c r="TFZ65" s="137"/>
      <c r="TGA65" s="137"/>
      <c r="TGB65" s="137"/>
      <c r="TGC65" s="137"/>
      <c r="TGD65" s="137"/>
      <c r="TGE65" s="137"/>
      <c r="TGF65" s="137"/>
      <c r="TGG65" s="137"/>
      <c r="TGH65" s="137"/>
      <c r="TGI65" s="137"/>
      <c r="TGJ65" s="137"/>
      <c r="TGK65" s="137"/>
      <c r="TGL65" s="137"/>
      <c r="TGM65" s="137"/>
      <c r="TGN65" s="137"/>
      <c r="TGO65" s="137"/>
      <c r="TGP65" s="137"/>
      <c r="TGQ65" s="137"/>
      <c r="TGR65" s="137"/>
      <c r="TGS65" s="137"/>
      <c r="TGT65" s="137"/>
      <c r="TGU65" s="137"/>
      <c r="TGV65" s="137"/>
      <c r="TGW65" s="137"/>
      <c r="TGX65" s="137"/>
      <c r="TGY65" s="137"/>
      <c r="TGZ65" s="137"/>
      <c r="THA65" s="137"/>
      <c r="THB65" s="137"/>
      <c r="THC65" s="137"/>
      <c r="THD65" s="137"/>
      <c r="THE65" s="137"/>
      <c r="THF65" s="137"/>
      <c r="THG65" s="137"/>
      <c r="THH65" s="137"/>
      <c r="THI65" s="137"/>
      <c r="THJ65" s="137"/>
      <c r="THK65" s="137"/>
      <c r="THL65" s="137"/>
      <c r="THM65" s="137"/>
      <c r="THN65" s="137"/>
      <c r="THO65" s="137"/>
      <c r="THP65" s="137"/>
      <c r="THQ65" s="137"/>
      <c r="THR65" s="137"/>
      <c r="THS65" s="137"/>
      <c r="THT65" s="137"/>
      <c r="THU65" s="137"/>
      <c r="THV65" s="137"/>
      <c r="THW65" s="137"/>
      <c r="THX65" s="137"/>
      <c r="THY65" s="137"/>
      <c r="THZ65" s="137"/>
      <c r="TIA65" s="137"/>
      <c r="TIB65" s="137"/>
      <c r="TIC65" s="137"/>
      <c r="TID65" s="137"/>
      <c r="TIE65" s="137"/>
      <c r="TIF65" s="137"/>
      <c r="TIG65" s="137"/>
      <c r="TIH65" s="137"/>
      <c r="TII65" s="137"/>
      <c r="TIJ65" s="137"/>
      <c r="TIK65" s="137"/>
      <c r="TIL65" s="137"/>
      <c r="TIM65" s="137"/>
      <c r="TIN65" s="137"/>
      <c r="TIO65" s="137"/>
      <c r="TIP65" s="137"/>
      <c r="TIQ65" s="137"/>
      <c r="TIR65" s="137"/>
      <c r="TIS65" s="137"/>
      <c r="TIT65" s="137"/>
      <c r="TIU65" s="137"/>
      <c r="TIV65" s="137"/>
      <c r="TIW65" s="137"/>
      <c r="TIX65" s="137"/>
      <c r="TIY65" s="137"/>
      <c r="TIZ65" s="137"/>
      <c r="TJA65" s="137"/>
      <c r="TJB65" s="137"/>
      <c r="TJC65" s="137"/>
      <c r="TJD65" s="137"/>
      <c r="TJE65" s="137"/>
      <c r="TJF65" s="137"/>
      <c r="TJG65" s="137"/>
      <c r="TJH65" s="137"/>
      <c r="TJI65" s="137"/>
      <c r="TJJ65" s="137"/>
      <c r="TJK65" s="137"/>
      <c r="TJL65" s="137"/>
      <c r="TJM65" s="137"/>
      <c r="TJN65" s="137"/>
      <c r="TJO65" s="137"/>
      <c r="TJP65" s="137"/>
      <c r="TJQ65" s="137"/>
      <c r="TJR65" s="137"/>
      <c r="TJS65" s="137"/>
      <c r="TJT65" s="137"/>
      <c r="TJU65" s="137"/>
      <c r="TJV65" s="137"/>
      <c r="TJW65" s="137"/>
      <c r="TJX65" s="137"/>
      <c r="TJY65" s="137"/>
      <c r="TJZ65" s="137"/>
      <c r="TKA65" s="137"/>
      <c r="TKB65" s="137"/>
      <c r="TKC65" s="137"/>
      <c r="TKD65" s="137"/>
      <c r="TKE65" s="137"/>
      <c r="TKF65" s="137"/>
      <c r="TKG65" s="137"/>
      <c r="TKH65" s="137"/>
      <c r="TKI65" s="137"/>
      <c r="TKJ65" s="137"/>
      <c r="TKK65" s="137"/>
      <c r="TKL65" s="137"/>
      <c r="TKM65" s="137"/>
      <c r="TKN65" s="137"/>
      <c r="TKO65" s="137"/>
      <c r="TKP65" s="137"/>
      <c r="TKQ65" s="137"/>
      <c r="TKR65" s="137"/>
      <c r="TKS65" s="137"/>
      <c r="TKT65" s="137"/>
      <c r="TKU65" s="137"/>
      <c r="TKV65" s="137"/>
      <c r="TKW65" s="137"/>
      <c r="TKX65" s="137"/>
      <c r="TKY65" s="137"/>
      <c r="TKZ65" s="137"/>
      <c r="TLA65" s="137"/>
      <c r="TLB65" s="137"/>
      <c r="TLC65" s="137"/>
      <c r="TLD65" s="137"/>
      <c r="TLE65" s="137"/>
      <c r="TLF65" s="137"/>
      <c r="TLG65" s="137"/>
      <c r="TLH65" s="137"/>
      <c r="TLI65" s="137"/>
      <c r="TLJ65" s="137"/>
      <c r="TLK65" s="137"/>
      <c r="TLL65" s="137"/>
      <c r="TLM65" s="137"/>
      <c r="TLN65" s="137"/>
      <c r="TLO65" s="137"/>
      <c r="TLP65" s="137"/>
      <c r="TLQ65" s="137"/>
      <c r="TLR65" s="137"/>
      <c r="TLS65" s="137"/>
      <c r="TLT65" s="137"/>
      <c r="TLU65" s="137"/>
      <c r="TLV65" s="137"/>
      <c r="TLW65" s="137"/>
      <c r="TLX65" s="137"/>
      <c r="TLY65" s="137"/>
      <c r="TLZ65" s="137"/>
      <c r="TMA65" s="137"/>
      <c r="TMB65" s="137"/>
      <c r="TMC65" s="137"/>
      <c r="TMD65" s="137"/>
      <c r="TME65" s="137"/>
      <c r="TMF65" s="137"/>
      <c r="TMG65" s="137"/>
      <c r="TMH65" s="137"/>
      <c r="TMI65" s="137"/>
      <c r="TMJ65" s="137"/>
      <c r="TMK65" s="137"/>
      <c r="TML65" s="137"/>
      <c r="TMM65" s="137"/>
      <c r="TMN65" s="137"/>
      <c r="TMO65" s="137"/>
      <c r="TMP65" s="137"/>
      <c r="TMQ65" s="137"/>
      <c r="TMR65" s="137"/>
      <c r="TMS65" s="137"/>
      <c r="TMT65" s="137"/>
      <c r="TMU65" s="137"/>
      <c r="TMV65" s="137"/>
      <c r="TMW65" s="137"/>
      <c r="TMX65" s="137"/>
      <c r="TMY65" s="137"/>
      <c r="TMZ65" s="137"/>
      <c r="TNA65" s="137"/>
      <c r="TNB65" s="137"/>
      <c r="TNC65" s="137"/>
      <c r="TND65" s="137"/>
      <c r="TNE65" s="137"/>
      <c r="TNF65" s="137"/>
      <c r="TNG65" s="137"/>
      <c r="TNH65" s="137"/>
      <c r="TNI65" s="137"/>
      <c r="TNJ65" s="137"/>
      <c r="TNK65" s="137"/>
      <c r="TNL65" s="137"/>
      <c r="TNM65" s="137"/>
      <c r="TNN65" s="137"/>
      <c r="TNO65" s="137"/>
      <c r="TNP65" s="137"/>
      <c r="TNQ65" s="137"/>
      <c r="TNR65" s="137"/>
      <c r="TNS65" s="137"/>
      <c r="TNT65" s="137"/>
      <c r="TNU65" s="137"/>
      <c r="TNV65" s="137"/>
      <c r="TNW65" s="137"/>
      <c r="TNX65" s="137"/>
      <c r="TNY65" s="137"/>
      <c r="TNZ65" s="137"/>
      <c r="TOA65" s="137"/>
      <c r="TOB65" s="137"/>
      <c r="TOC65" s="137"/>
      <c r="TOD65" s="137"/>
      <c r="TOE65" s="137"/>
      <c r="TOF65" s="137"/>
      <c r="TOG65" s="137"/>
      <c r="TOH65" s="137"/>
      <c r="TOI65" s="137"/>
      <c r="TOJ65" s="137"/>
      <c r="TOK65" s="137"/>
      <c r="TOL65" s="137"/>
      <c r="TOM65" s="137"/>
      <c r="TON65" s="137"/>
      <c r="TOO65" s="137"/>
      <c r="TOP65" s="137"/>
      <c r="TOQ65" s="137"/>
      <c r="TOR65" s="137"/>
      <c r="TOS65" s="137"/>
      <c r="TOT65" s="137"/>
      <c r="TOU65" s="137"/>
      <c r="TOV65" s="137"/>
      <c r="TOW65" s="137"/>
      <c r="TOX65" s="137"/>
      <c r="TOY65" s="137"/>
      <c r="TOZ65" s="137"/>
      <c r="TPA65" s="137"/>
      <c r="TPB65" s="137"/>
      <c r="TPC65" s="137"/>
      <c r="TPD65" s="137"/>
      <c r="TPE65" s="137"/>
      <c r="TPF65" s="137"/>
      <c r="TPG65" s="137"/>
      <c r="TPH65" s="137"/>
      <c r="TPI65" s="137"/>
      <c r="TPJ65" s="137"/>
      <c r="TPK65" s="137"/>
      <c r="TPL65" s="137"/>
      <c r="TPM65" s="137"/>
      <c r="TPN65" s="137"/>
      <c r="TPO65" s="137"/>
      <c r="TPP65" s="137"/>
      <c r="TPQ65" s="137"/>
      <c r="TPR65" s="137"/>
      <c r="TPS65" s="137"/>
      <c r="TPT65" s="137"/>
      <c r="TPU65" s="137"/>
      <c r="TPV65" s="137"/>
      <c r="TPW65" s="137"/>
      <c r="TPX65" s="137"/>
      <c r="TPY65" s="137"/>
      <c r="TPZ65" s="137"/>
      <c r="TQA65" s="137"/>
      <c r="TQB65" s="137"/>
      <c r="TQC65" s="137"/>
      <c r="TQD65" s="137"/>
      <c r="TQE65" s="137"/>
      <c r="TQF65" s="137"/>
      <c r="TQG65" s="137"/>
      <c r="TQH65" s="137"/>
      <c r="TQI65" s="137"/>
      <c r="TQJ65" s="137"/>
      <c r="TQK65" s="137"/>
      <c r="TQL65" s="137"/>
      <c r="TQM65" s="137"/>
      <c r="TQN65" s="137"/>
      <c r="TQO65" s="137"/>
      <c r="TQP65" s="137"/>
      <c r="TQQ65" s="137"/>
      <c r="TQR65" s="137"/>
      <c r="TQS65" s="137"/>
      <c r="TQT65" s="137"/>
      <c r="TQU65" s="137"/>
      <c r="TQV65" s="137"/>
      <c r="TQW65" s="137"/>
      <c r="TQX65" s="137"/>
      <c r="TQY65" s="137"/>
      <c r="TQZ65" s="137"/>
      <c r="TRA65" s="137"/>
      <c r="TRB65" s="137"/>
      <c r="TRC65" s="137"/>
      <c r="TRD65" s="137"/>
      <c r="TRE65" s="137"/>
      <c r="TRF65" s="137"/>
      <c r="TRG65" s="137"/>
      <c r="TRH65" s="137"/>
      <c r="TRI65" s="137"/>
      <c r="TRJ65" s="137"/>
      <c r="TRK65" s="137"/>
      <c r="TRL65" s="137"/>
      <c r="TRM65" s="137"/>
      <c r="TRN65" s="137"/>
      <c r="TRO65" s="137"/>
      <c r="TRP65" s="137"/>
      <c r="TRQ65" s="137"/>
      <c r="TRR65" s="137"/>
      <c r="TRS65" s="137"/>
      <c r="TRT65" s="137"/>
      <c r="TRU65" s="137"/>
      <c r="TRV65" s="137"/>
      <c r="TRW65" s="137"/>
      <c r="TRX65" s="137"/>
      <c r="TRY65" s="137"/>
      <c r="TRZ65" s="137"/>
      <c r="TSA65" s="137"/>
      <c r="TSB65" s="137"/>
      <c r="TSC65" s="137"/>
      <c r="TSD65" s="137"/>
      <c r="TSE65" s="137"/>
      <c r="TSF65" s="137"/>
      <c r="TSG65" s="137"/>
      <c r="TSH65" s="137"/>
      <c r="TSI65" s="137"/>
      <c r="TSJ65" s="137"/>
      <c r="TSK65" s="137"/>
      <c r="TSL65" s="137"/>
      <c r="TSM65" s="137"/>
      <c r="TSN65" s="137"/>
      <c r="TSO65" s="137"/>
      <c r="TSP65" s="137"/>
      <c r="TSQ65" s="137"/>
      <c r="TSR65" s="137"/>
      <c r="TSS65" s="137"/>
      <c r="TST65" s="137"/>
      <c r="TSU65" s="137"/>
      <c r="TSV65" s="137"/>
      <c r="TSW65" s="137"/>
      <c r="TSX65" s="137"/>
      <c r="TSY65" s="137"/>
      <c r="TSZ65" s="137"/>
      <c r="TTA65" s="137"/>
      <c r="TTB65" s="137"/>
      <c r="TTC65" s="137"/>
      <c r="TTD65" s="137"/>
      <c r="TTE65" s="137"/>
      <c r="TTF65" s="137"/>
      <c r="TTG65" s="137"/>
      <c r="TTH65" s="137"/>
      <c r="TTI65" s="137"/>
      <c r="TTJ65" s="137"/>
      <c r="TTK65" s="137"/>
      <c r="TTL65" s="137"/>
      <c r="TTM65" s="137"/>
      <c r="TTN65" s="137"/>
      <c r="TTO65" s="137"/>
      <c r="TTP65" s="137"/>
      <c r="TTQ65" s="137"/>
      <c r="TTR65" s="137"/>
      <c r="TTS65" s="137"/>
      <c r="TTT65" s="137"/>
      <c r="TTU65" s="137"/>
      <c r="TTV65" s="137"/>
      <c r="TTW65" s="137"/>
      <c r="TTX65" s="137"/>
      <c r="TTY65" s="137"/>
      <c r="TTZ65" s="137"/>
      <c r="TUA65" s="137"/>
      <c r="TUB65" s="137"/>
      <c r="TUC65" s="137"/>
      <c r="TUD65" s="137"/>
      <c r="TUE65" s="137"/>
      <c r="TUF65" s="137"/>
      <c r="TUG65" s="137"/>
      <c r="TUH65" s="137"/>
      <c r="TUI65" s="137"/>
      <c r="TUJ65" s="137"/>
      <c r="TUK65" s="137"/>
      <c r="TUL65" s="137"/>
      <c r="TUM65" s="137"/>
      <c r="TUN65" s="137"/>
      <c r="TUO65" s="137"/>
      <c r="TUP65" s="137"/>
      <c r="TUQ65" s="137"/>
      <c r="TUR65" s="137"/>
      <c r="TUS65" s="137"/>
      <c r="TUT65" s="137"/>
      <c r="TUU65" s="137"/>
      <c r="TUV65" s="137"/>
      <c r="TUW65" s="137"/>
      <c r="TUX65" s="137"/>
      <c r="TUY65" s="137"/>
      <c r="TUZ65" s="137"/>
      <c r="TVA65" s="137"/>
      <c r="TVB65" s="137"/>
      <c r="TVC65" s="137"/>
      <c r="TVD65" s="137"/>
      <c r="TVE65" s="137"/>
      <c r="TVF65" s="137"/>
      <c r="TVG65" s="137"/>
      <c r="TVH65" s="137"/>
      <c r="TVI65" s="137"/>
      <c r="TVJ65" s="137"/>
      <c r="TVK65" s="137"/>
      <c r="TVL65" s="137"/>
      <c r="TVM65" s="137"/>
      <c r="TVN65" s="137"/>
      <c r="TVO65" s="137"/>
      <c r="TVP65" s="137"/>
      <c r="TVQ65" s="137"/>
      <c r="TVR65" s="137"/>
      <c r="TVS65" s="137"/>
      <c r="TVT65" s="137"/>
      <c r="TVU65" s="137"/>
      <c r="TVV65" s="137"/>
      <c r="TVW65" s="137"/>
      <c r="TVX65" s="137"/>
      <c r="TVY65" s="137"/>
      <c r="TVZ65" s="137"/>
      <c r="TWA65" s="137"/>
      <c r="TWB65" s="137"/>
      <c r="TWC65" s="137"/>
      <c r="TWD65" s="137"/>
      <c r="TWE65" s="137"/>
      <c r="TWF65" s="137"/>
      <c r="TWG65" s="137"/>
      <c r="TWH65" s="137"/>
      <c r="TWI65" s="137"/>
      <c r="TWJ65" s="137"/>
      <c r="TWK65" s="137"/>
      <c r="TWL65" s="137"/>
      <c r="TWM65" s="137"/>
      <c r="TWN65" s="137"/>
      <c r="TWO65" s="137"/>
      <c r="TWP65" s="137"/>
      <c r="TWQ65" s="137"/>
      <c r="TWR65" s="137"/>
      <c r="TWS65" s="137"/>
      <c r="TWT65" s="137"/>
      <c r="TWU65" s="137"/>
      <c r="TWV65" s="137"/>
      <c r="TWW65" s="137"/>
      <c r="TWX65" s="137"/>
      <c r="TWY65" s="137"/>
      <c r="TWZ65" s="137"/>
      <c r="TXA65" s="137"/>
      <c r="TXB65" s="137"/>
      <c r="TXC65" s="137"/>
      <c r="TXD65" s="137"/>
      <c r="TXE65" s="137"/>
      <c r="TXF65" s="137"/>
      <c r="TXG65" s="137"/>
      <c r="TXH65" s="137"/>
      <c r="TXI65" s="137"/>
      <c r="TXJ65" s="137"/>
      <c r="TXK65" s="137"/>
      <c r="TXL65" s="137"/>
      <c r="TXM65" s="137"/>
      <c r="TXN65" s="137"/>
      <c r="TXO65" s="137"/>
      <c r="TXP65" s="137"/>
      <c r="TXQ65" s="137"/>
      <c r="TXR65" s="137"/>
      <c r="TXS65" s="137"/>
      <c r="TXT65" s="137"/>
      <c r="TXU65" s="137"/>
      <c r="TXV65" s="137"/>
      <c r="TXW65" s="137"/>
      <c r="TXX65" s="137"/>
      <c r="TXY65" s="137"/>
      <c r="TXZ65" s="137"/>
      <c r="TYA65" s="137"/>
      <c r="TYB65" s="137"/>
      <c r="TYC65" s="137"/>
      <c r="TYD65" s="137"/>
      <c r="TYE65" s="137"/>
      <c r="TYF65" s="137"/>
      <c r="TYG65" s="137"/>
      <c r="TYH65" s="137"/>
      <c r="TYI65" s="137"/>
      <c r="TYJ65" s="137"/>
      <c r="TYK65" s="137"/>
      <c r="TYL65" s="137"/>
      <c r="TYM65" s="137"/>
      <c r="TYN65" s="137"/>
      <c r="TYO65" s="137"/>
      <c r="TYP65" s="137"/>
      <c r="TYQ65" s="137"/>
      <c r="TYR65" s="137"/>
      <c r="TYS65" s="137"/>
      <c r="TYT65" s="137"/>
      <c r="TYU65" s="137"/>
      <c r="TYV65" s="137"/>
      <c r="TYW65" s="137"/>
      <c r="TYX65" s="137"/>
      <c r="TYY65" s="137"/>
      <c r="TYZ65" s="137"/>
      <c r="TZA65" s="137"/>
      <c r="TZB65" s="137"/>
      <c r="TZC65" s="137"/>
      <c r="TZD65" s="137"/>
      <c r="TZE65" s="137"/>
      <c r="TZF65" s="137"/>
      <c r="TZG65" s="137"/>
      <c r="TZH65" s="137"/>
      <c r="TZI65" s="137"/>
      <c r="TZJ65" s="137"/>
      <c r="TZK65" s="137"/>
      <c r="TZL65" s="137"/>
      <c r="TZM65" s="137"/>
      <c r="TZN65" s="137"/>
      <c r="TZO65" s="137"/>
      <c r="TZP65" s="137"/>
      <c r="TZQ65" s="137"/>
      <c r="TZR65" s="137"/>
      <c r="TZS65" s="137"/>
      <c r="TZT65" s="137"/>
      <c r="TZU65" s="137"/>
      <c r="TZV65" s="137"/>
      <c r="TZW65" s="137"/>
      <c r="TZX65" s="137"/>
      <c r="TZY65" s="137"/>
      <c r="TZZ65" s="137"/>
      <c r="UAA65" s="137"/>
      <c r="UAB65" s="137"/>
      <c r="UAC65" s="137"/>
      <c r="UAD65" s="137"/>
      <c r="UAE65" s="137"/>
      <c r="UAF65" s="137"/>
      <c r="UAG65" s="137"/>
      <c r="UAH65" s="137"/>
      <c r="UAI65" s="137"/>
      <c r="UAJ65" s="137"/>
      <c r="UAK65" s="137"/>
      <c r="UAL65" s="137"/>
      <c r="UAM65" s="137"/>
      <c r="UAN65" s="137"/>
      <c r="UAO65" s="137"/>
      <c r="UAP65" s="137"/>
      <c r="UAQ65" s="137"/>
      <c r="UAR65" s="137"/>
      <c r="UAS65" s="137"/>
      <c r="UAT65" s="137"/>
      <c r="UAU65" s="137"/>
      <c r="UAV65" s="137"/>
      <c r="UAW65" s="137"/>
      <c r="UAX65" s="137"/>
      <c r="UAY65" s="137"/>
      <c r="UAZ65" s="137"/>
      <c r="UBA65" s="137"/>
      <c r="UBB65" s="137"/>
      <c r="UBC65" s="137"/>
      <c r="UBD65" s="137"/>
      <c r="UBE65" s="137"/>
      <c r="UBF65" s="137"/>
      <c r="UBG65" s="137"/>
      <c r="UBH65" s="137"/>
      <c r="UBI65" s="137"/>
      <c r="UBJ65" s="137"/>
      <c r="UBK65" s="137"/>
      <c r="UBL65" s="137"/>
      <c r="UBM65" s="137"/>
      <c r="UBN65" s="137"/>
      <c r="UBO65" s="137"/>
      <c r="UBP65" s="137"/>
      <c r="UBQ65" s="137"/>
      <c r="UBR65" s="137"/>
      <c r="UBS65" s="137"/>
      <c r="UBT65" s="137"/>
      <c r="UBU65" s="137"/>
      <c r="UBV65" s="137"/>
      <c r="UBW65" s="137"/>
      <c r="UBX65" s="137"/>
      <c r="UBY65" s="137"/>
      <c r="UBZ65" s="137"/>
      <c r="UCA65" s="137"/>
      <c r="UCB65" s="137"/>
      <c r="UCC65" s="137"/>
      <c r="UCD65" s="137"/>
      <c r="UCE65" s="137"/>
      <c r="UCF65" s="137"/>
      <c r="UCG65" s="137"/>
      <c r="UCH65" s="137"/>
      <c r="UCI65" s="137"/>
      <c r="UCJ65" s="137"/>
      <c r="UCK65" s="137"/>
      <c r="UCL65" s="137"/>
      <c r="UCM65" s="137"/>
      <c r="UCN65" s="137"/>
      <c r="UCO65" s="137"/>
      <c r="UCP65" s="137"/>
      <c r="UCQ65" s="137"/>
      <c r="UCR65" s="137"/>
      <c r="UCS65" s="137"/>
      <c r="UCT65" s="137"/>
      <c r="UCU65" s="137"/>
      <c r="UCV65" s="137"/>
      <c r="UCW65" s="137"/>
      <c r="UCX65" s="137"/>
      <c r="UCY65" s="137"/>
      <c r="UCZ65" s="137"/>
      <c r="UDA65" s="137"/>
      <c r="UDB65" s="137"/>
      <c r="UDC65" s="137"/>
      <c r="UDD65" s="137"/>
      <c r="UDE65" s="137"/>
      <c r="UDF65" s="137"/>
      <c r="UDG65" s="137"/>
      <c r="UDH65" s="137"/>
      <c r="UDI65" s="137"/>
      <c r="UDJ65" s="137"/>
      <c r="UDK65" s="137"/>
      <c r="UDL65" s="137"/>
      <c r="UDM65" s="137"/>
      <c r="UDN65" s="137"/>
      <c r="UDO65" s="137"/>
      <c r="UDP65" s="137"/>
      <c r="UDQ65" s="137"/>
      <c r="UDR65" s="137"/>
      <c r="UDS65" s="137"/>
      <c r="UDT65" s="137"/>
      <c r="UDU65" s="137"/>
      <c r="UDV65" s="137"/>
      <c r="UDW65" s="137"/>
      <c r="UDX65" s="137"/>
      <c r="UDY65" s="137"/>
      <c r="UDZ65" s="137"/>
      <c r="UEA65" s="137"/>
      <c r="UEB65" s="137"/>
      <c r="UEC65" s="137"/>
      <c r="UED65" s="137"/>
      <c r="UEE65" s="137"/>
      <c r="UEF65" s="137"/>
      <c r="UEG65" s="137"/>
      <c r="UEH65" s="137"/>
      <c r="UEI65" s="137"/>
      <c r="UEJ65" s="137"/>
      <c r="UEK65" s="137"/>
      <c r="UEL65" s="137"/>
      <c r="UEM65" s="137"/>
      <c r="UEN65" s="137"/>
      <c r="UEO65" s="137"/>
      <c r="UEP65" s="137"/>
      <c r="UEQ65" s="137"/>
      <c r="UER65" s="137"/>
      <c r="UES65" s="137"/>
      <c r="UET65" s="137"/>
      <c r="UEU65" s="137"/>
      <c r="UEV65" s="137"/>
      <c r="UEW65" s="137"/>
      <c r="UEX65" s="137"/>
      <c r="UEY65" s="137"/>
      <c r="UEZ65" s="137"/>
      <c r="UFA65" s="137"/>
      <c r="UFB65" s="137"/>
      <c r="UFC65" s="137"/>
      <c r="UFD65" s="137"/>
      <c r="UFE65" s="137"/>
      <c r="UFF65" s="137"/>
      <c r="UFG65" s="137"/>
      <c r="UFH65" s="137"/>
      <c r="UFI65" s="137"/>
      <c r="UFJ65" s="137"/>
      <c r="UFK65" s="137"/>
      <c r="UFL65" s="137"/>
      <c r="UFM65" s="137"/>
      <c r="UFN65" s="137"/>
      <c r="UFO65" s="137"/>
      <c r="UFP65" s="137"/>
      <c r="UFQ65" s="137"/>
      <c r="UFR65" s="137"/>
      <c r="UFS65" s="137"/>
      <c r="UFT65" s="137"/>
      <c r="UFU65" s="137"/>
      <c r="UFV65" s="137"/>
      <c r="UFW65" s="137"/>
      <c r="UFX65" s="137"/>
      <c r="UFY65" s="137"/>
      <c r="UFZ65" s="137"/>
      <c r="UGA65" s="137"/>
      <c r="UGB65" s="137"/>
      <c r="UGC65" s="137"/>
      <c r="UGD65" s="137"/>
      <c r="UGE65" s="137"/>
      <c r="UGF65" s="137"/>
      <c r="UGG65" s="137"/>
      <c r="UGH65" s="137"/>
      <c r="UGI65" s="137"/>
      <c r="UGJ65" s="137"/>
      <c r="UGK65" s="137"/>
      <c r="UGL65" s="137"/>
      <c r="UGM65" s="137"/>
      <c r="UGN65" s="137"/>
      <c r="UGO65" s="137"/>
      <c r="UGP65" s="137"/>
      <c r="UGQ65" s="137"/>
      <c r="UGR65" s="137"/>
      <c r="UGS65" s="137"/>
      <c r="UGT65" s="137"/>
      <c r="UGU65" s="137"/>
      <c r="UGV65" s="137"/>
      <c r="UGW65" s="137"/>
      <c r="UGX65" s="137"/>
      <c r="UGY65" s="137"/>
      <c r="UGZ65" s="137"/>
      <c r="UHA65" s="137"/>
      <c r="UHB65" s="137"/>
      <c r="UHC65" s="137"/>
      <c r="UHD65" s="137"/>
      <c r="UHE65" s="137"/>
      <c r="UHF65" s="137"/>
      <c r="UHG65" s="137"/>
      <c r="UHH65" s="137"/>
      <c r="UHI65" s="137"/>
      <c r="UHJ65" s="137"/>
      <c r="UHK65" s="137"/>
      <c r="UHL65" s="137"/>
      <c r="UHM65" s="137"/>
      <c r="UHN65" s="137"/>
      <c r="UHO65" s="137"/>
      <c r="UHP65" s="137"/>
      <c r="UHQ65" s="137"/>
      <c r="UHR65" s="137"/>
      <c r="UHS65" s="137"/>
      <c r="UHT65" s="137"/>
      <c r="UHU65" s="137"/>
      <c r="UHV65" s="137"/>
      <c r="UHW65" s="137"/>
      <c r="UHX65" s="137"/>
      <c r="UHY65" s="137"/>
      <c r="UHZ65" s="137"/>
      <c r="UIA65" s="137"/>
      <c r="UIB65" s="137"/>
      <c r="UIC65" s="137"/>
      <c r="UID65" s="137"/>
      <c r="UIE65" s="137"/>
      <c r="UIF65" s="137"/>
      <c r="UIG65" s="137"/>
      <c r="UIH65" s="137"/>
      <c r="UII65" s="137"/>
      <c r="UIJ65" s="137"/>
      <c r="UIK65" s="137"/>
      <c r="UIL65" s="137"/>
      <c r="UIM65" s="137"/>
      <c r="UIN65" s="137"/>
      <c r="UIO65" s="137"/>
      <c r="UIP65" s="137"/>
      <c r="UIQ65" s="137"/>
      <c r="UIR65" s="137"/>
      <c r="UIS65" s="137"/>
      <c r="UIT65" s="137"/>
      <c r="UIU65" s="137"/>
      <c r="UIV65" s="137"/>
      <c r="UIW65" s="137"/>
      <c r="UIX65" s="137"/>
      <c r="UIY65" s="137"/>
      <c r="UIZ65" s="137"/>
      <c r="UJA65" s="137"/>
      <c r="UJB65" s="137"/>
      <c r="UJC65" s="137"/>
      <c r="UJD65" s="137"/>
      <c r="UJE65" s="137"/>
      <c r="UJF65" s="137"/>
      <c r="UJG65" s="137"/>
      <c r="UJH65" s="137"/>
      <c r="UJI65" s="137"/>
      <c r="UJJ65" s="137"/>
      <c r="UJK65" s="137"/>
      <c r="UJL65" s="137"/>
      <c r="UJM65" s="137"/>
      <c r="UJN65" s="137"/>
      <c r="UJO65" s="137"/>
      <c r="UJP65" s="137"/>
      <c r="UJQ65" s="137"/>
      <c r="UJR65" s="137"/>
      <c r="UJS65" s="137"/>
      <c r="UJT65" s="137"/>
      <c r="UJU65" s="137"/>
      <c r="UJV65" s="137"/>
      <c r="UJW65" s="137"/>
      <c r="UJX65" s="137"/>
      <c r="UJY65" s="137"/>
      <c r="UJZ65" s="137"/>
      <c r="UKA65" s="137"/>
      <c r="UKB65" s="137"/>
      <c r="UKC65" s="137"/>
      <c r="UKD65" s="137"/>
      <c r="UKE65" s="137"/>
      <c r="UKF65" s="137"/>
      <c r="UKG65" s="137"/>
      <c r="UKH65" s="137"/>
      <c r="UKI65" s="137"/>
      <c r="UKJ65" s="137"/>
      <c r="UKK65" s="137"/>
      <c r="UKL65" s="137"/>
      <c r="UKM65" s="137"/>
      <c r="UKN65" s="137"/>
      <c r="UKO65" s="137"/>
      <c r="UKP65" s="137"/>
      <c r="UKQ65" s="137"/>
      <c r="UKR65" s="137"/>
      <c r="UKS65" s="137"/>
      <c r="UKT65" s="137"/>
      <c r="UKU65" s="137"/>
      <c r="UKV65" s="137"/>
      <c r="UKW65" s="137"/>
      <c r="UKX65" s="137"/>
      <c r="UKY65" s="137"/>
      <c r="UKZ65" s="137"/>
      <c r="ULA65" s="137"/>
      <c r="ULB65" s="137"/>
      <c r="ULC65" s="137"/>
      <c r="ULD65" s="137"/>
      <c r="ULE65" s="137"/>
      <c r="ULF65" s="137"/>
      <c r="ULG65" s="137"/>
      <c r="ULH65" s="137"/>
      <c r="ULI65" s="137"/>
      <c r="ULJ65" s="137"/>
      <c r="ULK65" s="137"/>
      <c r="ULL65" s="137"/>
      <c r="ULM65" s="137"/>
      <c r="ULN65" s="137"/>
      <c r="ULO65" s="137"/>
      <c r="ULP65" s="137"/>
      <c r="ULQ65" s="137"/>
      <c r="ULR65" s="137"/>
      <c r="ULS65" s="137"/>
      <c r="ULT65" s="137"/>
      <c r="ULU65" s="137"/>
      <c r="ULV65" s="137"/>
      <c r="ULW65" s="137"/>
      <c r="ULX65" s="137"/>
      <c r="ULY65" s="137"/>
      <c r="ULZ65" s="137"/>
      <c r="UMA65" s="137"/>
      <c r="UMB65" s="137"/>
      <c r="UMC65" s="137"/>
      <c r="UMD65" s="137"/>
      <c r="UME65" s="137"/>
      <c r="UMF65" s="137"/>
      <c r="UMG65" s="137"/>
      <c r="UMH65" s="137"/>
      <c r="UMI65" s="137"/>
      <c r="UMJ65" s="137"/>
      <c r="UMK65" s="137"/>
      <c r="UML65" s="137"/>
      <c r="UMM65" s="137"/>
      <c r="UMN65" s="137"/>
      <c r="UMO65" s="137"/>
      <c r="UMP65" s="137"/>
      <c r="UMQ65" s="137"/>
      <c r="UMR65" s="137"/>
      <c r="UMS65" s="137"/>
      <c r="UMT65" s="137"/>
      <c r="UMU65" s="137"/>
      <c r="UMV65" s="137"/>
      <c r="UMW65" s="137"/>
      <c r="UMX65" s="137"/>
      <c r="UMY65" s="137"/>
      <c r="UMZ65" s="137"/>
      <c r="UNA65" s="137"/>
      <c r="UNB65" s="137"/>
      <c r="UNC65" s="137"/>
      <c r="UND65" s="137"/>
      <c r="UNE65" s="137"/>
      <c r="UNF65" s="137"/>
      <c r="UNG65" s="137"/>
      <c r="UNH65" s="137"/>
      <c r="UNI65" s="137"/>
      <c r="UNJ65" s="137"/>
      <c r="UNK65" s="137"/>
      <c r="UNL65" s="137"/>
      <c r="UNM65" s="137"/>
      <c r="UNN65" s="137"/>
      <c r="UNO65" s="137"/>
      <c r="UNP65" s="137"/>
      <c r="UNQ65" s="137"/>
      <c r="UNR65" s="137"/>
      <c r="UNS65" s="137"/>
      <c r="UNT65" s="137"/>
      <c r="UNU65" s="137"/>
      <c r="UNV65" s="137"/>
      <c r="UNW65" s="137"/>
      <c r="UNX65" s="137"/>
      <c r="UNY65" s="137"/>
      <c r="UNZ65" s="137"/>
      <c r="UOA65" s="137"/>
      <c r="UOB65" s="137"/>
      <c r="UOC65" s="137"/>
      <c r="UOD65" s="137"/>
      <c r="UOE65" s="137"/>
      <c r="UOF65" s="137"/>
      <c r="UOG65" s="137"/>
      <c r="UOH65" s="137"/>
      <c r="UOI65" s="137"/>
      <c r="UOJ65" s="137"/>
      <c r="UOK65" s="137"/>
      <c r="UOL65" s="137"/>
      <c r="UOM65" s="137"/>
      <c r="UON65" s="137"/>
      <c r="UOO65" s="137"/>
      <c r="UOP65" s="137"/>
      <c r="UOQ65" s="137"/>
      <c r="UOR65" s="137"/>
      <c r="UOS65" s="137"/>
      <c r="UOT65" s="137"/>
      <c r="UOU65" s="137"/>
      <c r="UOV65" s="137"/>
      <c r="UOW65" s="137"/>
      <c r="UOX65" s="137"/>
      <c r="UOY65" s="137"/>
      <c r="UOZ65" s="137"/>
      <c r="UPA65" s="137"/>
      <c r="UPB65" s="137"/>
      <c r="UPC65" s="137"/>
      <c r="UPD65" s="137"/>
      <c r="UPE65" s="137"/>
      <c r="UPF65" s="137"/>
      <c r="UPG65" s="137"/>
      <c r="UPH65" s="137"/>
      <c r="UPI65" s="137"/>
      <c r="UPJ65" s="137"/>
      <c r="UPK65" s="137"/>
      <c r="UPL65" s="137"/>
      <c r="UPM65" s="137"/>
      <c r="UPN65" s="137"/>
      <c r="UPO65" s="137"/>
      <c r="UPP65" s="137"/>
      <c r="UPQ65" s="137"/>
      <c r="UPR65" s="137"/>
      <c r="UPS65" s="137"/>
      <c r="UPT65" s="137"/>
      <c r="UPU65" s="137"/>
      <c r="UPV65" s="137"/>
      <c r="UPW65" s="137"/>
      <c r="UPX65" s="137"/>
      <c r="UPY65" s="137"/>
      <c r="UPZ65" s="137"/>
      <c r="UQA65" s="137"/>
      <c r="UQB65" s="137"/>
      <c r="UQC65" s="137"/>
      <c r="UQD65" s="137"/>
      <c r="UQE65" s="137"/>
      <c r="UQF65" s="137"/>
      <c r="UQG65" s="137"/>
      <c r="UQH65" s="137"/>
      <c r="UQI65" s="137"/>
      <c r="UQJ65" s="137"/>
      <c r="UQK65" s="137"/>
      <c r="UQL65" s="137"/>
      <c r="UQM65" s="137"/>
      <c r="UQN65" s="137"/>
      <c r="UQO65" s="137"/>
      <c r="UQP65" s="137"/>
      <c r="UQQ65" s="137"/>
      <c r="UQR65" s="137"/>
      <c r="UQS65" s="137"/>
      <c r="UQT65" s="137"/>
      <c r="UQU65" s="137"/>
      <c r="UQV65" s="137"/>
      <c r="UQW65" s="137"/>
      <c r="UQX65" s="137"/>
      <c r="UQY65" s="137"/>
      <c r="UQZ65" s="137"/>
      <c r="URA65" s="137"/>
      <c r="URB65" s="137"/>
      <c r="URC65" s="137"/>
      <c r="URD65" s="137"/>
      <c r="URE65" s="137"/>
      <c r="URF65" s="137"/>
      <c r="URG65" s="137"/>
      <c r="URH65" s="137"/>
      <c r="URI65" s="137"/>
      <c r="URJ65" s="137"/>
      <c r="URK65" s="137"/>
      <c r="URL65" s="137"/>
      <c r="URM65" s="137"/>
      <c r="URN65" s="137"/>
      <c r="URO65" s="137"/>
      <c r="URP65" s="137"/>
      <c r="URQ65" s="137"/>
      <c r="URR65" s="137"/>
      <c r="URS65" s="137"/>
      <c r="URT65" s="137"/>
      <c r="URU65" s="137"/>
      <c r="URV65" s="137"/>
      <c r="URW65" s="137"/>
      <c r="URX65" s="137"/>
      <c r="URY65" s="137"/>
      <c r="URZ65" s="137"/>
      <c r="USA65" s="137"/>
      <c r="USB65" s="137"/>
      <c r="USC65" s="137"/>
      <c r="USD65" s="137"/>
      <c r="USE65" s="137"/>
      <c r="USF65" s="137"/>
      <c r="USG65" s="137"/>
      <c r="USH65" s="137"/>
      <c r="USI65" s="137"/>
      <c r="USJ65" s="137"/>
      <c r="USK65" s="137"/>
      <c r="USL65" s="137"/>
      <c r="USM65" s="137"/>
      <c r="USN65" s="137"/>
      <c r="USO65" s="137"/>
      <c r="USP65" s="137"/>
      <c r="USQ65" s="137"/>
      <c r="USR65" s="137"/>
      <c r="USS65" s="137"/>
      <c r="UST65" s="137"/>
      <c r="USU65" s="137"/>
      <c r="USV65" s="137"/>
      <c r="USW65" s="137"/>
      <c r="USX65" s="137"/>
      <c r="USY65" s="137"/>
      <c r="USZ65" s="137"/>
      <c r="UTA65" s="137"/>
      <c r="UTB65" s="137"/>
      <c r="UTC65" s="137"/>
      <c r="UTD65" s="137"/>
      <c r="UTE65" s="137"/>
      <c r="UTF65" s="137"/>
      <c r="UTG65" s="137"/>
      <c r="UTH65" s="137"/>
      <c r="UTI65" s="137"/>
      <c r="UTJ65" s="137"/>
      <c r="UTK65" s="137"/>
      <c r="UTL65" s="137"/>
      <c r="UTM65" s="137"/>
      <c r="UTN65" s="137"/>
      <c r="UTO65" s="137"/>
      <c r="UTP65" s="137"/>
      <c r="UTQ65" s="137"/>
      <c r="UTR65" s="137"/>
      <c r="UTS65" s="137"/>
      <c r="UTT65" s="137"/>
      <c r="UTU65" s="137"/>
      <c r="UTV65" s="137"/>
      <c r="UTW65" s="137"/>
      <c r="UTX65" s="137"/>
      <c r="UTY65" s="137"/>
      <c r="UTZ65" s="137"/>
      <c r="UUA65" s="137"/>
      <c r="UUB65" s="137"/>
      <c r="UUC65" s="137"/>
      <c r="UUD65" s="137"/>
      <c r="UUE65" s="137"/>
      <c r="UUF65" s="137"/>
      <c r="UUG65" s="137"/>
      <c r="UUH65" s="137"/>
      <c r="UUI65" s="137"/>
      <c r="UUJ65" s="137"/>
      <c r="UUK65" s="137"/>
      <c r="UUL65" s="137"/>
      <c r="UUM65" s="137"/>
      <c r="UUN65" s="137"/>
      <c r="UUO65" s="137"/>
      <c r="UUP65" s="137"/>
      <c r="UUQ65" s="137"/>
      <c r="UUR65" s="137"/>
      <c r="UUS65" s="137"/>
      <c r="UUT65" s="137"/>
      <c r="UUU65" s="137"/>
      <c r="UUV65" s="137"/>
      <c r="UUW65" s="137"/>
      <c r="UUX65" s="137"/>
      <c r="UUY65" s="137"/>
      <c r="UUZ65" s="137"/>
      <c r="UVA65" s="137"/>
      <c r="UVB65" s="137"/>
      <c r="UVC65" s="137"/>
      <c r="UVD65" s="137"/>
      <c r="UVE65" s="137"/>
      <c r="UVF65" s="137"/>
      <c r="UVG65" s="137"/>
      <c r="UVH65" s="137"/>
      <c r="UVI65" s="137"/>
      <c r="UVJ65" s="137"/>
      <c r="UVK65" s="137"/>
      <c r="UVL65" s="137"/>
      <c r="UVM65" s="137"/>
      <c r="UVN65" s="137"/>
      <c r="UVO65" s="137"/>
      <c r="UVP65" s="137"/>
      <c r="UVQ65" s="137"/>
      <c r="UVR65" s="137"/>
      <c r="UVS65" s="137"/>
      <c r="UVT65" s="137"/>
      <c r="UVU65" s="137"/>
      <c r="UVV65" s="137"/>
      <c r="UVW65" s="137"/>
      <c r="UVX65" s="137"/>
      <c r="UVY65" s="137"/>
      <c r="UVZ65" s="137"/>
      <c r="UWA65" s="137"/>
      <c r="UWB65" s="137"/>
      <c r="UWC65" s="137"/>
      <c r="UWD65" s="137"/>
      <c r="UWE65" s="137"/>
      <c r="UWF65" s="137"/>
      <c r="UWG65" s="137"/>
      <c r="UWH65" s="137"/>
      <c r="UWI65" s="137"/>
      <c r="UWJ65" s="137"/>
      <c r="UWK65" s="137"/>
      <c r="UWL65" s="137"/>
      <c r="UWM65" s="137"/>
      <c r="UWN65" s="137"/>
      <c r="UWO65" s="137"/>
      <c r="UWP65" s="137"/>
      <c r="UWQ65" s="137"/>
      <c r="UWR65" s="137"/>
      <c r="UWS65" s="137"/>
      <c r="UWT65" s="137"/>
      <c r="UWU65" s="137"/>
      <c r="UWV65" s="137"/>
      <c r="UWW65" s="137"/>
      <c r="UWX65" s="137"/>
      <c r="UWY65" s="137"/>
      <c r="UWZ65" s="137"/>
      <c r="UXA65" s="137"/>
      <c r="UXB65" s="137"/>
      <c r="UXC65" s="137"/>
      <c r="UXD65" s="137"/>
      <c r="UXE65" s="137"/>
      <c r="UXF65" s="137"/>
      <c r="UXG65" s="137"/>
      <c r="UXH65" s="137"/>
      <c r="UXI65" s="137"/>
      <c r="UXJ65" s="137"/>
      <c r="UXK65" s="137"/>
      <c r="UXL65" s="137"/>
      <c r="UXM65" s="137"/>
      <c r="UXN65" s="137"/>
      <c r="UXO65" s="137"/>
      <c r="UXP65" s="137"/>
      <c r="UXQ65" s="137"/>
      <c r="UXR65" s="137"/>
      <c r="UXS65" s="137"/>
      <c r="UXT65" s="137"/>
      <c r="UXU65" s="137"/>
      <c r="UXV65" s="137"/>
      <c r="UXW65" s="137"/>
      <c r="UXX65" s="137"/>
      <c r="UXY65" s="137"/>
      <c r="UXZ65" s="137"/>
      <c r="UYA65" s="137"/>
      <c r="UYB65" s="137"/>
      <c r="UYC65" s="137"/>
      <c r="UYD65" s="137"/>
      <c r="UYE65" s="137"/>
      <c r="UYF65" s="137"/>
      <c r="UYG65" s="137"/>
      <c r="UYH65" s="137"/>
      <c r="UYI65" s="137"/>
      <c r="UYJ65" s="137"/>
      <c r="UYK65" s="137"/>
      <c r="UYL65" s="137"/>
      <c r="UYM65" s="137"/>
      <c r="UYN65" s="137"/>
      <c r="UYO65" s="137"/>
      <c r="UYP65" s="137"/>
      <c r="UYQ65" s="137"/>
      <c r="UYR65" s="137"/>
      <c r="UYS65" s="137"/>
      <c r="UYT65" s="137"/>
      <c r="UYU65" s="137"/>
      <c r="UYV65" s="137"/>
      <c r="UYW65" s="137"/>
      <c r="UYX65" s="137"/>
      <c r="UYY65" s="137"/>
      <c r="UYZ65" s="137"/>
      <c r="UZA65" s="137"/>
      <c r="UZB65" s="137"/>
      <c r="UZC65" s="137"/>
      <c r="UZD65" s="137"/>
      <c r="UZE65" s="137"/>
      <c r="UZF65" s="137"/>
      <c r="UZG65" s="137"/>
      <c r="UZH65" s="137"/>
      <c r="UZI65" s="137"/>
      <c r="UZJ65" s="137"/>
      <c r="UZK65" s="137"/>
      <c r="UZL65" s="137"/>
      <c r="UZM65" s="137"/>
      <c r="UZN65" s="137"/>
      <c r="UZO65" s="137"/>
      <c r="UZP65" s="137"/>
      <c r="UZQ65" s="137"/>
      <c r="UZR65" s="137"/>
      <c r="UZS65" s="137"/>
      <c r="UZT65" s="137"/>
      <c r="UZU65" s="137"/>
      <c r="UZV65" s="137"/>
      <c r="UZW65" s="137"/>
      <c r="UZX65" s="137"/>
      <c r="UZY65" s="137"/>
      <c r="UZZ65" s="137"/>
      <c r="VAA65" s="137"/>
      <c r="VAB65" s="137"/>
      <c r="VAC65" s="137"/>
      <c r="VAD65" s="137"/>
      <c r="VAE65" s="137"/>
      <c r="VAF65" s="137"/>
      <c r="VAG65" s="137"/>
      <c r="VAH65" s="137"/>
      <c r="VAI65" s="137"/>
      <c r="VAJ65" s="137"/>
      <c r="VAK65" s="137"/>
      <c r="VAL65" s="137"/>
      <c r="VAM65" s="137"/>
      <c r="VAN65" s="137"/>
      <c r="VAO65" s="137"/>
      <c r="VAP65" s="137"/>
      <c r="VAQ65" s="137"/>
      <c r="VAR65" s="137"/>
      <c r="VAS65" s="137"/>
      <c r="VAT65" s="137"/>
      <c r="VAU65" s="137"/>
      <c r="VAV65" s="137"/>
      <c r="VAW65" s="137"/>
      <c r="VAX65" s="137"/>
      <c r="VAY65" s="137"/>
      <c r="VAZ65" s="137"/>
      <c r="VBA65" s="137"/>
      <c r="VBB65" s="137"/>
      <c r="VBC65" s="137"/>
      <c r="VBD65" s="137"/>
      <c r="VBE65" s="137"/>
      <c r="VBF65" s="137"/>
      <c r="VBG65" s="137"/>
      <c r="VBH65" s="137"/>
      <c r="VBI65" s="137"/>
      <c r="VBJ65" s="137"/>
      <c r="VBK65" s="137"/>
      <c r="VBL65" s="137"/>
      <c r="VBM65" s="137"/>
      <c r="VBN65" s="137"/>
      <c r="VBO65" s="137"/>
      <c r="VBP65" s="137"/>
      <c r="VBQ65" s="137"/>
      <c r="VBR65" s="137"/>
      <c r="VBS65" s="137"/>
      <c r="VBT65" s="137"/>
      <c r="VBU65" s="137"/>
      <c r="VBV65" s="137"/>
      <c r="VBW65" s="137"/>
      <c r="VBX65" s="137"/>
      <c r="VBY65" s="137"/>
      <c r="VBZ65" s="137"/>
      <c r="VCA65" s="137"/>
      <c r="VCB65" s="137"/>
      <c r="VCC65" s="137"/>
      <c r="VCD65" s="137"/>
      <c r="VCE65" s="137"/>
      <c r="VCF65" s="137"/>
      <c r="VCG65" s="137"/>
      <c r="VCH65" s="137"/>
      <c r="VCI65" s="137"/>
      <c r="VCJ65" s="137"/>
      <c r="VCK65" s="137"/>
      <c r="VCL65" s="137"/>
      <c r="VCM65" s="137"/>
      <c r="VCN65" s="137"/>
      <c r="VCO65" s="137"/>
      <c r="VCP65" s="137"/>
      <c r="VCQ65" s="137"/>
      <c r="VCR65" s="137"/>
      <c r="VCS65" s="137"/>
      <c r="VCT65" s="137"/>
      <c r="VCU65" s="137"/>
      <c r="VCV65" s="137"/>
      <c r="VCW65" s="137"/>
      <c r="VCX65" s="137"/>
      <c r="VCY65" s="137"/>
      <c r="VCZ65" s="137"/>
      <c r="VDA65" s="137"/>
      <c r="VDB65" s="137"/>
      <c r="VDC65" s="137"/>
      <c r="VDD65" s="137"/>
      <c r="VDE65" s="137"/>
      <c r="VDF65" s="137"/>
      <c r="VDG65" s="137"/>
      <c r="VDH65" s="137"/>
      <c r="VDI65" s="137"/>
      <c r="VDJ65" s="137"/>
      <c r="VDK65" s="137"/>
      <c r="VDL65" s="137"/>
      <c r="VDM65" s="137"/>
      <c r="VDN65" s="137"/>
      <c r="VDO65" s="137"/>
      <c r="VDP65" s="137"/>
      <c r="VDQ65" s="137"/>
      <c r="VDR65" s="137"/>
      <c r="VDS65" s="137"/>
      <c r="VDT65" s="137"/>
      <c r="VDU65" s="137"/>
      <c r="VDV65" s="137"/>
      <c r="VDW65" s="137"/>
      <c r="VDX65" s="137"/>
      <c r="VDY65" s="137"/>
      <c r="VDZ65" s="137"/>
      <c r="VEA65" s="137"/>
      <c r="VEB65" s="137"/>
      <c r="VEC65" s="137"/>
      <c r="VED65" s="137"/>
      <c r="VEE65" s="137"/>
      <c r="VEF65" s="137"/>
      <c r="VEG65" s="137"/>
      <c r="VEH65" s="137"/>
      <c r="VEI65" s="137"/>
      <c r="VEJ65" s="137"/>
      <c r="VEK65" s="137"/>
      <c r="VEL65" s="137"/>
      <c r="VEM65" s="137"/>
      <c r="VEN65" s="137"/>
      <c r="VEO65" s="137"/>
      <c r="VEP65" s="137"/>
      <c r="VEQ65" s="137"/>
      <c r="VER65" s="137"/>
      <c r="VES65" s="137"/>
      <c r="VET65" s="137"/>
      <c r="VEU65" s="137"/>
      <c r="VEV65" s="137"/>
      <c r="VEW65" s="137"/>
      <c r="VEX65" s="137"/>
      <c r="VEY65" s="137"/>
      <c r="VEZ65" s="137"/>
      <c r="VFA65" s="137"/>
      <c r="VFB65" s="137"/>
      <c r="VFC65" s="137"/>
      <c r="VFD65" s="137"/>
      <c r="VFE65" s="137"/>
      <c r="VFF65" s="137"/>
      <c r="VFG65" s="137"/>
      <c r="VFH65" s="137"/>
      <c r="VFI65" s="137"/>
      <c r="VFJ65" s="137"/>
      <c r="VFK65" s="137"/>
      <c r="VFL65" s="137"/>
      <c r="VFM65" s="137"/>
      <c r="VFN65" s="137"/>
      <c r="VFO65" s="137"/>
      <c r="VFP65" s="137"/>
      <c r="VFQ65" s="137"/>
      <c r="VFR65" s="137"/>
      <c r="VFS65" s="137"/>
      <c r="VFT65" s="137"/>
      <c r="VFU65" s="137"/>
      <c r="VFV65" s="137"/>
      <c r="VFW65" s="137"/>
      <c r="VFX65" s="137"/>
      <c r="VFY65" s="137"/>
      <c r="VFZ65" s="137"/>
      <c r="VGA65" s="137"/>
      <c r="VGB65" s="137"/>
      <c r="VGC65" s="137"/>
      <c r="VGD65" s="137"/>
      <c r="VGE65" s="137"/>
      <c r="VGF65" s="137"/>
      <c r="VGG65" s="137"/>
      <c r="VGH65" s="137"/>
      <c r="VGI65" s="137"/>
      <c r="VGJ65" s="137"/>
      <c r="VGK65" s="137"/>
      <c r="VGL65" s="137"/>
      <c r="VGM65" s="137"/>
      <c r="VGN65" s="137"/>
      <c r="VGO65" s="137"/>
      <c r="VGP65" s="137"/>
      <c r="VGQ65" s="137"/>
      <c r="VGR65" s="137"/>
      <c r="VGS65" s="137"/>
      <c r="VGT65" s="137"/>
      <c r="VGU65" s="137"/>
      <c r="VGV65" s="137"/>
      <c r="VGW65" s="137"/>
      <c r="VGX65" s="137"/>
      <c r="VGY65" s="137"/>
      <c r="VGZ65" s="137"/>
      <c r="VHA65" s="137"/>
      <c r="VHB65" s="137"/>
      <c r="VHC65" s="137"/>
      <c r="VHD65" s="137"/>
      <c r="VHE65" s="137"/>
      <c r="VHF65" s="137"/>
      <c r="VHG65" s="137"/>
      <c r="VHH65" s="137"/>
      <c r="VHI65" s="137"/>
      <c r="VHJ65" s="137"/>
      <c r="VHK65" s="137"/>
      <c r="VHL65" s="137"/>
      <c r="VHM65" s="137"/>
      <c r="VHN65" s="137"/>
      <c r="VHO65" s="137"/>
      <c r="VHP65" s="137"/>
      <c r="VHQ65" s="137"/>
      <c r="VHR65" s="137"/>
      <c r="VHS65" s="137"/>
      <c r="VHT65" s="137"/>
      <c r="VHU65" s="137"/>
      <c r="VHV65" s="137"/>
      <c r="VHW65" s="137"/>
      <c r="VHX65" s="137"/>
      <c r="VHY65" s="137"/>
      <c r="VHZ65" s="137"/>
      <c r="VIA65" s="137"/>
      <c r="VIB65" s="137"/>
      <c r="VIC65" s="137"/>
      <c r="VID65" s="137"/>
      <c r="VIE65" s="137"/>
      <c r="VIF65" s="137"/>
      <c r="VIG65" s="137"/>
      <c r="VIH65" s="137"/>
      <c r="VII65" s="137"/>
      <c r="VIJ65" s="137"/>
      <c r="VIK65" s="137"/>
      <c r="VIL65" s="137"/>
      <c r="VIM65" s="137"/>
      <c r="VIN65" s="137"/>
      <c r="VIO65" s="137"/>
      <c r="VIP65" s="137"/>
      <c r="VIQ65" s="137"/>
      <c r="VIR65" s="137"/>
      <c r="VIS65" s="137"/>
      <c r="VIT65" s="137"/>
      <c r="VIU65" s="137"/>
      <c r="VIV65" s="137"/>
      <c r="VIW65" s="137"/>
      <c r="VIX65" s="137"/>
      <c r="VIY65" s="137"/>
      <c r="VIZ65" s="137"/>
      <c r="VJA65" s="137"/>
      <c r="VJB65" s="137"/>
      <c r="VJC65" s="137"/>
      <c r="VJD65" s="137"/>
      <c r="VJE65" s="137"/>
      <c r="VJF65" s="137"/>
      <c r="VJG65" s="137"/>
      <c r="VJH65" s="137"/>
      <c r="VJI65" s="137"/>
      <c r="VJJ65" s="137"/>
      <c r="VJK65" s="137"/>
      <c r="VJL65" s="137"/>
      <c r="VJM65" s="137"/>
      <c r="VJN65" s="137"/>
      <c r="VJO65" s="137"/>
      <c r="VJP65" s="137"/>
      <c r="VJQ65" s="137"/>
      <c r="VJR65" s="137"/>
      <c r="VJS65" s="137"/>
      <c r="VJT65" s="137"/>
      <c r="VJU65" s="137"/>
      <c r="VJV65" s="137"/>
      <c r="VJW65" s="137"/>
      <c r="VJX65" s="137"/>
      <c r="VJY65" s="137"/>
      <c r="VJZ65" s="137"/>
      <c r="VKA65" s="137"/>
      <c r="VKB65" s="137"/>
      <c r="VKC65" s="137"/>
      <c r="VKD65" s="137"/>
      <c r="VKE65" s="137"/>
      <c r="VKF65" s="137"/>
      <c r="VKG65" s="137"/>
      <c r="VKH65" s="137"/>
      <c r="VKI65" s="137"/>
      <c r="VKJ65" s="137"/>
      <c r="VKK65" s="137"/>
      <c r="VKL65" s="137"/>
      <c r="VKM65" s="137"/>
      <c r="VKN65" s="137"/>
      <c r="VKO65" s="137"/>
      <c r="VKP65" s="137"/>
      <c r="VKQ65" s="137"/>
      <c r="VKR65" s="137"/>
      <c r="VKS65" s="137"/>
      <c r="VKT65" s="137"/>
      <c r="VKU65" s="137"/>
      <c r="VKV65" s="137"/>
      <c r="VKW65" s="137"/>
      <c r="VKX65" s="137"/>
      <c r="VKY65" s="137"/>
      <c r="VKZ65" s="137"/>
      <c r="VLA65" s="137"/>
      <c r="VLB65" s="137"/>
      <c r="VLC65" s="137"/>
      <c r="VLD65" s="137"/>
      <c r="VLE65" s="137"/>
      <c r="VLF65" s="137"/>
      <c r="VLG65" s="137"/>
      <c r="VLH65" s="137"/>
      <c r="VLI65" s="137"/>
      <c r="VLJ65" s="137"/>
      <c r="VLK65" s="137"/>
      <c r="VLL65" s="137"/>
      <c r="VLM65" s="137"/>
      <c r="VLN65" s="137"/>
      <c r="VLO65" s="137"/>
      <c r="VLP65" s="137"/>
      <c r="VLQ65" s="137"/>
      <c r="VLR65" s="137"/>
      <c r="VLS65" s="137"/>
      <c r="VLT65" s="137"/>
      <c r="VLU65" s="137"/>
      <c r="VLV65" s="137"/>
      <c r="VLW65" s="137"/>
      <c r="VLX65" s="137"/>
      <c r="VLY65" s="137"/>
      <c r="VLZ65" s="137"/>
      <c r="VMA65" s="137"/>
      <c r="VMB65" s="137"/>
      <c r="VMC65" s="137"/>
      <c r="VMD65" s="137"/>
      <c r="VME65" s="137"/>
      <c r="VMF65" s="137"/>
      <c r="VMG65" s="137"/>
      <c r="VMH65" s="137"/>
      <c r="VMI65" s="137"/>
      <c r="VMJ65" s="137"/>
      <c r="VMK65" s="137"/>
      <c r="VML65" s="137"/>
      <c r="VMM65" s="137"/>
      <c r="VMN65" s="137"/>
      <c r="VMO65" s="137"/>
      <c r="VMP65" s="137"/>
      <c r="VMQ65" s="137"/>
      <c r="VMR65" s="137"/>
      <c r="VMS65" s="137"/>
      <c r="VMT65" s="137"/>
      <c r="VMU65" s="137"/>
      <c r="VMV65" s="137"/>
      <c r="VMW65" s="137"/>
      <c r="VMX65" s="137"/>
      <c r="VMY65" s="137"/>
      <c r="VMZ65" s="137"/>
      <c r="VNA65" s="137"/>
      <c r="VNB65" s="137"/>
      <c r="VNC65" s="137"/>
      <c r="VND65" s="137"/>
      <c r="VNE65" s="137"/>
      <c r="VNF65" s="137"/>
      <c r="VNG65" s="137"/>
      <c r="VNH65" s="137"/>
      <c r="VNI65" s="137"/>
      <c r="VNJ65" s="137"/>
      <c r="VNK65" s="137"/>
      <c r="VNL65" s="137"/>
      <c r="VNM65" s="137"/>
      <c r="VNN65" s="137"/>
      <c r="VNO65" s="137"/>
      <c r="VNP65" s="137"/>
      <c r="VNQ65" s="137"/>
      <c r="VNR65" s="137"/>
      <c r="VNS65" s="137"/>
      <c r="VNT65" s="137"/>
      <c r="VNU65" s="137"/>
      <c r="VNV65" s="137"/>
      <c r="VNW65" s="137"/>
      <c r="VNX65" s="137"/>
      <c r="VNY65" s="137"/>
      <c r="VNZ65" s="137"/>
      <c r="VOA65" s="137"/>
      <c r="VOB65" s="137"/>
      <c r="VOC65" s="137"/>
      <c r="VOD65" s="137"/>
      <c r="VOE65" s="137"/>
      <c r="VOF65" s="137"/>
      <c r="VOG65" s="137"/>
      <c r="VOH65" s="137"/>
      <c r="VOI65" s="137"/>
      <c r="VOJ65" s="137"/>
      <c r="VOK65" s="137"/>
      <c r="VOL65" s="137"/>
      <c r="VOM65" s="137"/>
      <c r="VON65" s="137"/>
      <c r="VOO65" s="137"/>
      <c r="VOP65" s="137"/>
      <c r="VOQ65" s="137"/>
      <c r="VOR65" s="137"/>
      <c r="VOS65" s="137"/>
      <c r="VOT65" s="137"/>
      <c r="VOU65" s="137"/>
      <c r="VOV65" s="137"/>
      <c r="VOW65" s="137"/>
      <c r="VOX65" s="137"/>
      <c r="VOY65" s="137"/>
      <c r="VOZ65" s="137"/>
      <c r="VPA65" s="137"/>
      <c r="VPB65" s="137"/>
      <c r="VPC65" s="137"/>
      <c r="VPD65" s="137"/>
      <c r="VPE65" s="137"/>
      <c r="VPF65" s="137"/>
      <c r="VPG65" s="137"/>
      <c r="VPH65" s="137"/>
      <c r="VPI65" s="137"/>
      <c r="VPJ65" s="137"/>
      <c r="VPK65" s="137"/>
      <c r="VPL65" s="137"/>
      <c r="VPM65" s="137"/>
      <c r="VPN65" s="137"/>
      <c r="VPO65" s="137"/>
      <c r="VPP65" s="137"/>
      <c r="VPQ65" s="137"/>
      <c r="VPR65" s="137"/>
      <c r="VPS65" s="137"/>
      <c r="VPT65" s="137"/>
      <c r="VPU65" s="137"/>
      <c r="VPV65" s="137"/>
      <c r="VPW65" s="137"/>
      <c r="VPX65" s="137"/>
      <c r="VPY65" s="137"/>
      <c r="VPZ65" s="137"/>
      <c r="VQA65" s="137"/>
      <c r="VQB65" s="137"/>
      <c r="VQC65" s="137"/>
      <c r="VQD65" s="137"/>
      <c r="VQE65" s="137"/>
      <c r="VQF65" s="137"/>
      <c r="VQG65" s="137"/>
      <c r="VQH65" s="137"/>
      <c r="VQI65" s="137"/>
      <c r="VQJ65" s="137"/>
      <c r="VQK65" s="137"/>
      <c r="VQL65" s="137"/>
      <c r="VQM65" s="137"/>
      <c r="VQN65" s="137"/>
      <c r="VQO65" s="137"/>
      <c r="VQP65" s="137"/>
      <c r="VQQ65" s="137"/>
      <c r="VQR65" s="137"/>
      <c r="VQS65" s="137"/>
      <c r="VQT65" s="137"/>
      <c r="VQU65" s="137"/>
      <c r="VQV65" s="137"/>
      <c r="VQW65" s="137"/>
      <c r="VQX65" s="137"/>
      <c r="VQY65" s="137"/>
      <c r="VQZ65" s="137"/>
      <c r="VRA65" s="137"/>
      <c r="VRB65" s="137"/>
      <c r="VRC65" s="137"/>
      <c r="VRD65" s="137"/>
      <c r="VRE65" s="137"/>
      <c r="VRF65" s="137"/>
      <c r="VRG65" s="137"/>
      <c r="VRH65" s="137"/>
      <c r="VRI65" s="137"/>
      <c r="VRJ65" s="137"/>
      <c r="VRK65" s="137"/>
      <c r="VRL65" s="137"/>
      <c r="VRM65" s="137"/>
      <c r="VRN65" s="137"/>
      <c r="VRO65" s="137"/>
      <c r="VRP65" s="137"/>
      <c r="VRQ65" s="137"/>
      <c r="VRR65" s="137"/>
      <c r="VRS65" s="137"/>
      <c r="VRT65" s="137"/>
      <c r="VRU65" s="137"/>
      <c r="VRV65" s="137"/>
      <c r="VRW65" s="137"/>
      <c r="VRX65" s="137"/>
      <c r="VRY65" s="137"/>
      <c r="VRZ65" s="137"/>
      <c r="VSA65" s="137"/>
      <c r="VSB65" s="137"/>
      <c r="VSC65" s="137"/>
      <c r="VSD65" s="137"/>
      <c r="VSE65" s="137"/>
      <c r="VSF65" s="137"/>
      <c r="VSG65" s="137"/>
      <c r="VSH65" s="137"/>
      <c r="VSI65" s="137"/>
      <c r="VSJ65" s="137"/>
      <c r="VSK65" s="137"/>
      <c r="VSL65" s="137"/>
      <c r="VSM65" s="137"/>
      <c r="VSN65" s="137"/>
      <c r="VSO65" s="137"/>
      <c r="VSP65" s="137"/>
      <c r="VSQ65" s="137"/>
      <c r="VSR65" s="137"/>
      <c r="VSS65" s="137"/>
      <c r="VST65" s="137"/>
      <c r="VSU65" s="137"/>
      <c r="VSV65" s="137"/>
      <c r="VSW65" s="137"/>
      <c r="VSX65" s="137"/>
      <c r="VSY65" s="137"/>
      <c r="VSZ65" s="137"/>
      <c r="VTA65" s="137"/>
      <c r="VTB65" s="137"/>
      <c r="VTC65" s="137"/>
      <c r="VTD65" s="137"/>
      <c r="VTE65" s="137"/>
      <c r="VTF65" s="137"/>
      <c r="VTG65" s="137"/>
      <c r="VTH65" s="137"/>
      <c r="VTI65" s="137"/>
      <c r="VTJ65" s="137"/>
      <c r="VTK65" s="137"/>
      <c r="VTL65" s="137"/>
      <c r="VTM65" s="137"/>
      <c r="VTN65" s="137"/>
      <c r="VTO65" s="137"/>
      <c r="VTP65" s="137"/>
      <c r="VTQ65" s="137"/>
      <c r="VTR65" s="137"/>
      <c r="VTS65" s="137"/>
      <c r="VTT65" s="137"/>
      <c r="VTU65" s="137"/>
      <c r="VTV65" s="137"/>
      <c r="VTW65" s="137"/>
      <c r="VTX65" s="137"/>
      <c r="VTY65" s="137"/>
      <c r="VTZ65" s="137"/>
      <c r="VUA65" s="137"/>
      <c r="VUB65" s="137"/>
      <c r="VUC65" s="137"/>
      <c r="VUD65" s="137"/>
      <c r="VUE65" s="137"/>
      <c r="VUF65" s="137"/>
      <c r="VUG65" s="137"/>
      <c r="VUH65" s="137"/>
      <c r="VUI65" s="137"/>
      <c r="VUJ65" s="137"/>
      <c r="VUK65" s="137"/>
      <c r="VUL65" s="137"/>
      <c r="VUM65" s="137"/>
      <c r="VUN65" s="137"/>
      <c r="VUO65" s="137"/>
      <c r="VUP65" s="137"/>
      <c r="VUQ65" s="137"/>
      <c r="VUR65" s="137"/>
      <c r="VUS65" s="137"/>
      <c r="VUT65" s="137"/>
      <c r="VUU65" s="137"/>
      <c r="VUV65" s="137"/>
      <c r="VUW65" s="137"/>
      <c r="VUX65" s="137"/>
      <c r="VUY65" s="137"/>
      <c r="VUZ65" s="137"/>
      <c r="VVA65" s="137"/>
      <c r="VVB65" s="137"/>
      <c r="VVC65" s="137"/>
      <c r="VVD65" s="137"/>
      <c r="VVE65" s="137"/>
      <c r="VVF65" s="137"/>
      <c r="VVG65" s="137"/>
      <c r="VVH65" s="137"/>
      <c r="VVI65" s="137"/>
      <c r="VVJ65" s="137"/>
      <c r="VVK65" s="137"/>
      <c r="VVL65" s="137"/>
      <c r="VVM65" s="137"/>
      <c r="VVN65" s="137"/>
      <c r="VVO65" s="137"/>
      <c r="VVP65" s="137"/>
      <c r="VVQ65" s="137"/>
      <c r="VVR65" s="137"/>
      <c r="VVS65" s="137"/>
      <c r="VVT65" s="137"/>
      <c r="VVU65" s="137"/>
      <c r="VVV65" s="137"/>
      <c r="VVW65" s="137"/>
      <c r="VVX65" s="137"/>
      <c r="VVY65" s="137"/>
      <c r="VVZ65" s="137"/>
      <c r="VWA65" s="137"/>
      <c r="VWB65" s="137"/>
      <c r="VWC65" s="137"/>
      <c r="VWD65" s="137"/>
      <c r="VWE65" s="137"/>
      <c r="VWF65" s="137"/>
      <c r="VWG65" s="137"/>
      <c r="VWH65" s="137"/>
      <c r="VWI65" s="137"/>
      <c r="VWJ65" s="137"/>
      <c r="VWK65" s="137"/>
      <c r="VWL65" s="137"/>
      <c r="VWM65" s="137"/>
      <c r="VWN65" s="137"/>
      <c r="VWO65" s="137"/>
      <c r="VWP65" s="137"/>
      <c r="VWQ65" s="137"/>
      <c r="VWR65" s="137"/>
      <c r="VWS65" s="137"/>
      <c r="VWT65" s="137"/>
      <c r="VWU65" s="137"/>
      <c r="VWV65" s="137"/>
      <c r="VWW65" s="137"/>
      <c r="VWX65" s="137"/>
      <c r="VWY65" s="137"/>
      <c r="VWZ65" s="137"/>
      <c r="VXA65" s="137"/>
      <c r="VXB65" s="137"/>
      <c r="VXC65" s="137"/>
      <c r="VXD65" s="137"/>
      <c r="VXE65" s="137"/>
      <c r="VXF65" s="137"/>
      <c r="VXG65" s="137"/>
      <c r="VXH65" s="137"/>
      <c r="VXI65" s="137"/>
      <c r="VXJ65" s="137"/>
      <c r="VXK65" s="137"/>
      <c r="VXL65" s="137"/>
      <c r="VXM65" s="137"/>
      <c r="VXN65" s="137"/>
      <c r="VXO65" s="137"/>
      <c r="VXP65" s="137"/>
      <c r="VXQ65" s="137"/>
      <c r="VXR65" s="137"/>
      <c r="VXS65" s="137"/>
      <c r="VXT65" s="137"/>
      <c r="VXU65" s="137"/>
      <c r="VXV65" s="137"/>
      <c r="VXW65" s="137"/>
      <c r="VXX65" s="137"/>
      <c r="VXY65" s="137"/>
      <c r="VXZ65" s="137"/>
      <c r="VYA65" s="137"/>
      <c r="VYB65" s="137"/>
      <c r="VYC65" s="137"/>
      <c r="VYD65" s="137"/>
      <c r="VYE65" s="137"/>
      <c r="VYF65" s="137"/>
      <c r="VYG65" s="137"/>
      <c r="VYH65" s="137"/>
      <c r="VYI65" s="137"/>
      <c r="VYJ65" s="137"/>
      <c r="VYK65" s="137"/>
      <c r="VYL65" s="137"/>
      <c r="VYM65" s="137"/>
      <c r="VYN65" s="137"/>
      <c r="VYO65" s="137"/>
      <c r="VYP65" s="137"/>
      <c r="VYQ65" s="137"/>
      <c r="VYR65" s="137"/>
      <c r="VYS65" s="137"/>
      <c r="VYT65" s="137"/>
      <c r="VYU65" s="137"/>
      <c r="VYV65" s="137"/>
      <c r="VYW65" s="137"/>
      <c r="VYX65" s="137"/>
      <c r="VYY65" s="137"/>
      <c r="VYZ65" s="137"/>
      <c r="VZA65" s="137"/>
      <c r="VZB65" s="137"/>
      <c r="VZC65" s="137"/>
      <c r="VZD65" s="137"/>
      <c r="VZE65" s="137"/>
      <c r="VZF65" s="137"/>
      <c r="VZG65" s="137"/>
      <c r="VZH65" s="137"/>
      <c r="VZI65" s="137"/>
      <c r="VZJ65" s="137"/>
      <c r="VZK65" s="137"/>
      <c r="VZL65" s="137"/>
      <c r="VZM65" s="137"/>
      <c r="VZN65" s="137"/>
      <c r="VZO65" s="137"/>
      <c r="VZP65" s="137"/>
      <c r="VZQ65" s="137"/>
      <c r="VZR65" s="137"/>
      <c r="VZS65" s="137"/>
      <c r="VZT65" s="137"/>
      <c r="VZU65" s="137"/>
      <c r="VZV65" s="137"/>
      <c r="VZW65" s="137"/>
      <c r="VZX65" s="137"/>
      <c r="VZY65" s="137"/>
      <c r="VZZ65" s="137"/>
      <c r="WAA65" s="137"/>
      <c r="WAB65" s="137"/>
      <c r="WAC65" s="137"/>
      <c r="WAD65" s="137"/>
      <c r="WAE65" s="137"/>
      <c r="WAF65" s="137"/>
      <c r="WAG65" s="137"/>
      <c r="WAH65" s="137"/>
      <c r="WAI65" s="137"/>
      <c r="WAJ65" s="137"/>
      <c r="WAK65" s="137"/>
      <c r="WAL65" s="137"/>
      <c r="WAM65" s="137"/>
      <c r="WAN65" s="137"/>
      <c r="WAO65" s="137"/>
      <c r="WAP65" s="137"/>
      <c r="WAQ65" s="137"/>
      <c r="WAR65" s="137"/>
      <c r="WAS65" s="137"/>
      <c r="WAT65" s="137"/>
      <c r="WAU65" s="137"/>
      <c r="WAV65" s="137"/>
      <c r="WAW65" s="137"/>
      <c r="WAX65" s="137"/>
      <c r="WAY65" s="137"/>
      <c r="WAZ65" s="137"/>
      <c r="WBA65" s="137"/>
      <c r="WBB65" s="137"/>
      <c r="WBC65" s="137"/>
      <c r="WBD65" s="137"/>
      <c r="WBE65" s="137"/>
      <c r="WBF65" s="137"/>
      <c r="WBG65" s="137"/>
      <c r="WBH65" s="137"/>
      <c r="WBI65" s="137"/>
      <c r="WBJ65" s="137"/>
      <c r="WBK65" s="137"/>
      <c r="WBL65" s="137"/>
      <c r="WBM65" s="137"/>
      <c r="WBN65" s="137"/>
      <c r="WBO65" s="137"/>
      <c r="WBP65" s="137"/>
      <c r="WBQ65" s="137"/>
      <c r="WBR65" s="137"/>
      <c r="WBS65" s="137"/>
      <c r="WBT65" s="137"/>
      <c r="WBU65" s="137"/>
      <c r="WBV65" s="137"/>
      <c r="WBW65" s="137"/>
      <c r="WBX65" s="137"/>
      <c r="WBY65" s="137"/>
      <c r="WBZ65" s="137"/>
      <c r="WCA65" s="137"/>
      <c r="WCB65" s="137"/>
      <c r="WCC65" s="137"/>
      <c r="WCD65" s="137"/>
      <c r="WCE65" s="137"/>
      <c r="WCF65" s="137"/>
      <c r="WCG65" s="137"/>
      <c r="WCH65" s="137"/>
      <c r="WCI65" s="137"/>
      <c r="WCJ65" s="137"/>
      <c r="WCK65" s="137"/>
      <c r="WCL65" s="137"/>
      <c r="WCM65" s="137"/>
      <c r="WCN65" s="137"/>
      <c r="WCO65" s="137"/>
      <c r="WCP65" s="137"/>
      <c r="WCQ65" s="137"/>
      <c r="WCR65" s="137"/>
      <c r="WCS65" s="137"/>
      <c r="WCT65" s="137"/>
      <c r="WCU65" s="137"/>
      <c r="WCV65" s="137"/>
      <c r="WCW65" s="137"/>
      <c r="WCX65" s="137"/>
      <c r="WCY65" s="137"/>
      <c r="WCZ65" s="137"/>
      <c r="WDA65" s="137"/>
      <c r="WDB65" s="137"/>
      <c r="WDC65" s="137"/>
      <c r="WDD65" s="137"/>
      <c r="WDE65" s="137"/>
      <c r="WDF65" s="137"/>
      <c r="WDG65" s="137"/>
      <c r="WDH65" s="137"/>
      <c r="WDI65" s="137"/>
      <c r="WDJ65" s="137"/>
      <c r="WDK65" s="137"/>
      <c r="WDL65" s="137"/>
      <c r="WDM65" s="137"/>
      <c r="WDN65" s="137"/>
      <c r="WDO65" s="137"/>
      <c r="WDP65" s="137"/>
      <c r="WDQ65" s="137"/>
      <c r="WDR65" s="137"/>
      <c r="WDS65" s="137"/>
      <c r="WDT65" s="137"/>
      <c r="WDU65" s="137"/>
      <c r="WDV65" s="137"/>
      <c r="WDW65" s="137"/>
      <c r="WDX65" s="137"/>
      <c r="WDY65" s="137"/>
      <c r="WDZ65" s="137"/>
      <c r="WEA65" s="137"/>
      <c r="WEB65" s="137"/>
      <c r="WEC65" s="137"/>
      <c r="WED65" s="137"/>
      <c r="WEE65" s="137"/>
      <c r="WEF65" s="137"/>
      <c r="WEG65" s="137"/>
      <c r="WEH65" s="137"/>
      <c r="WEI65" s="137"/>
      <c r="WEJ65" s="137"/>
      <c r="WEK65" s="137"/>
      <c r="WEL65" s="137"/>
      <c r="WEM65" s="137"/>
      <c r="WEN65" s="137"/>
      <c r="WEO65" s="137"/>
      <c r="WEP65" s="137"/>
      <c r="WEQ65" s="137"/>
      <c r="WER65" s="137"/>
      <c r="WES65" s="137"/>
      <c r="WET65" s="137"/>
      <c r="WEU65" s="137"/>
      <c r="WEV65" s="137"/>
      <c r="WEW65" s="137"/>
      <c r="WEX65" s="137"/>
      <c r="WEY65" s="137"/>
      <c r="WEZ65" s="137"/>
      <c r="WFA65" s="137"/>
      <c r="WFB65" s="137"/>
      <c r="WFC65" s="137"/>
      <c r="WFD65" s="137"/>
      <c r="WFE65" s="137"/>
      <c r="WFF65" s="137"/>
      <c r="WFG65" s="137"/>
      <c r="WFH65" s="137"/>
      <c r="WFI65" s="137"/>
      <c r="WFJ65" s="137"/>
      <c r="WFK65" s="137"/>
      <c r="WFL65" s="137"/>
      <c r="WFM65" s="137"/>
      <c r="WFN65" s="137"/>
      <c r="WFO65" s="137"/>
      <c r="WFP65" s="137"/>
      <c r="WFQ65" s="137"/>
      <c r="WFR65" s="137"/>
      <c r="WFS65" s="137"/>
      <c r="WFT65" s="137"/>
      <c r="WFU65" s="137"/>
      <c r="WFV65" s="137"/>
      <c r="WFW65" s="137"/>
      <c r="WFX65" s="137"/>
      <c r="WFY65" s="137"/>
      <c r="WFZ65" s="137"/>
      <c r="WGA65" s="137"/>
      <c r="WGB65" s="137"/>
      <c r="WGC65" s="137"/>
      <c r="WGD65" s="137"/>
      <c r="WGE65" s="137"/>
      <c r="WGF65" s="137"/>
      <c r="WGG65" s="137"/>
      <c r="WGH65" s="137"/>
      <c r="WGI65" s="137"/>
      <c r="WGJ65" s="137"/>
      <c r="WGK65" s="137"/>
      <c r="WGL65" s="137"/>
      <c r="WGM65" s="137"/>
      <c r="WGN65" s="137"/>
      <c r="WGO65" s="137"/>
      <c r="WGP65" s="137"/>
      <c r="WGQ65" s="137"/>
      <c r="WGR65" s="137"/>
      <c r="WGS65" s="137"/>
      <c r="WGT65" s="137"/>
      <c r="WGU65" s="137"/>
      <c r="WGV65" s="137"/>
      <c r="WGW65" s="137"/>
      <c r="WGX65" s="137"/>
      <c r="WGY65" s="137"/>
      <c r="WGZ65" s="137"/>
      <c r="WHA65" s="137"/>
      <c r="WHB65" s="137"/>
      <c r="WHC65" s="137"/>
      <c r="WHD65" s="137"/>
      <c r="WHE65" s="137"/>
      <c r="WHF65" s="137"/>
      <c r="WHG65" s="137"/>
      <c r="WHH65" s="137"/>
      <c r="WHI65" s="137"/>
      <c r="WHJ65" s="137"/>
      <c r="WHK65" s="137"/>
      <c r="WHL65" s="137"/>
      <c r="WHM65" s="137"/>
      <c r="WHN65" s="137"/>
      <c r="WHO65" s="137"/>
      <c r="WHP65" s="137"/>
      <c r="WHQ65" s="137"/>
      <c r="WHR65" s="137"/>
      <c r="WHS65" s="137"/>
      <c r="WHT65" s="137"/>
      <c r="WHU65" s="137"/>
      <c r="WHV65" s="137"/>
      <c r="WHW65" s="137"/>
      <c r="WHX65" s="137"/>
      <c r="WHY65" s="137"/>
      <c r="WHZ65" s="137"/>
      <c r="WIA65" s="137"/>
      <c r="WIB65" s="137"/>
      <c r="WIC65" s="137"/>
      <c r="WID65" s="137"/>
      <c r="WIE65" s="137"/>
      <c r="WIF65" s="137"/>
      <c r="WIG65" s="137"/>
      <c r="WIH65" s="137"/>
      <c r="WII65" s="137"/>
      <c r="WIJ65" s="137"/>
      <c r="WIK65" s="137"/>
      <c r="WIL65" s="137"/>
      <c r="WIM65" s="137"/>
      <c r="WIN65" s="137"/>
      <c r="WIO65" s="137"/>
      <c r="WIP65" s="137"/>
      <c r="WIQ65" s="137"/>
      <c r="WIR65" s="137"/>
      <c r="WIS65" s="137"/>
      <c r="WIT65" s="137"/>
      <c r="WIU65" s="137"/>
      <c r="WIV65" s="137"/>
      <c r="WIW65" s="137"/>
      <c r="WIX65" s="137"/>
      <c r="WIY65" s="137"/>
      <c r="WIZ65" s="137"/>
      <c r="WJA65" s="137"/>
      <c r="WJB65" s="137"/>
      <c r="WJC65" s="137"/>
      <c r="WJD65" s="137"/>
      <c r="WJE65" s="137"/>
      <c r="WJF65" s="137"/>
      <c r="WJG65" s="137"/>
      <c r="WJH65" s="137"/>
      <c r="WJI65" s="137"/>
      <c r="WJJ65" s="137"/>
      <c r="WJK65" s="137"/>
      <c r="WJL65" s="137"/>
      <c r="WJM65" s="137"/>
      <c r="WJN65" s="137"/>
      <c r="WJO65" s="137"/>
      <c r="WJP65" s="137"/>
      <c r="WJQ65" s="137"/>
      <c r="WJR65" s="137"/>
      <c r="WJS65" s="137"/>
      <c r="WJT65" s="137"/>
      <c r="WJU65" s="137"/>
      <c r="WJV65" s="137"/>
      <c r="WJW65" s="137"/>
      <c r="WJX65" s="137"/>
      <c r="WJY65" s="137"/>
      <c r="WJZ65" s="137"/>
      <c r="WKA65" s="137"/>
      <c r="WKB65" s="137"/>
      <c r="WKC65" s="137"/>
      <c r="WKD65" s="137"/>
      <c r="WKE65" s="137"/>
      <c r="WKF65" s="137"/>
      <c r="WKG65" s="137"/>
      <c r="WKH65" s="137"/>
      <c r="WKI65" s="137"/>
      <c r="WKJ65" s="137"/>
      <c r="WKK65" s="137"/>
      <c r="WKL65" s="137"/>
      <c r="WKM65" s="137"/>
      <c r="WKN65" s="137"/>
      <c r="WKO65" s="137"/>
      <c r="WKP65" s="137"/>
      <c r="WKQ65" s="137"/>
      <c r="WKR65" s="137"/>
      <c r="WKS65" s="137"/>
      <c r="WKT65" s="137"/>
      <c r="WKU65" s="137"/>
      <c r="WKV65" s="137"/>
      <c r="WKW65" s="137"/>
      <c r="WKX65" s="137"/>
      <c r="WKY65" s="137"/>
      <c r="WKZ65" s="137"/>
      <c r="WLA65" s="137"/>
      <c r="WLB65" s="137"/>
      <c r="WLC65" s="137"/>
      <c r="WLD65" s="137"/>
      <c r="WLE65" s="137"/>
      <c r="WLF65" s="137"/>
      <c r="WLG65" s="137"/>
      <c r="WLH65" s="137"/>
      <c r="WLI65" s="137"/>
      <c r="WLJ65" s="137"/>
      <c r="WLK65" s="137"/>
      <c r="WLL65" s="137"/>
      <c r="WLM65" s="137"/>
      <c r="WLN65" s="137"/>
      <c r="WLO65" s="137"/>
      <c r="WLP65" s="137"/>
      <c r="WLQ65" s="137"/>
      <c r="WLR65" s="137"/>
      <c r="WLS65" s="137"/>
      <c r="WLT65" s="137"/>
      <c r="WLU65" s="137"/>
      <c r="WLV65" s="137"/>
      <c r="WLW65" s="137"/>
      <c r="WLX65" s="137"/>
      <c r="WLY65" s="137"/>
      <c r="WLZ65" s="137"/>
      <c r="WMA65" s="137"/>
      <c r="WMB65" s="137"/>
      <c r="WMC65" s="137"/>
      <c r="WMD65" s="137"/>
      <c r="WME65" s="137"/>
      <c r="WMF65" s="137"/>
      <c r="WMG65" s="137"/>
      <c r="WMH65" s="137"/>
      <c r="WMI65" s="137"/>
      <c r="WMJ65" s="137"/>
      <c r="WMK65" s="137"/>
      <c r="WML65" s="137"/>
      <c r="WMM65" s="137"/>
      <c r="WMN65" s="137"/>
      <c r="WMO65" s="137"/>
      <c r="WMP65" s="137"/>
      <c r="WMQ65" s="137"/>
      <c r="WMR65" s="137"/>
      <c r="WMS65" s="137"/>
      <c r="WMT65" s="137"/>
      <c r="WMU65" s="137"/>
      <c r="WMV65" s="137"/>
      <c r="WMW65" s="137"/>
      <c r="WMX65" s="137"/>
      <c r="WMY65" s="137"/>
      <c r="WMZ65" s="137"/>
      <c r="WNA65" s="137"/>
      <c r="WNB65" s="137"/>
      <c r="WNC65" s="137"/>
      <c r="WND65" s="137"/>
      <c r="WNE65" s="137"/>
      <c r="WNF65" s="137"/>
      <c r="WNG65" s="137"/>
      <c r="WNH65" s="137"/>
      <c r="WNI65" s="137"/>
      <c r="WNJ65" s="137"/>
      <c r="WNK65" s="137"/>
      <c r="WNL65" s="137"/>
      <c r="WNM65" s="137"/>
      <c r="WNN65" s="137"/>
      <c r="WNO65" s="137"/>
      <c r="WNP65" s="137"/>
      <c r="WNQ65" s="137"/>
      <c r="WNR65" s="137"/>
      <c r="WNS65" s="137"/>
      <c r="WNT65" s="137"/>
      <c r="WNU65" s="137"/>
      <c r="WNV65" s="137"/>
      <c r="WNW65" s="137"/>
      <c r="WNX65" s="137"/>
      <c r="WNY65" s="137"/>
      <c r="WNZ65" s="137"/>
      <c r="WOA65" s="137"/>
      <c r="WOB65" s="137"/>
      <c r="WOC65" s="137"/>
      <c r="WOD65" s="137"/>
      <c r="WOE65" s="137"/>
      <c r="WOF65" s="137"/>
      <c r="WOG65" s="137"/>
      <c r="WOH65" s="137"/>
      <c r="WOI65" s="137"/>
      <c r="WOJ65" s="137"/>
      <c r="WOK65" s="137"/>
      <c r="WOL65" s="137"/>
      <c r="WOM65" s="137"/>
      <c r="WON65" s="137"/>
      <c r="WOO65" s="137"/>
      <c r="WOP65" s="137"/>
      <c r="WOQ65" s="137"/>
      <c r="WOR65" s="137"/>
      <c r="WOS65" s="137"/>
      <c r="WOT65" s="137"/>
      <c r="WOU65" s="137"/>
      <c r="WOV65" s="137"/>
      <c r="WOW65" s="137"/>
      <c r="WOX65" s="137"/>
      <c r="WOY65" s="137"/>
      <c r="WOZ65" s="137"/>
      <c r="WPA65" s="137"/>
      <c r="WPB65" s="137"/>
      <c r="WPC65" s="137"/>
      <c r="WPD65" s="137"/>
      <c r="WPE65" s="137"/>
      <c r="WPF65" s="137"/>
      <c r="WPG65" s="137"/>
      <c r="WPH65" s="137"/>
      <c r="WPI65" s="137"/>
      <c r="WPJ65" s="137"/>
      <c r="WPK65" s="137"/>
      <c r="WPL65" s="137"/>
      <c r="WPM65" s="137"/>
      <c r="WPN65" s="137"/>
      <c r="WPO65" s="137"/>
      <c r="WPP65" s="137"/>
      <c r="WPQ65" s="137"/>
      <c r="WPR65" s="137"/>
      <c r="WPS65" s="137"/>
      <c r="WPT65" s="137"/>
      <c r="WPU65" s="137"/>
      <c r="WPV65" s="137"/>
      <c r="WPW65" s="137"/>
      <c r="WPX65" s="137"/>
      <c r="WPY65" s="137"/>
      <c r="WPZ65" s="137"/>
      <c r="WQA65" s="137"/>
      <c r="WQB65" s="137"/>
      <c r="WQC65" s="137"/>
      <c r="WQD65" s="137"/>
      <c r="WQE65" s="137"/>
      <c r="WQF65" s="137"/>
      <c r="WQG65" s="137"/>
      <c r="WQH65" s="137"/>
      <c r="WQI65" s="137"/>
      <c r="WQJ65" s="137"/>
      <c r="WQK65" s="137"/>
      <c r="WQL65" s="137"/>
      <c r="WQM65" s="137"/>
      <c r="WQN65" s="137"/>
      <c r="WQO65" s="137"/>
      <c r="WQP65" s="137"/>
      <c r="WQQ65" s="137"/>
      <c r="WQR65" s="137"/>
      <c r="WQS65" s="137"/>
      <c r="WQT65" s="137"/>
      <c r="WQU65" s="137"/>
      <c r="WQV65" s="137"/>
      <c r="WQW65" s="137"/>
      <c r="WQX65" s="137"/>
      <c r="WQY65" s="137"/>
      <c r="WQZ65" s="137"/>
      <c r="WRA65" s="137"/>
      <c r="WRB65" s="137"/>
      <c r="WRC65" s="137"/>
      <c r="WRD65" s="137"/>
      <c r="WRE65" s="137"/>
      <c r="WRF65" s="137"/>
      <c r="WRG65" s="137"/>
      <c r="WRH65" s="137"/>
      <c r="WRI65" s="137"/>
      <c r="WRJ65" s="137"/>
      <c r="WRK65" s="137"/>
      <c r="WRL65" s="137"/>
      <c r="WRM65" s="137"/>
      <c r="WRN65" s="137"/>
      <c r="WRO65" s="137"/>
      <c r="WRP65" s="137"/>
      <c r="WRQ65" s="137"/>
      <c r="WRR65" s="137"/>
      <c r="WRS65" s="137"/>
      <c r="WRT65" s="137"/>
      <c r="WRU65" s="137"/>
      <c r="WRV65" s="137"/>
      <c r="WRW65" s="137"/>
      <c r="WRX65" s="137"/>
      <c r="WRY65" s="137"/>
      <c r="WRZ65" s="137"/>
      <c r="WSA65" s="137"/>
      <c r="WSB65" s="137"/>
      <c r="WSC65" s="137"/>
      <c r="WSD65" s="137"/>
      <c r="WSE65" s="137"/>
      <c r="WSF65" s="137"/>
      <c r="WSG65" s="137"/>
      <c r="WSH65" s="137"/>
      <c r="WSI65" s="137"/>
      <c r="WSJ65" s="137"/>
      <c r="WSK65" s="137"/>
      <c r="WSL65" s="137"/>
      <c r="WSM65" s="137"/>
      <c r="WSN65" s="137"/>
      <c r="WSO65" s="137"/>
      <c r="WSP65" s="137"/>
      <c r="WSQ65" s="137"/>
      <c r="WSR65" s="137"/>
      <c r="WSS65" s="137"/>
      <c r="WST65" s="137"/>
      <c r="WSU65" s="137"/>
      <c r="WSV65" s="137"/>
      <c r="WSW65" s="137"/>
      <c r="WSX65" s="137"/>
      <c r="WSY65" s="137"/>
      <c r="WSZ65" s="137"/>
      <c r="WTA65" s="137"/>
      <c r="WTB65" s="137"/>
      <c r="WTC65" s="137"/>
      <c r="WTD65" s="137"/>
      <c r="WTE65" s="137"/>
      <c r="WTF65" s="137"/>
      <c r="WTG65" s="137"/>
      <c r="WTH65" s="137"/>
      <c r="WTI65" s="137"/>
      <c r="WTJ65" s="137"/>
      <c r="WTK65" s="137"/>
      <c r="WTL65" s="137"/>
      <c r="WTM65" s="137"/>
      <c r="WTN65" s="137"/>
      <c r="WTO65" s="137"/>
      <c r="WTP65" s="137"/>
      <c r="WTQ65" s="137"/>
      <c r="WTR65" s="137"/>
      <c r="WTS65" s="137"/>
      <c r="WTT65" s="137"/>
      <c r="WTU65" s="137"/>
      <c r="WTV65" s="137"/>
      <c r="WTW65" s="137"/>
      <c r="WTX65" s="137"/>
      <c r="WTY65" s="137"/>
      <c r="WTZ65" s="137"/>
      <c r="WUA65" s="137"/>
      <c r="WUB65" s="137"/>
      <c r="WUC65" s="137"/>
      <c r="WUD65" s="137"/>
      <c r="WUE65" s="137"/>
      <c r="WUF65" s="137"/>
      <c r="WUG65" s="137"/>
      <c r="WUH65" s="137"/>
      <c r="WUI65" s="137"/>
      <c r="WUJ65" s="137"/>
      <c r="WUK65" s="137"/>
      <c r="WUL65" s="137"/>
    </row>
    <row r="66" spans="1:16106" s="71" customFormat="1" ht="14.25" customHeight="1" x14ac:dyDescent="0.2">
      <c r="A66" s="137"/>
      <c r="B66" s="137"/>
      <c r="C66" s="137"/>
      <c r="D66" s="137"/>
      <c r="E66" s="105"/>
      <c r="F66" s="105"/>
      <c r="G66" s="138"/>
      <c r="H66" s="137"/>
      <c r="I66" s="137"/>
      <c r="J66" s="137"/>
      <c r="K66" s="137"/>
      <c r="L66" s="137"/>
      <c r="M66" s="9"/>
      <c r="N66" s="137"/>
      <c r="O66" s="137"/>
      <c r="P66" s="137"/>
      <c r="Q66" s="137"/>
      <c r="R66" s="137"/>
      <c r="S66" s="137"/>
      <c r="T66" s="137"/>
      <c r="U66" s="137"/>
      <c r="V66" s="137"/>
      <c r="W66" s="137"/>
      <c r="X66" s="137"/>
      <c r="Y66" s="137"/>
      <c r="Z66" s="137"/>
      <c r="AA66" s="137"/>
      <c r="AB66" s="137"/>
      <c r="AC66" s="137"/>
      <c r="AD66" s="137"/>
      <c r="AE66" s="137"/>
      <c r="AF66" s="137"/>
      <c r="AG66" s="137"/>
      <c r="AH66" s="137"/>
      <c r="AI66" s="137"/>
      <c r="AJ66" s="137"/>
      <c r="AK66" s="137"/>
      <c r="AL66" s="137"/>
      <c r="AM66" s="137"/>
      <c r="AN66" s="137"/>
      <c r="AO66" s="137"/>
      <c r="AP66" s="137"/>
      <c r="AQ66" s="137"/>
      <c r="AR66" s="137"/>
      <c r="AS66" s="137"/>
      <c r="AT66" s="137"/>
      <c r="AU66" s="137"/>
      <c r="AV66" s="137"/>
      <c r="AW66" s="137"/>
      <c r="AX66" s="137"/>
      <c r="AY66" s="137"/>
      <c r="AZ66" s="137"/>
      <c r="BA66" s="137"/>
      <c r="BB66" s="137"/>
      <c r="BC66" s="137"/>
      <c r="BD66" s="137"/>
      <c r="BE66" s="137"/>
      <c r="BF66" s="137"/>
      <c r="BG66" s="137"/>
      <c r="BH66" s="137"/>
      <c r="BI66" s="137"/>
      <c r="BJ66" s="137"/>
      <c r="BK66" s="137"/>
      <c r="BL66" s="137"/>
      <c r="BM66" s="137"/>
      <c r="BN66" s="137"/>
      <c r="BO66" s="137"/>
      <c r="BP66" s="137"/>
      <c r="BQ66" s="137"/>
      <c r="BR66" s="137"/>
      <c r="BS66" s="137"/>
      <c r="BT66" s="137"/>
      <c r="BU66" s="137"/>
      <c r="BV66" s="137"/>
      <c r="BW66" s="137"/>
      <c r="BX66" s="137"/>
      <c r="BY66" s="137"/>
      <c r="BZ66" s="137"/>
      <c r="CA66" s="137"/>
      <c r="CB66" s="137"/>
      <c r="CC66" s="137"/>
      <c r="CD66" s="137"/>
      <c r="CE66" s="137"/>
      <c r="CF66" s="137"/>
      <c r="CG66" s="137"/>
      <c r="CH66" s="137"/>
      <c r="CI66" s="137"/>
      <c r="CJ66" s="137"/>
      <c r="CK66" s="137"/>
      <c r="CL66" s="137"/>
      <c r="CM66" s="137"/>
      <c r="CN66" s="137"/>
      <c r="CO66" s="137"/>
      <c r="CP66" s="137"/>
      <c r="CQ66" s="137"/>
      <c r="CR66" s="137"/>
      <c r="CS66" s="137"/>
      <c r="CT66" s="137"/>
      <c r="CU66" s="137"/>
      <c r="CV66" s="137"/>
      <c r="CW66" s="137"/>
      <c r="CX66" s="137"/>
      <c r="CY66" s="137"/>
      <c r="CZ66" s="137"/>
      <c r="DA66" s="137"/>
      <c r="DB66" s="137"/>
      <c r="DC66" s="137"/>
      <c r="DD66" s="137"/>
      <c r="DE66" s="137"/>
      <c r="DF66" s="137"/>
      <c r="DG66" s="137"/>
      <c r="DH66" s="137"/>
      <c r="DI66" s="137"/>
      <c r="DJ66" s="137"/>
      <c r="DK66" s="137"/>
      <c r="DL66" s="137"/>
      <c r="DM66" s="137"/>
      <c r="DN66" s="137"/>
      <c r="DO66" s="137"/>
      <c r="DP66" s="137"/>
      <c r="DQ66" s="137"/>
      <c r="DR66" s="137"/>
      <c r="DS66" s="137"/>
      <c r="DT66" s="137"/>
      <c r="DU66" s="137"/>
      <c r="DV66" s="137"/>
      <c r="DW66" s="137"/>
      <c r="DX66" s="137"/>
      <c r="DY66" s="137"/>
      <c r="DZ66" s="137"/>
      <c r="EA66" s="137"/>
      <c r="EB66" s="137"/>
      <c r="EC66" s="137"/>
      <c r="ED66" s="137"/>
      <c r="EE66" s="137"/>
      <c r="EF66" s="137"/>
      <c r="EG66" s="137"/>
      <c r="EH66" s="137"/>
      <c r="EI66" s="137"/>
      <c r="EJ66" s="137"/>
      <c r="EK66" s="137"/>
      <c r="EL66" s="137"/>
      <c r="EM66" s="137"/>
      <c r="EN66" s="137"/>
      <c r="EO66" s="137"/>
      <c r="EP66" s="137"/>
      <c r="EQ66" s="137"/>
      <c r="ER66" s="137"/>
      <c r="ES66" s="137"/>
      <c r="ET66" s="137"/>
      <c r="EU66" s="137"/>
      <c r="EV66" s="137"/>
      <c r="EW66" s="137"/>
      <c r="EX66" s="137"/>
      <c r="EY66" s="137"/>
      <c r="EZ66" s="137"/>
      <c r="FA66" s="137"/>
      <c r="FB66" s="137"/>
      <c r="FC66" s="137"/>
      <c r="FD66" s="137"/>
      <c r="FE66" s="137"/>
      <c r="FF66" s="137"/>
      <c r="FG66" s="137"/>
      <c r="FH66" s="137"/>
      <c r="FI66" s="137"/>
      <c r="FJ66" s="137"/>
      <c r="FK66" s="137"/>
      <c r="FL66" s="137"/>
      <c r="FM66" s="137"/>
      <c r="FN66" s="137"/>
      <c r="FO66" s="137"/>
      <c r="FP66" s="137"/>
      <c r="FQ66" s="137"/>
      <c r="FR66" s="137"/>
      <c r="FS66" s="137"/>
      <c r="FT66" s="137"/>
      <c r="FU66" s="137"/>
      <c r="FV66" s="137"/>
      <c r="FW66" s="137"/>
      <c r="FX66" s="137"/>
      <c r="FY66" s="137"/>
      <c r="FZ66" s="137"/>
      <c r="GA66" s="137"/>
      <c r="GB66" s="137"/>
      <c r="GC66" s="137"/>
      <c r="GD66" s="137"/>
      <c r="GE66" s="137"/>
      <c r="GF66" s="137"/>
      <c r="GG66" s="137"/>
      <c r="GH66" s="137"/>
      <c r="GI66" s="137"/>
      <c r="GJ66" s="137"/>
      <c r="GK66" s="137"/>
      <c r="GL66" s="137"/>
      <c r="GM66" s="137"/>
      <c r="GN66" s="137"/>
      <c r="GO66" s="137"/>
      <c r="GP66" s="137"/>
      <c r="GQ66" s="137"/>
      <c r="GR66" s="137"/>
      <c r="GS66" s="137"/>
      <c r="GT66" s="137"/>
      <c r="GU66" s="137"/>
      <c r="GV66" s="137"/>
      <c r="GW66" s="137"/>
      <c r="GX66" s="137"/>
      <c r="GY66" s="137"/>
      <c r="GZ66" s="137"/>
      <c r="HA66" s="137"/>
      <c r="HB66" s="137"/>
      <c r="HC66" s="137"/>
      <c r="HD66" s="137"/>
      <c r="HE66" s="137"/>
      <c r="HF66" s="137"/>
      <c r="HG66" s="137"/>
      <c r="HH66" s="137"/>
      <c r="HI66" s="137"/>
      <c r="HJ66" s="137"/>
      <c r="HK66" s="137"/>
      <c r="HL66" s="137"/>
      <c r="HM66" s="137"/>
      <c r="HN66" s="137"/>
      <c r="HO66" s="137"/>
      <c r="HP66" s="137"/>
      <c r="HQ66" s="137"/>
      <c r="HR66" s="137"/>
      <c r="HS66" s="137"/>
      <c r="HT66" s="137"/>
      <c r="HU66" s="137"/>
      <c r="HV66" s="137"/>
      <c r="HW66" s="137"/>
      <c r="HX66" s="137"/>
      <c r="HY66" s="137"/>
      <c r="HZ66" s="137"/>
      <c r="IA66" s="137"/>
      <c r="IB66" s="137"/>
      <c r="IC66" s="137"/>
      <c r="ID66" s="137"/>
      <c r="IE66" s="137"/>
      <c r="IF66" s="137"/>
      <c r="IG66" s="137"/>
      <c r="IH66" s="137"/>
      <c r="II66" s="137"/>
      <c r="IJ66" s="137"/>
      <c r="IK66" s="137"/>
      <c r="IL66" s="137"/>
      <c r="IM66" s="137"/>
      <c r="IN66" s="137"/>
      <c r="IO66" s="137"/>
      <c r="IP66" s="137"/>
      <c r="IQ66" s="137"/>
      <c r="IR66" s="137"/>
      <c r="IS66" s="137"/>
      <c r="IT66" s="137"/>
      <c r="IU66" s="137"/>
      <c r="IV66" s="137"/>
      <c r="IW66" s="137"/>
      <c r="IX66" s="137"/>
      <c r="IY66" s="137"/>
      <c r="IZ66" s="137"/>
      <c r="JA66" s="137"/>
      <c r="JB66" s="137"/>
      <c r="JC66" s="137"/>
      <c r="JD66" s="137"/>
      <c r="JE66" s="137"/>
      <c r="JF66" s="137"/>
      <c r="JG66" s="137"/>
      <c r="JH66" s="137"/>
      <c r="JI66" s="137"/>
      <c r="JJ66" s="137"/>
      <c r="JK66" s="137"/>
      <c r="JL66" s="137"/>
      <c r="JM66" s="137"/>
      <c r="JN66" s="137"/>
      <c r="JO66" s="137"/>
      <c r="JP66" s="137"/>
      <c r="JQ66" s="137"/>
      <c r="JR66" s="137"/>
      <c r="JS66" s="137"/>
      <c r="JT66" s="137"/>
      <c r="JU66" s="137"/>
      <c r="JV66" s="137"/>
      <c r="JW66" s="137"/>
      <c r="JX66" s="137"/>
      <c r="JY66" s="137"/>
      <c r="JZ66" s="137"/>
      <c r="KA66" s="137"/>
      <c r="KB66" s="137"/>
      <c r="KC66" s="137"/>
      <c r="KD66" s="137"/>
      <c r="KE66" s="137"/>
      <c r="KF66" s="137"/>
      <c r="KG66" s="137"/>
      <c r="KH66" s="137"/>
      <c r="KI66" s="137"/>
      <c r="KJ66" s="137"/>
      <c r="KK66" s="137"/>
      <c r="KL66" s="137"/>
      <c r="KM66" s="137"/>
      <c r="KN66" s="137"/>
      <c r="KO66" s="137"/>
      <c r="KP66" s="137"/>
      <c r="KQ66" s="137"/>
      <c r="KR66" s="137"/>
      <c r="KS66" s="137"/>
      <c r="KT66" s="137"/>
      <c r="KU66" s="137"/>
      <c r="KV66" s="137"/>
      <c r="KW66" s="137"/>
      <c r="KX66" s="137"/>
      <c r="KY66" s="137"/>
      <c r="KZ66" s="137"/>
      <c r="LA66" s="137"/>
      <c r="LB66" s="137"/>
      <c r="LC66" s="137"/>
      <c r="LD66" s="137"/>
      <c r="LE66" s="137"/>
      <c r="LF66" s="137"/>
      <c r="LG66" s="137"/>
      <c r="LH66" s="137"/>
      <c r="LI66" s="137"/>
      <c r="LJ66" s="137"/>
      <c r="LK66" s="137"/>
      <c r="LL66" s="137"/>
      <c r="LM66" s="137"/>
      <c r="LN66" s="137"/>
      <c r="LO66" s="137"/>
      <c r="LP66" s="137"/>
      <c r="LQ66" s="137"/>
      <c r="LR66" s="137"/>
      <c r="LS66" s="137"/>
      <c r="LT66" s="137"/>
      <c r="LU66" s="137"/>
      <c r="LV66" s="137"/>
      <c r="LW66" s="137"/>
      <c r="LX66" s="137"/>
      <c r="LY66" s="137"/>
      <c r="LZ66" s="137"/>
      <c r="MA66" s="137"/>
      <c r="MB66" s="137"/>
      <c r="MC66" s="137"/>
      <c r="MD66" s="137"/>
      <c r="ME66" s="137"/>
      <c r="MF66" s="137"/>
      <c r="MG66" s="137"/>
      <c r="MH66" s="137"/>
      <c r="MI66" s="137"/>
      <c r="MJ66" s="137"/>
      <c r="MK66" s="137"/>
      <c r="ML66" s="137"/>
      <c r="MM66" s="137"/>
      <c r="MN66" s="137"/>
      <c r="MO66" s="137"/>
      <c r="MP66" s="137"/>
      <c r="MQ66" s="137"/>
      <c r="MR66" s="137"/>
      <c r="MS66" s="137"/>
      <c r="MT66" s="137"/>
      <c r="MU66" s="137"/>
      <c r="MV66" s="137"/>
      <c r="MW66" s="137"/>
      <c r="MX66" s="137"/>
      <c r="MY66" s="137"/>
      <c r="MZ66" s="137"/>
      <c r="NA66" s="137"/>
      <c r="NB66" s="137"/>
      <c r="NC66" s="137"/>
      <c r="ND66" s="137"/>
      <c r="NE66" s="137"/>
      <c r="NF66" s="137"/>
      <c r="NG66" s="137"/>
      <c r="NH66" s="137"/>
      <c r="NI66" s="137"/>
      <c r="NJ66" s="137"/>
      <c r="NK66" s="137"/>
      <c r="NL66" s="137"/>
      <c r="NM66" s="137"/>
      <c r="NN66" s="137"/>
      <c r="NO66" s="137"/>
      <c r="NP66" s="137"/>
      <c r="NQ66" s="137"/>
      <c r="NR66" s="137"/>
      <c r="NS66" s="137"/>
      <c r="NT66" s="137"/>
      <c r="NU66" s="137"/>
      <c r="NV66" s="137"/>
      <c r="NW66" s="137"/>
      <c r="NX66" s="137"/>
      <c r="NY66" s="137"/>
      <c r="NZ66" s="137"/>
      <c r="OA66" s="137"/>
      <c r="OB66" s="137"/>
      <c r="OC66" s="137"/>
      <c r="OD66" s="137"/>
      <c r="OE66" s="137"/>
      <c r="OF66" s="137"/>
      <c r="OG66" s="137"/>
      <c r="OH66" s="137"/>
      <c r="OI66" s="137"/>
      <c r="OJ66" s="137"/>
      <c r="OK66" s="137"/>
      <c r="OL66" s="137"/>
      <c r="OM66" s="137"/>
      <c r="ON66" s="137"/>
      <c r="OO66" s="137"/>
      <c r="OP66" s="137"/>
      <c r="OQ66" s="137"/>
      <c r="OR66" s="137"/>
      <c r="OS66" s="137"/>
      <c r="OT66" s="137"/>
      <c r="OU66" s="137"/>
      <c r="OV66" s="137"/>
      <c r="OW66" s="137"/>
      <c r="OX66" s="137"/>
      <c r="OY66" s="137"/>
      <c r="OZ66" s="137"/>
      <c r="PA66" s="137"/>
      <c r="PB66" s="137"/>
      <c r="PC66" s="137"/>
      <c r="PD66" s="137"/>
      <c r="PE66" s="137"/>
      <c r="PF66" s="137"/>
      <c r="PG66" s="137"/>
      <c r="PH66" s="137"/>
      <c r="PI66" s="137"/>
      <c r="PJ66" s="137"/>
      <c r="PK66" s="137"/>
      <c r="PL66" s="137"/>
      <c r="PM66" s="137"/>
      <c r="PN66" s="137"/>
      <c r="PO66" s="137"/>
      <c r="PP66" s="137"/>
      <c r="PQ66" s="137"/>
      <c r="PR66" s="137"/>
      <c r="PS66" s="137"/>
      <c r="PT66" s="137"/>
      <c r="PU66" s="137"/>
      <c r="PV66" s="137"/>
      <c r="PW66" s="137"/>
      <c r="PX66" s="137"/>
      <c r="PY66" s="137"/>
      <c r="PZ66" s="137"/>
      <c r="QA66" s="137"/>
      <c r="QB66" s="137"/>
      <c r="QC66" s="137"/>
      <c r="QD66" s="137"/>
      <c r="QE66" s="137"/>
      <c r="QF66" s="137"/>
      <c r="QG66" s="137"/>
      <c r="QH66" s="137"/>
      <c r="QI66" s="137"/>
      <c r="QJ66" s="137"/>
      <c r="QK66" s="137"/>
      <c r="QL66" s="137"/>
      <c r="QM66" s="137"/>
      <c r="QN66" s="137"/>
      <c r="QO66" s="137"/>
      <c r="QP66" s="137"/>
      <c r="QQ66" s="137"/>
      <c r="QR66" s="137"/>
      <c r="QS66" s="137"/>
      <c r="QT66" s="137"/>
      <c r="QU66" s="137"/>
      <c r="QV66" s="137"/>
      <c r="QW66" s="137"/>
      <c r="QX66" s="137"/>
      <c r="QY66" s="137"/>
      <c r="QZ66" s="137"/>
      <c r="RA66" s="137"/>
      <c r="RB66" s="137"/>
      <c r="RC66" s="137"/>
      <c r="RD66" s="137"/>
      <c r="RE66" s="137"/>
      <c r="RF66" s="137"/>
      <c r="RG66" s="137"/>
      <c r="RH66" s="137"/>
      <c r="RI66" s="137"/>
      <c r="RJ66" s="137"/>
      <c r="RK66" s="137"/>
      <c r="RL66" s="137"/>
      <c r="RM66" s="137"/>
      <c r="RN66" s="137"/>
      <c r="RO66" s="137"/>
      <c r="RP66" s="137"/>
      <c r="RQ66" s="137"/>
      <c r="RR66" s="137"/>
      <c r="RS66" s="137"/>
      <c r="RT66" s="137"/>
      <c r="RU66" s="137"/>
      <c r="RV66" s="137"/>
      <c r="RW66" s="137"/>
      <c r="RX66" s="137"/>
      <c r="RY66" s="137"/>
      <c r="RZ66" s="137"/>
      <c r="SA66" s="137"/>
      <c r="SB66" s="137"/>
      <c r="SC66" s="137"/>
      <c r="SD66" s="137"/>
      <c r="SE66" s="137"/>
      <c r="SF66" s="137"/>
      <c r="SG66" s="137"/>
      <c r="SH66" s="137"/>
      <c r="SI66" s="137"/>
      <c r="SJ66" s="137"/>
      <c r="SK66" s="137"/>
      <c r="SL66" s="137"/>
      <c r="SM66" s="137"/>
      <c r="SN66" s="137"/>
      <c r="SO66" s="137"/>
      <c r="SP66" s="137"/>
      <c r="SQ66" s="137"/>
      <c r="SR66" s="137"/>
      <c r="SS66" s="137"/>
      <c r="ST66" s="137"/>
      <c r="SU66" s="137"/>
      <c r="SV66" s="137"/>
      <c r="SW66" s="137"/>
      <c r="SX66" s="137"/>
      <c r="SY66" s="137"/>
      <c r="SZ66" s="137"/>
      <c r="TA66" s="137"/>
      <c r="TB66" s="137"/>
      <c r="TC66" s="137"/>
      <c r="TD66" s="137"/>
      <c r="TE66" s="137"/>
      <c r="TF66" s="137"/>
      <c r="TG66" s="137"/>
      <c r="TH66" s="137"/>
      <c r="TI66" s="137"/>
      <c r="TJ66" s="137"/>
      <c r="TK66" s="137"/>
      <c r="TL66" s="137"/>
      <c r="TM66" s="137"/>
      <c r="TN66" s="137"/>
      <c r="TO66" s="137"/>
      <c r="TP66" s="137"/>
      <c r="TQ66" s="137"/>
      <c r="TR66" s="137"/>
      <c r="TS66" s="137"/>
      <c r="TT66" s="137"/>
      <c r="TU66" s="137"/>
      <c r="TV66" s="137"/>
      <c r="TW66" s="137"/>
      <c r="TX66" s="137"/>
      <c r="TY66" s="137"/>
      <c r="TZ66" s="137"/>
      <c r="UA66" s="137"/>
      <c r="UB66" s="137"/>
      <c r="UC66" s="137"/>
      <c r="UD66" s="137"/>
      <c r="UE66" s="137"/>
      <c r="UF66" s="137"/>
      <c r="UG66" s="137"/>
      <c r="UH66" s="137"/>
      <c r="UI66" s="137"/>
      <c r="UJ66" s="137"/>
      <c r="UK66" s="137"/>
      <c r="UL66" s="137"/>
      <c r="UM66" s="137"/>
      <c r="UN66" s="137"/>
      <c r="UO66" s="137"/>
      <c r="UP66" s="137"/>
      <c r="UQ66" s="137"/>
      <c r="UR66" s="137"/>
      <c r="US66" s="137"/>
      <c r="UT66" s="137"/>
      <c r="UU66" s="137"/>
      <c r="UV66" s="137"/>
      <c r="UW66" s="137"/>
      <c r="UX66" s="137"/>
      <c r="UY66" s="137"/>
      <c r="UZ66" s="137"/>
      <c r="VA66" s="137"/>
      <c r="VB66" s="137"/>
      <c r="VC66" s="137"/>
      <c r="VD66" s="137"/>
      <c r="VE66" s="137"/>
      <c r="VF66" s="137"/>
      <c r="VG66" s="137"/>
      <c r="VH66" s="137"/>
      <c r="VI66" s="137"/>
      <c r="VJ66" s="137"/>
      <c r="VK66" s="137"/>
      <c r="VL66" s="137"/>
      <c r="VM66" s="137"/>
      <c r="VN66" s="137"/>
      <c r="VO66" s="137"/>
      <c r="VP66" s="137"/>
      <c r="VQ66" s="137"/>
      <c r="VR66" s="137"/>
      <c r="VS66" s="137"/>
      <c r="VT66" s="137"/>
      <c r="VU66" s="137"/>
      <c r="VV66" s="137"/>
      <c r="VW66" s="137"/>
      <c r="VX66" s="137"/>
      <c r="VY66" s="137"/>
      <c r="VZ66" s="137"/>
      <c r="WA66" s="137"/>
      <c r="WB66" s="137"/>
      <c r="WC66" s="137"/>
      <c r="WD66" s="137"/>
      <c r="WE66" s="137"/>
      <c r="WF66" s="137"/>
      <c r="WG66" s="137"/>
      <c r="WH66" s="137"/>
      <c r="WI66" s="137"/>
      <c r="WJ66" s="137"/>
      <c r="WK66" s="137"/>
      <c r="WL66" s="137"/>
      <c r="WM66" s="137"/>
      <c r="WN66" s="137"/>
      <c r="WO66" s="137"/>
      <c r="WP66" s="137"/>
      <c r="WQ66" s="137"/>
      <c r="WR66" s="137"/>
      <c r="WS66" s="137"/>
      <c r="WT66" s="137"/>
      <c r="WU66" s="137"/>
      <c r="WV66" s="137"/>
      <c r="WW66" s="137"/>
      <c r="WX66" s="137"/>
      <c r="WY66" s="137"/>
      <c r="WZ66" s="137"/>
      <c r="XA66" s="137"/>
      <c r="XB66" s="137"/>
      <c r="XC66" s="137"/>
      <c r="XD66" s="137"/>
      <c r="XE66" s="137"/>
      <c r="XF66" s="137"/>
      <c r="XG66" s="137"/>
      <c r="XH66" s="137"/>
      <c r="XI66" s="137"/>
      <c r="XJ66" s="137"/>
      <c r="XK66" s="137"/>
      <c r="XL66" s="137"/>
      <c r="XM66" s="137"/>
      <c r="XN66" s="137"/>
      <c r="XO66" s="137"/>
      <c r="XP66" s="137"/>
      <c r="XQ66" s="137"/>
      <c r="XR66" s="137"/>
      <c r="XS66" s="137"/>
      <c r="XT66" s="137"/>
      <c r="XU66" s="137"/>
      <c r="XV66" s="137"/>
      <c r="XW66" s="137"/>
      <c r="XX66" s="137"/>
      <c r="XY66" s="137"/>
      <c r="XZ66" s="137"/>
      <c r="YA66" s="137"/>
      <c r="YB66" s="137"/>
      <c r="YC66" s="137"/>
      <c r="YD66" s="137"/>
      <c r="YE66" s="137"/>
      <c r="YF66" s="137"/>
      <c r="YG66" s="137"/>
      <c r="YH66" s="137"/>
      <c r="YI66" s="137"/>
      <c r="YJ66" s="137"/>
      <c r="YK66" s="137"/>
      <c r="YL66" s="137"/>
      <c r="YM66" s="137"/>
      <c r="YN66" s="137"/>
      <c r="YO66" s="137"/>
      <c r="YP66" s="137"/>
      <c r="YQ66" s="137"/>
      <c r="YR66" s="137"/>
      <c r="YS66" s="137"/>
      <c r="YT66" s="137"/>
      <c r="YU66" s="137"/>
      <c r="YV66" s="137"/>
      <c r="YW66" s="137"/>
      <c r="YX66" s="137"/>
      <c r="YY66" s="137"/>
      <c r="YZ66" s="137"/>
      <c r="ZA66" s="137"/>
      <c r="ZB66" s="137"/>
      <c r="ZC66" s="137"/>
      <c r="ZD66" s="137"/>
      <c r="ZE66" s="137"/>
      <c r="ZF66" s="137"/>
      <c r="ZG66" s="137"/>
      <c r="ZH66" s="137"/>
      <c r="ZI66" s="137"/>
      <c r="ZJ66" s="137"/>
      <c r="ZK66" s="137"/>
      <c r="ZL66" s="137"/>
      <c r="ZM66" s="137"/>
      <c r="ZN66" s="137"/>
      <c r="ZO66" s="137"/>
      <c r="ZP66" s="137"/>
      <c r="ZQ66" s="137"/>
      <c r="ZR66" s="137"/>
      <c r="ZS66" s="137"/>
      <c r="ZT66" s="137"/>
      <c r="ZU66" s="137"/>
      <c r="ZV66" s="137"/>
      <c r="ZW66" s="137"/>
      <c r="ZX66" s="137"/>
      <c r="ZY66" s="137"/>
      <c r="ZZ66" s="137"/>
      <c r="AAA66" s="137"/>
      <c r="AAB66" s="137"/>
      <c r="AAC66" s="137"/>
      <c r="AAD66" s="137"/>
      <c r="AAE66" s="137"/>
      <c r="AAF66" s="137"/>
      <c r="AAG66" s="137"/>
      <c r="AAH66" s="137"/>
      <c r="AAI66" s="137"/>
      <c r="AAJ66" s="137"/>
      <c r="AAK66" s="137"/>
      <c r="AAL66" s="137"/>
      <c r="AAM66" s="137"/>
      <c r="AAN66" s="137"/>
      <c r="AAO66" s="137"/>
      <c r="AAP66" s="137"/>
      <c r="AAQ66" s="137"/>
      <c r="AAR66" s="137"/>
      <c r="AAS66" s="137"/>
      <c r="AAT66" s="137"/>
      <c r="AAU66" s="137"/>
      <c r="AAV66" s="137"/>
      <c r="AAW66" s="137"/>
      <c r="AAX66" s="137"/>
      <c r="AAY66" s="137"/>
      <c r="AAZ66" s="137"/>
      <c r="ABA66" s="137"/>
      <c r="ABB66" s="137"/>
      <c r="ABC66" s="137"/>
      <c r="ABD66" s="137"/>
      <c r="ABE66" s="137"/>
      <c r="ABF66" s="137"/>
      <c r="ABG66" s="137"/>
      <c r="ABH66" s="137"/>
      <c r="ABI66" s="137"/>
      <c r="ABJ66" s="137"/>
      <c r="ABK66" s="137"/>
      <c r="ABL66" s="137"/>
      <c r="ABM66" s="137"/>
      <c r="ABN66" s="137"/>
      <c r="ABO66" s="137"/>
      <c r="ABP66" s="137"/>
      <c r="ABQ66" s="137"/>
      <c r="ABR66" s="137"/>
      <c r="ABS66" s="137"/>
      <c r="ABT66" s="137"/>
      <c r="ABU66" s="137"/>
      <c r="ABV66" s="137"/>
      <c r="ABW66" s="137"/>
      <c r="ABX66" s="137"/>
      <c r="ABY66" s="137"/>
      <c r="ABZ66" s="137"/>
      <c r="ACA66" s="137"/>
      <c r="ACB66" s="137"/>
      <c r="ACC66" s="137"/>
      <c r="ACD66" s="137"/>
      <c r="ACE66" s="137"/>
      <c r="ACF66" s="137"/>
      <c r="ACG66" s="137"/>
      <c r="ACH66" s="137"/>
      <c r="ACI66" s="137"/>
      <c r="ACJ66" s="137"/>
      <c r="ACK66" s="137"/>
      <c r="ACL66" s="137"/>
      <c r="ACM66" s="137"/>
      <c r="ACN66" s="137"/>
      <c r="ACO66" s="137"/>
      <c r="ACP66" s="137"/>
      <c r="ACQ66" s="137"/>
      <c r="ACR66" s="137"/>
      <c r="ACS66" s="137"/>
      <c r="ACT66" s="137"/>
      <c r="ACU66" s="137"/>
      <c r="ACV66" s="137"/>
      <c r="ACW66" s="137"/>
      <c r="ACX66" s="137"/>
      <c r="ACY66" s="137"/>
      <c r="ACZ66" s="137"/>
      <c r="ADA66" s="137"/>
      <c r="ADB66" s="137"/>
      <c r="ADC66" s="137"/>
      <c r="ADD66" s="137"/>
      <c r="ADE66" s="137"/>
      <c r="ADF66" s="137"/>
      <c r="ADG66" s="137"/>
      <c r="ADH66" s="137"/>
      <c r="ADI66" s="137"/>
      <c r="ADJ66" s="137"/>
      <c r="ADK66" s="137"/>
      <c r="ADL66" s="137"/>
      <c r="ADM66" s="137"/>
      <c r="ADN66" s="137"/>
      <c r="ADO66" s="137"/>
      <c r="ADP66" s="137"/>
      <c r="ADQ66" s="137"/>
      <c r="ADR66" s="137"/>
      <c r="ADS66" s="137"/>
      <c r="ADT66" s="137"/>
      <c r="ADU66" s="137"/>
      <c r="ADV66" s="137"/>
      <c r="ADW66" s="137"/>
      <c r="ADX66" s="137"/>
      <c r="ADY66" s="137"/>
      <c r="ADZ66" s="137"/>
      <c r="AEA66" s="137"/>
      <c r="AEB66" s="137"/>
      <c r="AEC66" s="137"/>
      <c r="AED66" s="137"/>
      <c r="AEE66" s="137"/>
      <c r="AEF66" s="137"/>
      <c r="AEG66" s="137"/>
      <c r="AEH66" s="137"/>
      <c r="AEI66" s="137"/>
      <c r="AEJ66" s="137"/>
      <c r="AEK66" s="137"/>
      <c r="AEL66" s="137"/>
      <c r="AEM66" s="137"/>
      <c r="AEN66" s="137"/>
      <c r="AEO66" s="137"/>
      <c r="AEP66" s="137"/>
      <c r="AEQ66" s="137"/>
      <c r="AER66" s="137"/>
      <c r="AES66" s="137"/>
      <c r="AET66" s="137"/>
      <c r="AEU66" s="137"/>
      <c r="AEV66" s="137"/>
      <c r="AEW66" s="137"/>
      <c r="AEX66" s="137"/>
      <c r="AEY66" s="137"/>
      <c r="AEZ66" s="137"/>
      <c r="AFA66" s="137"/>
      <c r="AFB66" s="137"/>
      <c r="AFC66" s="137"/>
      <c r="AFD66" s="137"/>
      <c r="AFE66" s="137"/>
      <c r="AFF66" s="137"/>
      <c r="AFG66" s="137"/>
      <c r="AFH66" s="137"/>
      <c r="AFI66" s="137"/>
      <c r="AFJ66" s="137"/>
      <c r="AFK66" s="137"/>
      <c r="AFL66" s="137"/>
      <c r="AFM66" s="137"/>
      <c r="AFN66" s="137"/>
      <c r="AFO66" s="137"/>
      <c r="AFP66" s="137"/>
      <c r="AFQ66" s="137"/>
      <c r="AFR66" s="137"/>
      <c r="AFS66" s="137"/>
      <c r="AFT66" s="137"/>
      <c r="AFU66" s="137"/>
      <c r="AFV66" s="137"/>
      <c r="AFW66" s="137"/>
      <c r="AFX66" s="137"/>
      <c r="AFY66" s="137"/>
      <c r="AFZ66" s="137"/>
      <c r="AGA66" s="137"/>
      <c r="AGB66" s="137"/>
      <c r="AGC66" s="137"/>
      <c r="AGD66" s="137"/>
      <c r="AGE66" s="137"/>
      <c r="AGF66" s="137"/>
      <c r="AGG66" s="137"/>
      <c r="AGH66" s="137"/>
      <c r="AGI66" s="137"/>
      <c r="AGJ66" s="137"/>
      <c r="AGK66" s="137"/>
      <c r="AGL66" s="137"/>
      <c r="AGM66" s="137"/>
      <c r="AGN66" s="137"/>
      <c r="AGO66" s="137"/>
      <c r="AGP66" s="137"/>
      <c r="AGQ66" s="137"/>
      <c r="AGR66" s="137"/>
      <c r="AGS66" s="137"/>
      <c r="AGT66" s="137"/>
      <c r="AGU66" s="137"/>
      <c r="AGV66" s="137"/>
      <c r="AGW66" s="137"/>
      <c r="AGX66" s="137"/>
      <c r="AGY66" s="137"/>
      <c r="AGZ66" s="137"/>
      <c r="AHA66" s="137"/>
      <c r="AHB66" s="137"/>
      <c r="AHC66" s="137"/>
      <c r="AHD66" s="137"/>
      <c r="AHE66" s="137"/>
      <c r="AHF66" s="137"/>
      <c r="AHG66" s="137"/>
      <c r="AHH66" s="137"/>
      <c r="AHI66" s="137"/>
      <c r="AHJ66" s="137"/>
      <c r="AHK66" s="137"/>
      <c r="AHL66" s="137"/>
      <c r="AHM66" s="137"/>
      <c r="AHN66" s="137"/>
      <c r="AHO66" s="137"/>
      <c r="AHP66" s="137"/>
      <c r="AHQ66" s="137"/>
      <c r="AHR66" s="137"/>
      <c r="AHS66" s="137"/>
      <c r="AHT66" s="137"/>
      <c r="AHU66" s="137"/>
      <c r="AHV66" s="137"/>
      <c r="AHW66" s="137"/>
      <c r="AHX66" s="137"/>
      <c r="AHY66" s="137"/>
      <c r="AHZ66" s="137"/>
      <c r="AIA66" s="137"/>
      <c r="AIB66" s="137"/>
      <c r="AIC66" s="137"/>
      <c r="AID66" s="137"/>
      <c r="AIE66" s="137"/>
      <c r="AIF66" s="137"/>
      <c r="AIG66" s="137"/>
      <c r="AIH66" s="137"/>
      <c r="AII66" s="137"/>
      <c r="AIJ66" s="137"/>
      <c r="AIK66" s="137"/>
      <c r="AIL66" s="137"/>
      <c r="AIM66" s="137"/>
      <c r="AIN66" s="137"/>
      <c r="AIO66" s="137"/>
      <c r="AIP66" s="137"/>
      <c r="AIQ66" s="137"/>
      <c r="AIR66" s="137"/>
      <c r="AIS66" s="137"/>
      <c r="AIT66" s="137"/>
      <c r="AIU66" s="137"/>
      <c r="AIV66" s="137"/>
      <c r="AIW66" s="137"/>
      <c r="AIX66" s="137"/>
      <c r="AIY66" s="137"/>
      <c r="AIZ66" s="137"/>
      <c r="AJA66" s="137"/>
      <c r="AJB66" s="137"/>
      <c r="AJC66" s="137"/>
      <c r="AJD66" s="137"/>
      <c r="AJE66" s="137"/>
      <c r="AJF66" s="137"/>
      <c r="AJG66" s="137"/>
      <c r="AJH66" s="137"/>
      <c r="AJI66" s="137"/>
      <c r="AJJ66" s="137"/>
      <c r="AJK66" s="137"/>
      <c r="AJL66" s="137"/>
      <c r="AJM66" s="137"/>
      <c r="AJN66" s="137"/>
      <c r="AJO66" s="137"/>
      <c r="AJP66" s="137"/>
      <c r="AJQ66" s="137"/>
      <c r="AJR66" s="137"/>
      <c r="AJS66" s="137"/>
      <c r="AJT66" s="137"/>
      <c r="AJU66" s="137"/>
      <c r="AJV66" s="137"/>
      <c r="AJW66" s="137"/>
      <c r="AJX66" s="137"/>
      <c r="AJY66" s="137"/>
      <c r="AJZ66" s="137"/>
      <c r="AKA66" s="137"/>
      <c r="AKB66" s="137"/>
      <c r="AKC66" s="137"/>
      <c r="AKD66" s="137"/>
      <c r="AKE66" s="137"/>
      <c r="AKF66" s="137"/>
      <c r="AKG66" s="137"/>
      <c r="AKH66" s="137"/>
      <c r="AKI66" s="137"/>
      <c r="AKJ66" s="137"/>
      <c r="AKK66" s="137"/>
      <c r="AKL66" s="137"/>
      <c r="AKM66" s="137"/>
      <c r="AKN66" s="137"/>
      <c r="AKO66" s="137"/>
      <c r="AKP66" s="137"/>
      <c r="AKQ66" s="137"/>
      <c r="AKR66" s="137"/>
      <c r="AKS66" s="137"/>
      <c r="AKT66" s="137"/>
      <c r="AKU66" s="137"/>
      <c r="AKV66" s="137"/>
      <c r="AKW66" s="137"/>
      <c r="AKX66" s="137"/>
      <c r="AKY66" s="137"/>
      <c r="AKZ66" s="137"/>
      <c r="ALA66" s="137"/>
      <c r="ALB66" s="137"/>
      <c r="ALC66" s="137"/>
      <c r="ALD66" s="137"/>
      <c r="ALE66" s="137"/>
      <c r="ALF66" s="137"/>
      <c r="ALG66" s="137"/>
      <c r="ALH66" s="137"/>
      <c r="ALI66" s="137"/>
      <c r="ALJ66" s="137"/>
      <c r="ALK66" s="137"/>
      <c r="ALL66" s="137"/>
      <c r="ALM66" s="137"/>
      <c r="ALN66" s="137"/>
      <c r="ALO66" s="137"/>
      <c r="ALP66" s="137"/>
      <c r="ALQ66" s="137"/>
      <c r="ALR66" s="137"/>
      <c r="ALS66" s="137"/>
      <c r="ALT66" s="137"/>
      <c r="ALU66" s="137"/>
      <c r="ALV66" s="137"/>
      <c r="ALW66" s="137"/>
      <c r="ALX66" s="137"/>
      <c r="ALY66" s="137"/>
      <c r="ALZ66" s="137"/>
      <c r="AMA66" s="137"/>
      <c r="AMB66" s="137"/>
      <c r="AMC66" s="137"/>
      <c r="AMD66" s="137"/>
      <c r="AME66" s="137"/>
      <c r="AMF66" s="137"/>
      <c r="AMG66" s="137"/>
      <c r="AMH66" s="137"/>
      <c r="AMI66" s="137"/>
      <c r="AMJ66" s="137"/>
      <c r="AMK66" s="137"/>
      <c r="AML66" s="137"/>
      <c r="AMM66" s="137"/>
      <c r="AMN66" s="137"/>
      <c r="AMO66" s="137"/>
      <c r="AMP66" s="137"/>
      <c r="AMQ66" s="137"/>
      <c r="AMR66" s="137"/>
      <c r="AMS66" s="137"/>
      <c r="AMT66" s="137"/>
      <c r="AMU66" s="137"/>
      <c r="AMV66" s="137"/>
      <c r="AMW66" s="137"/>
      <c r="AMX66" s="137"/>
      <c r="AMY66" s="137"/>
      <c r="AMZ66" s="137"/>
      <c r="ANA66" s="137"/>
      <c r="ANB66" s="137"/>
      <c r="ANC66" s="137"/>
      <c r="AND66" s="137"/>
      <c r="ANE66" s="137"/>
      <c r="ANF66" s="137"/>
      <c r="ANG66" s="137"/>
      <c r="ANH66" s="137"/>
      <c r="ANI66" s="137"/>
      <c r="ANJ66" s="137"/>
      <c r="ANK66" s="137"/>
      <c r="ANL66" s="137"/>
      <c r="ANM66" s="137"/>
      <c r="ANN66" s="137"/>
      <c r="ANO66" s="137"/>
      <c r="ANP66" s="137"/>
      <c r="ANQ66" s="137"/>
      <c r="ANR66" s="137"/>
      <c r="ANS66" s="137"/>
      <c r="ANT66" s="137"/>
      <c r="ANU66" s="137"/>
      <c r="ANV66" s="137"/>
      <c r="ANW66" s="137"/>
      <c r="ANX66" s="137"/>
      <c r="ANY66" s="137"/>
      <c r="ANZ66" s="137"/>
      <c r="AOA66" s="137"/>
      <c r="AOB66" s="137"/>
      <c r="AOC66" s="137"/>
      <c r="AOD66" s="137"/>
      <c r="AOE66" s="137"/>
      <c r="AOF66" s="137"/>
      <c r="AOG66" s="137"/>
      <c r="AOH66" s="137"/>
      <c r="AOI66" s="137"/>
      <c r="AOJ66" s="137"/>
      <c r="AOK66" s="137"/>
      <c r="AOL66" s="137"/>
      <c r="AOM66" s="137"/>
      <c r="AON66" s="137"/>
      <c r="AOO66" s="137"/>
      <c r="AOP66" s="137"/>
      <c r="AOQ66" s="137"/>
      <c r="AOR66" s="137"/>
      <c r="AOS66" s="137"/>
      <c r="AOT66" s="137"/>
      <c r="AOU66" s="137"/>
      <c r="AOV66" s="137"/>
      <c r="AOW66" s="137"/>
      <c r="AOX66" s="137"/>
      <c r="AOY66" s="137"/>
      <c r="AOZ66" s="137"/>
      <c r="APA66" s="137"/>
      <c r="APB66" s="137"/>
      <c r="APC66" s="137"/>
      <c r="APD66" s="137"/>
      <c r="APE66" s="137"/>
      <c r="APF66" s="137"/>
      <c r="APG66" s="137"/>
      <c r="APH66" s="137"/>
      <c r="API66" s="137"/>
      <c r="APJ66" s="137"/>
      <c r="APK66" s="137"/>
      <c r="APL66" s="137"/>
      <c r="APM66" s="137"/>
      <c r="APN66" s="137"/>
      <c r="APO66" s="137"/>
      <c r="APP66" s="137"/>
      <c r="APQ66" s="137"/>
      <c r="APR66" s="137"/>
      <c r="APS66" s="137"/>
      <c r="APT66" s="137"/>
      <c r="APU66" s="137"/>
      <c r="APV66" s="137"/>
      <c r="APW66" s="137"/>
      <c r="APX66" s="137"/>
      <c r="APY66" s="137"/>
      <c r="APZ66" s="137"/>
      <c r="AQA66" s="137"/>
      <c r="AQB66" s="137"/>
      <c r="AQC66" s="137"/>
      <c r="AQD66" s="137"/>
      <c r="AQE66" s="137"/>
      <c r="AQF66" s="137"/>
      <c r="AQG66" s="137"/>
      <c r="AQH66" s="137"/>
      <c r="AQI66" s="137"/>
      <c r="AQJ66" s="137"/>
      <c r="AQK66" s="137"/>
      <c r="AQL66" s="137"/>
      <c r="AQM66" s="137"/>
      <c r="AQN66" s="137"/>
      <c r="AQO66" s="137"/>
      <c r="AQP66" s="137"/>
      <c r="AQQ66" s="137"/>
      <c r="AQR66" s="137"/>
      <c r="AQS66" s="137"/>
      <c r="AQT66" s="137"/>
      <c r="AQU66" s="137"/>
      <c r="AQV66" s="137"/>
      <c r="AQW66" s="137"/>
      <c r="AQX66" s="137"/>
      <c r="AQY66" s="137"/>
      <c r="AQZ66" s="137"/>
      <c r="ARA66" s="137"/>
      <c r="ARB66" s="137"/>
      <c r="ARC66" s="137"/>
      <c r="ARD66" s="137"/>
      <c r="ARE66" s="137"/>
      <c r="ARF66" s="137"/>
      <c r="ARG66" s="137"/>
      <c r="ARH66" s="137"/>
      <c r="ARI66" s="137"/>
      <c r="ARJ66" s="137"/>
      <c r="ARK66" s="137"/>
      <c r="ARL66" s="137"/>
      <c r="ARM66" s="137"/>
      <c r="ARN66" s="137"/>
      <c r="ARO66" s="137"/>
      <c r="ARP66" s="137"/>
      <c r="ARQ66" s="137"/>
      <c r="ARR66" s="137"/>
      <c r="ARS66" s="137"/>
      <c r="ART66" s="137"/>
      <c r="ARU66" s="137"/>
      <c r="ARV66" s="137"/>
      <c r="ARW66" s="137"/>
      <c r="ARX66" s="137"/>
      <c r="ARY66" s="137"/>
      <c r="ARZ66" s="137"/>
      <c r="ASA66" s="137"/>
      <c r="ASB66" s="137"/>
      <c r="ASC66" s="137"/>
      <c r="ASD66" s="137"/>
      <c r="ASE66" s="137"/>
      <c r="ASF66" s="137"/>
      <c r="ASG66" s="137"/>
      <c r="ASH66" s="137"/>
      <c r="ASI66" s="137"/>
      <c r="ASJ66" s="137"/>
      <c r="ASK66" s="137"/>
      <c r="ASL66" s="137"/>
      <c r="ASM66" s="137"/>
      <c r="ASN66" s="137"/>
      <c r="ASO66" s="137"/>
      <c r="ASP66" s="137"/>
      <c r="ASQ66" s="137"/>
      <c r="ASR66" s="137"/>
      <c r="ASS66" s="137"/>
      <c r="AST66" s="137"/>
      <c r="ASU66" s="137"/>
      <c r="ASV66" s="137"/>
      <c r="ASW66" s="137"/>
      <c r="ASX66" s="137"/>
      <c r="ASY66" s="137"/>
      <c r="ASZ66" s="137"/>
      <c r="ATA66" s="137"/>
      <c r="ATB66" s="137"/>
      <c r="ATC66" s="137"/>
      <c r="ATD66" s="137"/>
      <c r="ATE66" s="137"/>
      <c r="ATF66" s="137"/>
      <c r="ATG66" s="137"/>
      <c r="ATH66" s="137"/>
      <c r="ATI66" s="137"/>
      <c r="ATJ66" s="137"/>
      <c r="ATK66" s="137"/>
      <c r="ATL66" s="137"/>
      <c r="ATM66" s="137"/>
      <c r="ATN66" s="137"/>
      <c r="ATO66" s="137"/>
      <c r="ATP66" s="137"/>
      <c r="ATQ66" s="137"/>
      <c r="ATR66" s="137"/>
      <c r="ATS66" s="137"/>
      <c r="ATT66" s="137"/>
      <c r="ATU66" s="137"/>
      <c r="ATV66" s="137"/>
      <c r="ATW66" s="137"/>
      <c r="ATX66" s="137"/>
      <c r="ATY66" s="137"/>
      <c r="ATZ66" s="137"/>
      <c r="AUA66" s="137"/>
      <c r="AUB66" s="137"/>
      <c r="AUC66" s="137"/>
      <c r="AUD66" s="137"/>
      <c r="AUE66" s="137"/>
      <c r="AUF66" s="137"/>
      <c r="AUG66" s="137"/>
      <c r="AUH66" s="137"/>
      <c r="AUI66" s="137"/>
      <c r="AUJ66" s="137"/>
      <c r="AUK66" s="137"/>
      <c r="AUL66" s="137"/>
      <c r="AUM66" s="137"/>
      <c r="AUN66" s="137"/>
      <c r="AUO66" s="137"/>
      <c r="AUP66" s="137"/>
      <c r="AUQ66" s="137"/>
      <c r="AUR66" s="137"/>
      <c r="AUS66" s="137"/>
      <c r="AUT66" s="137"/>
      <c r="AUU66" s="137"/>
      <c r="AUV66" s="137"/>
      <c r="AUW66" s="137"/>
      <c r="AUX66" s="137"/>
      <c r="AUY66" s="137"/>
      <c r="AUZ66" s="137"/>
      <c r="AVA66" s="137"/>
      <c r="AVB66" s="137"/>
      <c r="AVC66" s="137"/>
      <c r="AVD66" s="137"/>
      <c r="AVE66" s="137"/>
      <c r="AVF66" s="137"/>
      <c r="AVG66" s="137"/>
      <c r="AVH66" s="137"/>
      <c r="AVI66" s="137"/>
      <c r="AVJ66" s="137"/>
      <c r="AVK66" s="137"/>
      <c r="AVL66" s="137"/>
      <c r="AVM66" s="137"/>
      <c r="AVN66" s="137"/>
      <c r="AVO66" s="137"/>
      <c r="AVP66" s="137"/>
      <c r="AVQ66" s="137"/>
      <c r="AVR66" s="137"/>
      <c r="AVS66" s="137"/>
      <c r="AVT66" s="137"/>
      <c r="AVU66" s="137"/>
      <c r="AVV66" s="137"/>
      <c r="AVW66" s="137"/>
      <c r="AVX66" s="137"/>
      <c r="AVY66" s="137"/>
      <c r="AVZ66" s="137"/>
      <c r="AWA66" s="137"/>
      <c r="AWB66" s="137"/>
      <c r="AWC66" s="137"/>
      <c r="AWD66" s="137"/>
      <c r="AWE66" s="137"/>
      <c r="AWF66" s="137"/>
      <c r="AWG66" s="137"/>
      <c r="AWH66" s="137"/>
      <c r="AWI66" s="137"/>
      <c r="AWJ66" s="137"/>
      <c r="AWK66" s="137"/>
      <c r="AWL66" s="137"/>
      <c r="AWM66" s="137"/>
      <c r="AWN66" s="137"/>
      <c r="AWO66" s="137"/>
      <c r="AWP66" s="137"/>
      <c r="AWQ66" s="137"/>
      <c r="AWR66" s="137"/>
      <c r="AWS66" s="137"/>
      <c r="AWT66" s="137"/>
      <c r="AWU66" s="137"/>
      <c r="AWV66" s="137"/>
      <c r="AWW66" s="137"/>
      <c r="AWX66" s="137"/>
      <c r="AWY66" s="137"/>
      <c r="AWZ66" s="137"/>
      <c r="AXA66" s="137"/>
      <c r="AXB66" s="137"/>
      <c r="AXC66" s="137"/>
      <c r="AXD66" s="137"/>
      <c r="AXE66" s="137"/>
      <c r="AXF66" s="137"/>
      <c r="AXG66" s="137"/>
      <c r="AXH66" s="137"/>
      <c r="AXI66" s="137"/>
      <c r="AXJ66" s="137"/>
      <c r="AXK66" s="137"/>
      <c r="AXL66" s="137"/>
      <c r="AXM66" s="137"/>
      <c r="AXN66" s="137"/>
      <c r="AXO66" s="137"/>
      <c r="AXP66" s="137"/>
      <c r="AXQ66" s="137"/>
      <c r="AXR66" s="137"/>
      <c r="AXS66" s="137"/>
      <c r="AXT66" s="137"/>
      <c r="AXU66" s="137"/>
      <c r="AXV66" s="137"/>
      <c r="AXW66" s="137"/>
      <c r="AXX66" s="137"/>
      <c r="AXY66" s="137"/>
      <c r="AXZ66" s="137"/>
      <c r="AYA66" s="137"/>
      <c r="AYB66" s="137"/>
      <c r="AYC66" s="137"/>
      <c r="AYD66" s="137"/>
      <c r="AYE66" s="137"/>
      <c r="AYF66" s="137"/>
      <c r="AYG66" s="137"/>
      <c r="AYH66" s="137"/>
      <c r="AYI66" s="137"/>
      <c r="AYJ66" s="137"/>
      <c r="AYK66" s="137"/>
      <c r="AYL66" s="137"/>
      <c r="AYM66" s="137"/>
      <c r="AYN66" s="137"/>
      <c r="AYO66" s="137"/>
      <c r="AYP66" s="137"/>
      <c r="AYQ66" s="137"/>
      <c r="AYR66" s="137"/>
      <c r="AYS66" s="137"/>
      <c r="AYT66" s="137"/>
      <c r="AYU66" s="137"/>
      <c r="AYV66" s="137"/>
      <c r="AYW66" s="137"/>
      <c r="AYX66" s="137"/>
      <c r="AYY66" s="137"/>
      <c r="AYZ66" s="137"/>
      <c r="AZA66" s="137"/>
      <c r="AZB66" s="137"/>
      <c r="AZC66" s="137"/>
      <c r="AZD66" s="137"/>
      <c r="AZE66" s="137"/>
      <c r="AZF66" s="137"/>
      <c r="AZG66" s="137"/>
      <c r="AZH66" s="137"/>
      <c r="AZI66" s="137"/>
      <c r="AZJ66" s="137"/>
      <c r="AZK66" s="137"/>
      <c r="AZL66" s="137"/>
      <c r="AZM66" s="137"/>
      <c r="AZN66" s="137"/>
      <c r="AZO66" s="137"/>
      <c r="AZP66" s="137"/>
      <c r="AZQ66" s="137"/>
      <c r="AZR66" s="137"/>
      <c r="AZS66" s="137"/>
      <c r="AZT66" s="137"/>
      <c r="AZU66" s="137"/>
      <c r="AZV66" s="137"/>
      <c r="AZW66" s="137"/>
      <c r="AZX66" s="137"/>
      <c r="AZY66" s="137"/>
      <c r="AZZ66" s="137"/>
      <c r="BAA66" s="137"/>
      <c r="BAB66" s="137"/>
      <c r="BAC66" s="137"/>
      <c r="BAD66" s="137"/>
      <c r="BAE66" s="137"/>
      <c r="BAF66" s="137"/>
      <c r="BAG66" s="137"/>
      <c r="BAH66" s="137"/>
      <c r="BAI66" s="137"/>
      <c r="BAJ66" s="137"/>
      <c r="BAK66" s="137"/>
      <c r="BAL66" s="137"/>
      <c r="BAM66" s="137"/>
      <c r="BAN66" s="137"/>
      <c r="BAO66" s="137"/>
      <c r="BAP66" s="137"/>
      <c r="BAQ66" s="137"/>
      <c r="BAR66" s="137"/>
      <c r="BAS66" s="137"/>
      <c r="BAT66" s="137"/>
      <c r="BAU66" s="137"/>
      <c r="BAV66" s="137"/>
      <c r="BAW66" s="137"/>
      <c r="BAX66" s="137"/>
      <c r="BAY66" s="137"/>
      <c r="BAZ66" s="137"/>
      <c r="BBA66" s="137"/>
      <c r="BBB66" s="137"/>
      <c r="BBC66" s="137"/>
      <c r="BBD66" s="137"/>
      <c r="BBE66" s="137"/>
      <c r="BBF66" s="137"/>
      <c r="BBG66" s="137"/>
      <c r="BBH66" s="137"/>
      <c r="BBI66" s="137"/>
      <c r="BBJ66" s="137"/>
      <c r="BBK66" s="137"/>
      <c r="BBL66" s="137"/>
      <c r="BBM66" s="137"/>
      <c r="BBN66" s="137"/>
      <c r="BBO66" s="137"/>
      <c r="BBP66" s="137"/>
      <c r="BBQ66" s="137"/>
      <c r="BBR66" s="137"/>
      <c r="BBS66" s="137"/>
      <c r="BBT66" s="137"/>
      <c r="BBU66" s="137"/>
      <c r="BBV66" s="137"/>
      <c r="BBW66" s="137"/>
      <c r="BBX66" s="137"/>
      <c r="BBY66" s="137"/>
      <c r="BBZ66" s="137"/>
      <c r="BCA66" s="137"/>
      <c r="BCB66" s="137"/>
      <c r="BCC66" s="137"/>
      <c r="BCD66" s="137"/>
      <c r="BCE66" s="137"/>
      <c r="BCF66" s="137"/>
      <c r="BCG66" s="137"/>
      <c r="BCH66" s="137"/>
      <c r="BCI66" s="137"/>
      <c r="BCJ66" s="137"/>
      <c r="BCK66" s="137"/>
      <c r="BCL66" s="137"/>
      <c r="BCM66" s="137"/>
      <c r="BCN66" s="137"/>
      <c r="BCO66" s="137"/>
      <c r="BCP66" s="137"/>
      <c r="BCQ66" s="137"/>
      <c r="BCR66" s="137"/>
      <c r="BCS66" s="137"/>
      <c r="BCT66" s="137"/>
      <c r="BCU66" s="137"/>
      <c r="BCV66" s="137"/>
      <c r="BCW66" s="137"/>
      <c r="BCX66" s="137"/>
      <c r="BCY66" s="137"/>
      <c r="BCZ66" s="137"/>
      <c r="BDA66" s="137"/>
      <c r="BDB66" s="137"/>
      <c r="BDC66" s="137"/>
      <c r="BDD66" s="137"/>
      <c r="BDE66" s="137"/>
      <c r="BDF66" s="137"/>
      <c r="BDG66" s="137"/>
      <c r="BDH66" s="137"/>
      <c r="BDI66" s="137"/>
      <c r="BDJ66" s="137"/>
      <c r="BDK66" s="137"/>
      <c r="BDL66" s="137"/>
      <c r="BDM66" s="137"/>
      <c r="BDN66" s="137"/>
      <c r="BDO66" s="137"/>
      <c r="BDP66" s="137"/>
      <c r="BDQ66" s="137"/>
      <c r="BDR66" s="137"/>
      <c r="BDS66" s="137"/>
      <c r="BDT66" s="137"/>
      <c r="BDU66" s="137"/>
      <c r="BDV66" s="137"/>
      <c r="BDW66" s="137"/>
      <c r="BDX66" s="137"/>
      <c r="BDY66" s="137"/>
      <c r="BDZ66" s="137"/>
      <c r="BEA66" s="137"/>
      <c r="BEB66" s="137"/>
      <c r="BEC66" s="137"/>
      <c r="BED66" s="137"/>
      <c r="BEE66" s="137"/>
      <c r="BEF66" s="137"/>
      <c r="BEG66" s="137"/>
      <c r="BEH66" s="137"/>
      <c r="BEI66" s="137"/>
      <c r="BEJ66" s="137"/>
      <c r="BEK66" s="137"/>
      <c r="BEL66" s="137"/>
      <c r="BEM66" s="137"/>
      <c r="BEN66" s="137"/>
      <c r="BEO66" s="137"/>
      <c r="BEP66" s="137"/>
      <c r="BEQ66" s="137"/>
      <c r="BER66" s="137"/>
      <c r="BES66" s="137"/>
      <c r="BET66" s="137"/>
      <c r="BEU66" s="137"/>
      <c r="BEV66" s="137"/>
      <c r="BEW66" s="137"/>
      <c r="BEX66" s="137"/>
      <c r="BEY66" s="137"/>
      <c r="BEZ66" s="137"/>
      <c r="BFA66" s="137"/>
      <c r="BFB66" s="137"/>
      <c r="BFC66" s="137"/>
      <c r="BFD66" s="137"/>
      <c r="BFE66" s="137"/>
      <c r="BFF66" s="137"/>
      <c r="BFG66" s="137"/>
      <c r="BFH66" s="137"/>
      <c r="BFI66" s="137"/>
      <c r="BFJ66" s="137"/>
      <c r="BFK66" s="137"/>
      <c r="BFL66" s="137"/>
      <c r="BFM66" s="137"/>
      <c r="BFN66" s="137"/>
      <c r="BFO66" s="137"/>
      <c r="BFP66" s="137"/>
      <c r="BFQ66" s="137"/>
      <c r="BFR66" s="137"/>
      <c r="BFS66" s="137"/>
      <c r="BFT66" s="137"/>
      <c r="BFU66" s="137"/>
      <c r="BFV66" s="137"/>
      <c r="BFW66" s="137"/>
      <c r="BFX66" s="137"/>
      <c r="BFY66" s="137"/>
      <c r="BFZ66" s="137"/>
      <c r="BGA66" s="137"/>
      <c r="BGB66" s="137"/>
      <c r="BGC66" s="137"/>
      <c r="BGD66" s="137"/>
      <c r="BGE66" s="137"/>
      <c r="BGF66" s="137"/>
      <c r="BGG66" s="137"/>
      <c r="BGH66" s="137"/>
      <c r="BGI66" s="137"/>
      <c r="BGJ66" s="137"/>
      <c r="BGK66" s="137"/>
      <c r="BGL66" s="137"/>
      <c r="BGM66" s="137"/>
      <c r="BGN66" s="137"/>
      <c r="BGO66" s="137"/>
      <c r="BGP66" s="137"/>
      <c r="BGQ66" s="137"/>
      <c r="BGR66" s="137"/>
      <c r="BGS66" s="137"/>
      <c r="BGT66" s="137"/>
      <c r="BGU66" s="137"/>
      <c r="BGV66" s="137"/>
      <c r="BGW66" s="137"/>
      <c r="BGX66" s="137"/>
      <c r="BGY66" s="137"/>
      <c r="BGZ66" s="137"/>
      <c r="BHA66" s="137"/>
      <c r="BHB66" s="137"/>
      <c r="BHC66" s="137"/>
      <c r="BHD66" s="137"/>
      <c r="BHE66" s="137"/>
      <c r="BHF66" s="137"/>
      <c r="BHG66" s="137"/>
      <c r="BHH66" s="137"/>
      <c r="BHI66" s="137"/>
      <c r="BHJ66" s="137"/>
      <c r="BHK66" s="137"/>
      <c r="BHL66" s="137"/>
      <c r="BHM66" s="137"/>
      <c r="BHN66" s="137"/>
      <c r="BHO66" s="137"/>
      <c r="BHP66" s="137"/>
      <c r="BHQ66" s="137"/>
      <c r="BHR66" s="137"/>
      <c r="BHS66" s="137"/>
      <c r="BHT66" s="137"/>
      <c r="BHU66" s="137"/>
      <c r="BHV66" s="137"/>
      <c r="BHW66" s="137"/>
      <c r="BHX66" s="137"/>
      <c r="BHY66" s="137"/>
      <c r="BHZ66" s="137"/>
      <c r="BIA66" s="137"/>
      <c r="BIB66" s="137"/>
      <c r="BIC66" s="137"/>
      <c r="BID66" s="137"/>
      <c r="BIE66" s="137"/>
      <c r="BIF66" s="137"/>
      <c r="BIG66" s="137"/>
      <c r="BIH66" s="137"/>
      <c r="BII66" s="137"/>
      <c r="BIJ66" s="137"/>
      <c r="BIK66" s="137"/>
      <c r="BIL66" s="137"/>
      <c r="BIM66" s="137"/>
      <c r="BIN66" s="137"/>
      <c r="BIO66" s="137"/>
      <c r="BIP66" s="137"/>
      <c r="BIQ66" s="137"/>
      <c r="BIR66" s="137"/>
      <c r="BIS66" s="137"/>
      <c r="BIT66" s="137"/>
      <c r="BIU66" s="137"/>
      <c r="BIV66" s="137"/>
      <c r="BIW66" s="137"/>
      <c r="BIX66" s="137"/>
      <c r="BIY66" s="137"/>
      <c r="BIZ66" s="137"/>
      <c r="BJA66" s="137"/>
      <c r="BJB66" s="137"/>
      <c r="BJC66" s="137"/>
      <c r="BJD66" s="137"/>
      <c r="BJE66" s="137"/>
      <c r="BJF66" s="137"/>
      <c r="BJG66" s="137"/>
      <c r="BJH66" s="137"/>
      <c r="BJI66" s="137"/>
      <c r="BJJ66" s="137"/>
      <c r="BJK66" s="137"/>
      <c r="BJL66" s="137"/>
      <c r="BJM66" s="137"/>
      <c r="BJN66" s="137"/>
      <c r="BJO66" s="137"/>
      <c r="BJP66" s="137"/>
      <c r="BJQ66" s="137"/>
      <c r="BJR66" s="137"/>
      <c r="BJS66" s="137"/>
      <c r="BJT66" s="137"/>
      <c r="BJU66" s="137"/>
      <c r="BJV66" s="137"/>
      <c r="BJW66" s="137"/>
      <c r="BJX66" s="137"/>
      <c r="BJY66" s="137"/>
      <c r="BJZ66" s="137"/>
      <c r="BKA66" s="137"/>
      <c r="BKB66" s="137"/>
      <c r="BKC66" s="137"/>
      <c r="BKD66" s="137"/>
      <c r="BKE66" s="137"/>
      <c r="BKF66" s="137"/>
      <c r="BKG66" s="137"/>
      <c r="BKH66" s="137"/>
      <c r="BKI66" s="137"/>
      <c r="BKJ66" s="137"/>
      <c r="BKK66" s="137"/>
      <c r="BKL66" s="137"/>
      <c r="BKM66" s="137"/>
      <c r="BKN66" s="137"/>
      <c r="BKO66" s="137"/>
      <c r="BKP66" s="137"/>
      <c r="BKQ66" s="137"/>
      <c r="BKR66" s="137"/>
      <c r="BKS66" s="137"/>
      <c r="BKT66" s="137"/>
      <c r="BKU66" s="137"/>
      <c r="BKV66" s="137"/>
      <c r="BKW66" s="137"/>
      <c r="BKX66" s="137"/>
      <c r="BKY66" s="137"/>
      <c r="BKZ66" s="137"/>
      <c r="BLA66" s="137"/>
      <c r="BLB66" s="137"/>
      <c r="BLC66" s="137"/>
      <c r="BLD66" s="137"/>
      <c r="BLE66" s="137"/>
      <c r="BLF66" s="137"/>
      <c r="BLG66" s="137"/>
      <c r="BLH66" s="137"/>
      <c r="BLI66" s="137"/>
      <c r="BLJ66" s="137"/>
      <c r="BLK66" s="137"/>
      <c r="BLL66" s="137"/>
      <c r="BLM66" s="137"/>
      <c r="BLN66" s="137"/>
      <c r="BLO66" s="137"/>
      <c r="BLP66" s="137"/>
      <c r="BLQ66" s="137"/>
      <c r="BLR66" s="137"/>
      <c r="BLS66" s="137"/>
      <c r="BLT66" s="137"/>
      <c r="BLU66" s="137"/>
      <c r="BLV66" s="137"/>
      <c r="BLW66" s="137"/>
      <c r="BLX66" s="137"/>
      <c r="BLY66" s="137"/>
      <c r="BLZ66" s="137"/>
      <c r="BMA66" s="137"/>
      <c r="BMB66" s="137"/>
      <c r="BMC66" s="137"/>
      <c r="BMD66" s="137"/>
      <c r="BME66" s="137"/>
      <c r="BMF66" s="137"/>
      <c r="BMG66" s="137"/>
      <c r="BMH66" s="137"/>
      <c r="BMI66" s="137"/>
      <c r="BMJ66" s="137"/>
      <c r="BMK66" s="137"/>
      <c r="BML66" s="137"/>
      <c r="BMM66" s="137"/>
      <c r="BMN66" s="137"/>
      <c r="BMO66" s="137"/>
      <c r="BMP66" s="137"/>
      <c r="BMQ66" s="137"/>
      <c r="BMR66" s="137"/>
      <c r="BMS66" s="137"/>
      <c r="BMT66" s="137"/>
      <c r="BMU66" s="137"/>
      <c r="BMV66" s="137"/>
      <c r="BMW66" s="137"/>
      <c r="BMX66" s="137"/>
      <c r="BMY66" s="137"/>
      <c r="BMZ66" s="137"/>
      <c r="BNA66" s="137"/>
      <c r="BNB66" s="137"/>
      <c r="BNC66" s="137"/>
      <c r="BND66" s="137"/>
      <c r="BNE66" s="137"/>
      <c r="BNF66" s="137"/>
      <c r="BNG66" s="137"/>
      <c r="BNH66" s="137"/>
      <c r="BNI66" s="137"/>
      <c r="BNJ66" s="137"/>
      <c r="BNK66" s="137"/>
      <c r="BNL66" s="137"/>
      <c r="BNM66" s="137"/>
      <c r="BNN66" s="137"/>
      <c r="BNO66" s="137"/>
      <c r="BNP66" s="137"/>
      <c r="BNQ66" s="137"/>
      <c r="BNR66" s="137"/>
      <c r="BNS66" s="137"/>
      <c r="BNT66" s="137"/>
      <c r="BNU66" s="137"/>
      <c r="BNV66" s="137"/>
      <c r="BNW66" s="137"/>
      <c r="BNX66" s="137"/>
      <c r="BNY66" s="137"/>
      <c r="BNZ66" s="137"/>
      <c r="BOA66" s="137"/>
      <c r="BOB66" s="137"/>
      <c r="BOC66" s="137"/>
      <c r="BOD66" s="137"/>
      <c r="BOE66" s="137"/>
      <c r="BOF66" s="137"/>
      <c r="BOG66" s="137"/>
      <c r="BOH66" s="137"/>
      <c r="BOI66" s="137"/>
      <c r="BOJ66" s="137"/>
      <c r="BOK66" s="137"/>
      <c r="BOL66" s="137"/>
      <c r="BOM66" s="137"/>
      <c r="BON66" s="137"/>
      <c r="BOO66" s="137"/>
      <c r="BOP66" s="137"/>
      <c r="BOQ66" s="137"/>
      <c r="BOR66" s="137"/>
      <c r="BOS66" s="137"/>
      <c r="BOT66" s="137"/>
      <c r="BOU66" s="137"/>
      <c r="BOV66" s="137"/>
      <c r="BOW66" s="137"/>
      <c r="BOX66" s="137"/>
      <c r="BOY66" s="137"/>
      <c r="BOZ66" s="137"/>
      <c r="BPA66" s="137"/>
      <c r="BPB66" s="137"/>
      <c r="BPC66" s="137"/>
      <c r="BPD66" s="137"/>
      <c r="BPE66" s="137"/>
      <c r="BPF66" s="137"/>
      <c r="BPG66" s="137"/>
      <c r="BPH66" s="137"/>
      <c r="BPI66" s="137"/>
      <c r="BPJ66" s="137"/>
      <c r="BPK66" s="137"/>
      <c r="BPL66" s="137"/>
      <c r="BPM66" s="137"/>
      <c r="BPN66" s="137"/>
      <c r="BPO66" s="137"/>
      <c r="BPP66" s="137"/>
      <c r="BPQ66" s="137"/>
      <c r="BPR66" s="137"/>
      <c r="BPS66" s="137"/>
      <c r="BPT66" s="137"/>
      <c r="BPU66" s="137"/>
      <c r="BPV66" s="137"/>
      <c r="BPW66" s="137"/>
      <c r="BPX66" s="137"/>
      <c r="BPY66" s="137"/>
      <c r="BPZ66" s="137"/>
      <c r="BQA66" s="137"/>
      <c r="BQB66" s="137"/>
      <c r="BQC66" s="137"/>
      <c r="BQD66" s="137"/>
      <c r="BQE66" s="137"/>
      <c r="BQF66" s="137"/>
      <c r="BQG66" s="137"/>
      <c r="BQH66" s="137"/>
      <c r="BQI66" s="137"/>
      <c r="BQJ66" s="137"/>
      <c r="BQK66" s="137"/>
      <c r="BQL66" s="137"/>
      <c r="BQM66" s="137"/>
      <c r="BQN66" s="137"/>
      <c r="BQO66" s="137"/>
      <c r="BQP66" s="137"/>
      <c r="BQQ66" s="137"/>
      <c r="BQR66" s="137"/>
      <c r="BQS66" s="137"/>
      <c r="BQT66" s="137"/>
      <c r="BQU66" s="137"/>
      <c r="BQV66" s="137"/>
      <c r="BQW66" s="137"/>
      <c r="BQX66" s="137"/>
      <c r="BQY66" s="137"/>
      <c r="BQZ66" s="137"/>
      <c r="BRA66" s="137"/>
      <c r="BRB66" s="137"/>
      <c r="BRC66" s="137"/>
      <c r="BRD66" s="137"/>
      <c r="BRE66" s="137"/>
      <c r="BRF66" s="137"/>
      <c r="BRG66" s="137"/>
      <c r="BRH66" s="137"/>
      <c r="BRI66" s="137"/>
      <c r="BRJ66" s="137"/>
      <c r="BRK66" s="137"/>
      <c r="BRL66" s="137"/>
      <c r="BRM66" s="137"/>
      <c r="BRN66" s="137"/>
      <c r="BRO66" s="137"/>
      <c r="BRP66" s="137"/>
      <c r="BRQ66" s="137"/>
      <c r="BRR66" s="137"/>
      <c r="BRS66" s="137"/>
      <c r="BRT66" s="137"/>
      <c r="BRU66" s="137"/>
      <c r="BRV66" s="137"/>
      <c r="BRW66" s="137"/>
      <c r="BRX66" s="137"/>
      <c r="BRY66" s="137"/>
      <c r="BRZ66" s="137"/>
      <c r="BSA66" s="137"/>
      <c r="BSB66" s="137"/>
      <c r="BSC66" s="137"/>
      <c r="BSD66" s="137"/>
      <c r="BSE66" s="137"/>
      <c r="BSF66" s="137"/>
      <c r="BSG66" s="137"/>
      <c r="BSH66" s="137"/>
      <c r="BSI66" s="137"/>
      <c r="BSJ66" s="137"/>
      <c r="BSK66" s="137"/>
      <c r="BSL66" s="137"/>
      <c r="BSM66" s="137"/>
      <c r="BSN66" s="137"/>
      <c r="BSO66" s="137"/>
      <c r="BSP66" s="137"/>
      <c r="BSQ66" s="137"/>
      <c r="BSR66" s="137"/>
      <c r="BSS66" s="137"/>
      <c r="BST66" s="137"/>
      <c r="BSU66" s="137"/>
      <c r="BSV66" s="137"/>
      <c r="BSW66" s="137"/>
      <c r="BSX66" s="137"/>
      <c r="BSY66" s="137"/>
      <c r="BSZ66" s="137"/>
      <c r="BTA66" s="137"/>
      <c r="BTB66" s="137"/>
      <c r="BTC66" s="137"/>
      <c r="BTD66" s="137"/>
      <c r="BTE66" s="137"/>
      <c r="BTF66" s="137"/>
      <c r="BTG66" s="137"/>
      <c r="BTH66" s="137"/>
      <c r="BTI66" s="137"/>
      <c r="BTJ66" s="137"/>
      <c r="BTK66" s="137"/>
      <c r="BTL66" s="137"/>
      <c r="BTM66" s="137"/>
      <c r="BTN66" s="137"/>
      <c r="BTO66" s="137"/>
      <c r="BTP66" s="137"/>
      <c r="BTQ66" s="137"/>
      <c r="BTR66" s="137"/>
      <c r="BTS66" s="137"/>
      <c r="BTT66" s="137"/>
      <c r="BTU66" s="137"/>
      <c r="BTV66" s="137"/>
      <c r="BTW66" s="137"/>
      <c r="BTX66" s="137"/>
      <c r="BTY66" s="137"/>
      <c r="BTZ66" s="137"/>
      <c r="BUA66" s="137"/>
      <c r="BUB66" s="137"/>
      <c r="BUC66" s="137"/>
      <c r="BUD66" s="137"/>
      <c r="BUE66" s="137"/>
      <c r="BUF66" s="137"/>
      <c r="BUG66" s="137"/>
      <c r="BUH66" s="137"/>
      <c r="BUI66" s="137"/>
      <c r="BUJ66" s="137"/>
      <c r="BUK66" s="137"/>
      <c r="BUL66" s="137"/>
      <c r="BUM66" s="137"/>
      <c r="BUN66" s="137"/>
      <c r="BUO66" s="137"/>
      <c r="BUP66" s="137"/>
      <c r="BUQ66" s="137"/>
      <c r="BUR66" s="137"/>
      <c r="BUS66" s="137"/>
      <c r="BUT66" s="137"/>
      <c r="BUU66" s="137"/>
      <c r="BUV66" s="137"/>
      <c r="BUW66" s="137"/>
      <c r="BUX66" s="137"/>
      <c r="BUY66" s="137"/>
      <c r="BUZ66" s="137"/>
      <c r="BVA66" s="137"/>
      <c r="BVB66" s="137"/>
      <c r="BVC66" s="137"/>
      <c r="BVD66" s="137"/>
      <c r="BVE66" s="137"/>
      <c r="BVF66" s="137"/>
      <c r="BVG66" s="137"/>
      <c r="BVH66" s="137"/>
      <c r="BVI66" s="137"/>
      <c r="BVJ66" s="137"/>
      <c r="BVK66" s="137"/>
      <c r="BVL66" s="137"/>
      <c r="BVM66" s="137"/>
      <c r="BVN66" s="137"/>
      <c r="BVO66" s="137"/>
      <c r="BVP66" s="137"/>
      <c r="BVQ66" s="137"/>
      <c r="BVR66" s="137"/>
      <c r="BVS66" s="137"/>
      <c r="BVT66" s="137"/>
      <c r="BVU66" s="137"/>
      <c r="BVV66" s="137"/>
      <c r="BVW66" s="137"/>
      <c r="BVX66" s="137"/>
      <c r="BVY66" s="137"/>
      <c r="BVZ66" s="137"/>
      <c r="BWA66" s="137"/>
      <c r="BWB66" s="137"/>
      <c r="BWC66" s="137"/>
      <c r="BWD66" s="137"/>
      <c r="BWE66" s="137"/>
      <c r="BWF66" s="137"/>
      <c r="BWG66" s="137"/>
      <c r="BWH66" s="137"/>
      <c r="BWI66" s="137"/>
      <c r="BWJ66" s="137"/>
      <c r="BWK66" s="137"/>
      <c r="BWL66" s="137"/>
      <c r="BWM66" s="137"/>
      <c r="BWN66" s="137"/>
      <c r="BWO66" s="137"/>
      <c r="BWP66" s="137"/>
      <c r="BWQ66" s="137"/>
      <c r="BWR66" s="137"/>
      <c r="BWS66" s="137"/>
      <c r="BWT66" s="137"/>
      <c r="BWU66" s="137"/>
      <c r="BWV66" s="137"/>
      <c r="BWW66" s="137"/>
      <c r="BWX66" s="137"/>
      <c r="BWY66" s="137"/>
      <c r="BWZ66" s="137"/>
      <c r="BXA66" s="137"/>
      <c r="BXB66" s="137"/>
      <c r="BXC66" s="137"/>
      <c r="BXD66" s="137"/>
      <c r="BXE66" s="137"/>
      <c r="BXF66" s="137"/>
      <c r="BXG66" s="137"/>
      <c r="BXH66" s="137"/>
      <c r="BXI66" s="137"/>
      <c r="BXJ66" s="137"/>
      <c r="BXK66" s="137"/>
      <c r="BXL66" s="137"/>
      <c r="BXM66" s="137"/>
      <c r="BXN66" s="137"/>
      <c r="BXO66" s="137"/>
      <c r="BXP66" s="137"/>
      <c r="BXQ66" s="137"/>
      <c r="BXR66" s="137"/>
      <c r="BXS66" s="137"/>
      <c r="BXT66" s="137"/>
      <c r="BXU66" s="137"/>
      <c r="BXV66" s="137"/>
      <c r="BXW66" s="137"/>
      <c r="BXX66" s="137"/>
      <c r="BXY66" s="137"/>
      <c r="BXZ66" s="137"/>
      <c r="BYA66" s="137"/>
      <c r="BYB66" s="137"/>
      <c r="BYC66" s="137"/>
      <c r="BYD66" s="137"/>
      <c r="BYE66" s="137"/>
      <c r="BYF66" s="137"/>
      <c r="BYG66" s="137"/>
      <c r="BYH66" s="137"/>
      <c r="BYI66" s="137"/>
      <c r="BYJ66" s="137"/>
      <c r="BYK66" s="137"/>
      <c r="BYL66" s="137"/>
      <c r="BYM66" s="137"/>
      <c r="BYN66" s="137"/>
      <c r="BYO66" s="137"/>
      <c r="BYP66" s="137"/>
      <c r="BYQ66" s="137"/>
      <c r="BYR66" s="137"/>
      <c r="BYS66" s="137"/>
      <c r="BYT66" s="137"/>
      <c r="BYU66" s="137"/>
      <c r="BYV66" s="137"/>
      <c r="BYW66" s="137"/>
      <c r="BYX66" s="137"/>
      <c r="BYY66" s="137"/>
      <c r="BYZ66" s="137"/>
      <c r="BZA66" s="137"/>
      <c r="BZB66" s="137"/>
      <c r="BZC66" s="137"/>
      <c r="BZD66" s="137"/>
      <c r="BZE66" s="137"/>
      <c r="BZF66" s="137"/>
      <c r="BZG66" s="137"/>
      <c r="BZH66" s="137"/>
      <c r="BZI66" s="137"/>
      <c r="BZJ66" s="137"/>
      <c r="BZK66" s="137"/>
      <c r="BZL66" s="137"/>
      <c r="BZM66" s="137"/>
      <c r="BZN66" s="137"/>
      <c r="BZO66" s="137"/>
      <c r="BZP66" s="137"/>
      <c r="BZQ66" s="137"/>
      <c r="BZR66" s="137"/>
      <c r="BZS66" s="137"/>
      <c r="BZT66" s="137"/>
      <c r="BZU66" s="137"/>
      <c r="BZV66" s="137"/>
      <c r="BZW66" s="137"/>
      <c r="BZX66" s="137"/>
      <c r="BZY66" s="137"/>
      <c r="BZZ66" s="137"/>
      <c r="CAA66" s="137"/>
      <c r="CAB66" s="137"/>
      <c r="CAC66" s="137"/>
      <c r="CAD66" s="137"/>
      <c r="CAE66" s="137"/>
      <c r="CAF66" s="137"/>
      <c r="CAG66" s="137"/>
      <c r="CAH66" s="137"/>
      <c r="CAI66" s="137"/>
      <c r="CAJ66" s="137"/>
      <c r="CAK66" s="137"/>
      <c r="CAL66" s="137"/>
      <c r="CAM66" s="137"/>
      <c r="CAN66" s="137"/>
      <c r="CAO66" s="137"/>
      <c r="CAP66" s="137"/>
      <c r="CAQ66" s="137"/>
      <c r="CAR66" s="137"/>
      <c r="CAS66" s="137"/>
      <c r="CAT66" s="137"/>
      <c r="CAU66" s="137"/>
      <c r="CAV66" s="137"/>
      <c r="CAW66" s="137"/>
      <c r="CAX66" s="137"/>
      <c r="CAY66" s="137"/>
      <c r="CAZ66" s="137"/>
      <c r="CBA66" s="137"/>
      <c r="CBB66" s="137"/>
      <c r="CBC66" s="137"/>
      <c r="CBD66" s="137"/>
      <c r="CBE66" s="137"/>
      <c r="CBF66" s="137"/>
      <c r="CBG66" s="137"/>
      <c r="CBH66" s="137"/>
      <c r="CBI66" s="137"/>
      <c r="CBJ66" s="137"/>
      <c r="CBK66" s="137"/>
      <c r="CBL66" s="137"/>
      <c r="CBM66" s="137"/>
      <c r="CBN66" s="137"/>
      <c r="CBO66" s="137"/>
      <c r="CBP66" s="137"/>
      <c r="CBQ66" s="137"/>
      <c r="CBR66" s="137"/>
      <c r="CBS66" s="137"/>
      <c r="CBT66" s="137"/>
      <c r="CBU66" s="137"/>
      <c r="CBV66" s="137"/>
      <c r="CBW66" s="137"/>
      <c r="CBX66" s="137"/>
      <c r="CBY66" s="137"/>
      <c r="CBZ66" s="137"/>
      <c r="CCA66" s="137"/>
      <c r="CCB66" s="137"/>
      <c r="CCC66" s="137"/>
      <c r="CCD66" s="137"/>
      <c r="CCE66" s="137"/>
      <c r="CCF66" s="137"/>
      <c r="CCG66" s="137"/>
      <c r="CCH66" s="137"/>
      <c r="CCI66" s="137"/>
      <c r="CCJ66" s="137"/>
      <c r="CCK66" s="137"/>
      <c r="CCL66" s="137"/>
      <c r="CCM66" s="137"/>
      <c r="CCN66" s="137"/>
      <c r="CCO66" s="137"/>
      <c r="CCP66" s="137"/>
      <c r="CCQ66" s="137"/>
      <c r="CCR66" s="137"/>
      <c r="CCS66" s="137"/>
      <c r="CCT66" s="137"/>
      <c r="CCU66" s="137"/>
      <c r="CCV66" s="137"/>
      <c r="CCW66" s="137"/>
      <c r="CCX66" s="137"/>
      <c r="CCY66" s="137"/>
      <c r="CCZ66" s="137"/>
      <c r="CDA66" s="137"/>
      <c r="CDB66" s="137"/>
      <c r="CDC66" s="137"/>
      <c r="CDD66" s="137"/>
      <c r="CDE66" s="137"/>
      <c r="CDF66" s="137"/>
      <c r="CDG66" s="137"/>
      <c r="CDH66" s="137"/>
      <c r="CDI66" s="137"/>
      <c r="CDJ66" s="137"/>
      <c r="CDK66" s="137"/>
      <c r="CDL66" s="137"/>
      <c r="CDM66" s="137"/>
      <c r="CDN66" s="137"/>
      <c r="CDO66" s="137"/>
      <c r="CDP66" s="137"/>
      <c r="CDQ66" s="137"/>
      <c r="CDR66" s="137"/>
      <c r="CDS66" s="137"/>
      <c r="CDT66" s="137"/>
      <c r="CDU66" s="137"/>
      <c r="CDV66" s="137"/>
      <c r="CDW66" s="137"/>
      <c r="CDX66" s="137"/>
      <c r="CDY66" s="137"/>
      <c r="CDZ66" s="137"/>
      <c r="CEA66" s="137"/>
      <c r="CEB66" s="137"/>
      <c r="CEC66" s="137"/>
      <c r="CED66" s="137"/>
      <c r="CEE66" s="137"/>
      <c r="CEF66" s="137"/>
      <c r="CEG66" s="137"/>
      <c r="CEH66" s="137"/>
      <c r="CEI66" s="137"/>
      <c r="CEJ66" s="137"/>
      <c r="CEK66" s="137"/>
      <c r="CEL66" s="137"/>
      <c r="CEM66" s="137"/>
      <c r="CEN66" s="137"/>
      <c r="CEO66" s="137"/>
      <c r="CEP66" s="137"/>
      <c r="CEQ66" s="137"/>
      <c r="CER66" s="137"/>
      <c r="CES66" s="137"/>
      <c r="CET66" s="137"/>
      <c r="CEU66" s="137"/>
      <c r="CEV66" s="137"/>
      <c r="CEW66" s="137"/>
      <c r="CEX66" s="137"/>
      <c r="CEY66" s="137"/>
      <c r="CEZ66" s="137"/>
      <c r="CFA66" s="137"/>
      <c r="CFB66" s="137"/>
      <c r="CFC66" s="137"/>
      <c r="CFD66" s="137"/>
      <c r="CFE66" s="137"/>
      <c r="CFF66" s="137"/>
      <c r="CFG66" s="137"/>
      <c r="CFH66" s="137"/>
      <c r="CFI66" s="137"/>
      <c r="CFJ66" s="137"/>
      <c r="CFK66" s="137"/>
      <c r="CFL66" s="137"/>
      <c r="CFM66" s="137"/>
      <c r="CFN66" s="137"/>
      <c r="CFO66" s="137"/>
      <c r="CFP66" s="137"/>
      <c r="CFQ66" s="137"/>
      <c r="CFR66" s="137"/>
      <c r="CFS66" s="137"/>
      <c r="CFT66" s="137"/>
      <c r="CFU66" s="137"/>
      <c r="CFV66" s="137"/>
      <c r="CFW66" s="137"/>
      <c r="CFX66" s="137"/>
      <c r="CFY66" s="137"/>
      <c r="CFZ66" s="137"/>
      <c r="CGA66" s="137"/>
      <c r="CGB66" s="137"/>
      <c r="CGC66" s="137"/>
      <c r="CGD66" s="137"/>
      <c r="CGE66" s="137"/>
      <c r="CGF66" s="137"/>
      <c r="CGG66" s="137"/>
      <c r="CGH66" s="137"/>
      <c r="CGI66" s="137"/>
      <c r="CGJ66" s="137"/>
      <c r="CGK66" s="137"/>
      <c r="CGL66" s="137"/>
      <c r="CGM66" s="137"/>
      <c r="CGN66" s="137"/>
      <c r="CGO66" s="137"/>
      <c r="CGP66" s="137"/>
      <c r="CGQ66" s="137"/>
      <c r="CGR66" s="137"/>
      <c r="CGS66" s="137"/>
      <c r="CGT66" s="137"/>
      <c r="CGU66" s="137"/>
      <c r="CGV66" s="137"/>
      <c r="CGW66" s="137"/>
      <c r="CGX66" s="137"/>
      <c r="CGY66" s="137"/>
      <c r="CGZ66" s="137"/>
      <c r="CHA66" s="137"/>
      <c r="CHB66" s="137"/>
      <c r="CHC66" s="137"/>
      <c r="CHD66" s="137"/>
      <c r="CHE66" s="137"/>
      <c r="CHF66" s="137"/>
      <c r="CHG66" s="137"/>
      <c r="CHH66" s="137"/>
      <c r="CHI66" s="137"/>
      <c r="CHJ66" s="137"/>
      <c r="CHK66" s="137"/>
      <c r="CHL66" s="137"/>
      <c r="CHM66" s="137"/>
      <c r="CHN66" s="137"/>
      <c r="CHO66" s="137"/>
      <c r="CHP66" s="137"/>
      <c r="CHQ66" s="137"/>
      <c r="CHR66" s="137"/>
      <c r="CHS66" s="137"/>
      <c r="CHT66" s="137"/>
      <c r="CHU66" s="137"/>
      <c r="CHV66" s="137"/>
      <c r="CHW66" s="137"/>
      <c r="CHX66" s="137"/>
      <c r="CHY66" s="137"/>
      <c r="CHZ66" s="137"/>
      <c r="CIA66" s="137"/>
      <c r="CIB66" s="137"/>
      <c r="CIC66" s="137"/>
      <c r="CID66" s="137"/>
      <c r="CIE66" s="137"/>
      <c r="CIF66" s="137"/>
      <c r="CIG66" s="137"/>
      <c r="CIH66" s="137"/>
      <c r="CII66" s="137"/>
      <c r="CIJ66" s="137"/>
      <c r="CIK66" s="137"/>
      <c r="CIL66" s="137"/>
      <c r="CIM66" s="137"/>
      <c r="CIN66" s="137"/>
      <c r="CIO66" s="137"/>
      <c r="CIP66" s="137"/>
      <c r="CIQ66" s="137"/>
      <c r="CIR66" s="137"/>
      <c r="CIS66" s="137"/>
      <c r="CIT66" s="137"/>
      <c r="CIU66" s="137"/>
      <c r="CIV66" s="137"/>
      <c r="CIW66" s="137"/>
      <c r="CIX66" s="137"/>
      <c r="CIY66" s="137"/>
      <c r="CIZ66" s="137"/>
      <c r="CJA66" s="137"/>
      <c r="CJB66" s="137"/>
      <c r="CJC66" s="137"/>
      <c r="CJD66" s="137"/>
      <c r="CJE66" s="137"/>
      <c r="CJF66" s="137"/>
      <c r="CJG66" s="137"/>
      <c r="CJH66" s="137"/>
      <c r="CJI66" s="137"/>
      <c r="CJJ66" s="137"/>
      <c r="CJK66" s="137"/>
      <c r="CJL66" s="137"/>
      <c r="CJM66" s="137"/>
      <c r="CJN66" s="137"/>
      <c r="CJO66" s="137"/>
      <c r="CJP66" s="137"/>
      <c r="CJQ66" s="137"/>
      <c r="CJR66" s="137"/>
      <c r="CJS66" s="137"/>
      <c r="CJT66" s="137"/>
      <c r="CJU66" s="137"/>
      <c r="CJV66" s="137"/>
      <c r="CJW66" s="137"/>
      <c r="CJX66" s="137"/>
      <c r="CJY66" s="137"/>
      <c r="CJZ66" s="137"/>
      <c r="CKA66" s="137"/>
      <c r="CKB66" s="137"/>
      <c r="CKC66" s="137"/>
      <c r="CKD66" s="137"/>
      <c r="CKE66" s="137"/>
      <c r="CKF66" s="137"/>
      <c r="CKG66" s="137"/>
      <c r="CKH66" s="137"/>
      <c r="CKI66" s="137"/>
      <c r="CKJ66" s="137"/>
      <c r="CKK66" s="137"/>
      <c r="CKL66" s="137"/>
      <c r="CKM66" s="137"/>
      <c r="CKN66" s="137"/>
      <c r="CKO66" s="137"/>
      <c r="CKP66" s="137"/>
      <c r="CKQ66" s="137"/>
      <c r="CKR66" s="137"/>
      <c r="CKS66" s="137"/>
      <c r="CKT66" s="137"/>
      <c r="CKU66" s="137"/>
      <c r="CKV66" s="137"/>
      <c r="CKW66" s="137"/>
      <c r="CKX66" s="137"/>
      <c r="CKY66" s="137"/>
      <c r="CKZ66" s="137"/>
      <c r="CLA66" s="137"/>
      <c r="CLB66" s="137"/>
      <c r="CLC66" s="137"/>
      <c r="CLD66" s="137"/>
      <c r="CLE66" s="137"/>
      <c r="CLF66" s="137"/>
      <c r="CLG66" s="137"/>
      <c r="CLH66" s="137"/>
      <c r="CLI66" s="137"/>
      <c r="CLJ66" s="137"/>
      <c r="CLK66" s="137"/>
      <c r="CLL66" s="137"/>
      <c r="CLM66" s="137"/>
      <c r="CLN66" s="137"/>
      <c r="CLO66" s="137"/>
      <c r="CLP66" s="137"/>
      <c r="CLQ66" s="137"/>
      <c r="CLR66" s="137"/>
      <c r="CLS66" s="137"/>
      <c r="CLT66" s="137"/>
      <c r="CLU66" s="137"/>
      <c r="CLV66" s="137"/>
      <c r="CLW66" s="137"/>
      <c r="CLX66" s="137"/>
      <c r="CLY66" s="137"/>
      <c r="CLZ66" s="137"/>
      <c r="CMA66" s="137"/>
      <c r="CMB66" s="137"/>
      <c r="CMC66" s="137"/>
      <c r="CMD66" s="137"/>
      <c r="CME66" s="137"/>
      <c r="CMF66" s="137"/>
      <c r="CMG66" s="137"/>
      <c r="CMH66" s="137"/>
      <c r="CMI66" s="137"/>
      <c r="CMJ66" s="137"/>
      <c r="CMK66" s="137"/>
      <c r="CML66" s="137"/>
      <c r="CMM66" s="137"/>
      <c r="CMN66" s="137"/>
      <c r="CMO66" s="137"/>
      <c r="CMP66" s="137"/>
      <c r="CMQ66" s="137"/>
      <c r="CMR66" s="137"/>
      <c r="CMS66" s="137"/>
      <c r="CMT66" s="137"/>
      <c r="CMU66" s="137"/>
      <c r="CMV66" s="137"/>
      <c r="CMW66" s="137"/>
      <c r="CMX66" s="137"/>
      <c r="CMY66" s="137"/>
      <c r="CMZ66" s="137"/>
      <c r="CNA66" s="137"/>
      <c r="CNB66" s="137"/>
      <c r="CNC66" s="137"/>
      <c r="CND66" s="137"/>
      <c r="CNE66" s="137"/>
      <c r="CNF66" s="137"/>
      <c r="CNG66" s="137"/>
      <c r="CNH66" s="137"/>
      <c r="CNI66" s="137"/>
      <c r="CNJ66" s="137"/>
      <c r="CNK66" s="137"/>
      <c r="CNL66" s="137"/>
      <c r="CNM66" s="137"/>
      <c r="CNN66" s="137"/>
      <c r="CNO66" s="137"/>
      <c r="CNP66" s="137"/>
      <c r="CNQ66" s="137"/>
      <c r="CNR66" s="137"/>
      <c r="CNS66" s="137"/>
      <c r="CNT66" s="137"/>
      <c r="CNU66" s="137"/>
      <c r="CNV66" s="137"/>
      <c r="CNW66" s="137"/>
      <c r="CNX66" s="137"/>
      <c r="CNY66" s="137"/>
      <c r="CNZ66" s="137"/>
      <c r="COA66" s="137"/>
      <c r="COB66" s="137"/>
      <c r="COC66" s="137"/>
      <c r="COD66" s="137"/>
      <c r="COE66" s="137"/>
      <c r="COF66" s="137"/>
      <c r="COG66" s="137"/>
      <c r="COH66" s="137"/>
      <c r="COI66" s="137"/>
      <c r="COJ66" s="137"/>
      <c r="COK66" s="137"/>
      <c r="COL66" s="137"/>
      <c r="COM66" s="137"/>
      <c r="CON66" s="137"/>
      <c r="COO66" s="137"/>
      <c r="COP66" s="137"/>
      <c r="COQ66" s="137"/>
      <c r="COR66" s="137"/>
      <c r="COS66" s="137"/>
      <c r="COT66" s="137"/>
      <c r="COU66" s="137"/>
      <c r="COV66" s="137"/>
      <c r="COW66" s="137"/>
      <c r="COX66" s="137"/>
      <c r="COY66" s="137"/>
      <c r="COZ66" s="137"/>
      <c r="CPA66" s="137"/>
      <c r="CPB66" s="137"/>
      <c r="CPC66" s="137"/>
      <c r="CPD66" s="137"/>
      <c r="CPE66" s="137"/>
      <c r="CPF66" s="137"/>
      <c r="CPG66" s="137"/>
      <c r="CPH66" s="137"/>
      <c r="CPI66" s="137"/>
      <c r="CPJ66" s="137"/>
      <c r="CPK66" s="137"/>
      <c r="CPL66" s="137"/>
      <c r="CPM66" s="137"/>
      <c r="CPN66" s="137"/>
      <c r="CPO66" s="137"/>
      <c r="CPP66" s="137"/>
      <c r="CPQ66" s="137"/>
      <c r="CPR66" s="137"/>
      <c r="CPS66" s="137"/>
      <c r="CPT66" s="137"/>
      <c r="CPU66" s="137"/>
      <c r="CPV66" s="137"/>
      <c r="CPW66" s="137"/>
      <c r="CPX66" s="137"/>
      <c r="CPY66" s="137"/>
      <c r="CPZ66" s="137"/>
      <c r="CQA66" s="137"/>
      <c r="CQB66" s="137"/>
      <c r="CQC66" s="137"/>
      <c r="CQD66" s="137"/>
      <c r="CQE66" s="137"/>
      <c r="CQF66" s="137"/>
      <c r="CQG66" s="137"/>
      <c r="CQH66" s="137"/>
      <c r="CQI66" s="137"/>
      <c r="CQJ66" s="137"/>
      <c r="CQK66" s="137"/>
      <c r="CQL66" s="137"/>
      <c r="CQM66" s="137"/>
      <c r="CQN66" s="137"/>
      <c r="CQO66" s="137"/>
      <c r="CQP66" s="137"/>
      <c r="CQQ66" s="137"/>
      <c r="CQR66" s="137"/>
      <c r="CQS66" s="137"/>
      <c r="CQT66" s="137"/>
      <c r="CQU66" s="137"/>
      <c r="CQV66" s="137"/>
      <c r="CQW66" s="137"/>
      <c r="CQX66" s="137"/>
      <c r="CQY66" s="137"/>
      <c r="CQZ66" s="137"/>
      <c r="CRA66" s="137"/>
      <c r="CRB66" s="137"/>
      <c r="CRC66" s="137"/>
      <c r="CRD66" s="137"/>
      <c r="CRE66" s="137"/>
      <c r="CRF66" s="137"/>
      <c r="CRG66" s="137"/>
      <c r="CRH66" s="137"/>
      <c r="CRI66" s="137"/>
      <c r="CRJ66" s="137"/>
      <c r="CRK66" s="137"/>
      <c r="CRL66" s="137"/>
      <c r="CRM66" s="137"/>
      <c r="CRN66" s="137"/>
      <c r="CRO66" s="137"/>
      <c r="CRP66" s="137"/>
      <c r="CRQ66" s="137"/>
      <c r="CRR66" s="137"/>
      <c r="CRS66" s="137"/>
      <c r="CRT66" s="137"/>
      <c r="CRU66" s="137"/>
      <c r="CRV66" s="137"/>
      <c r="CRW66" s="137"/>
      <c r="CRX66" s="137"/>
      <c r="CRY66" s="137"/>
      <c r="CRZ66" s="137"/>
      <c r="CSA66" s="137"/>
      <c r="CSB66" s="137"/>
      <c r="CSC66" s="137"/>
      <c r="CSD66" s="137"/>
      <c r="CSE66" s="137"/>
      <c r="CSF66" s="137"/>
      <c r="CSG66" s="137"/>
      <c r="CSH66" s="137"/>
      <c r="CSI66" s="137"/>
      <c r="CSJ66" s="137"/>
      <c r="CSK66" s="137"/>
      <c r="CSL66" s="137"/>
      <c r="CSM66" s="137"/>
      <c r="CSN66" s="137"/>
      <c r="CSO66" s="137"/>
      <c r="CSP66" s="137"/>
      <c r="CSQ66" s="137"/>
      <c r="CSR66" s="137"/>
      <c r="CSS66" s="137"/>
      <c r="CST66" s="137"/>
      <c r="CSU66" s="137"/>
      <c r="CSV66" s="137"/>
      <c r="CSW66" s="137"/>
      <c r="CSX66" s="137"/>
      <c r="CSY66" s="137"/>
      <c r="CSZ66" s="137"/>
      <c r="CTA66" s="137"/>
      <c r="CTB66" s="137"/>
      <c r="CTC66" s="137"/>
      <c r="CTD66" s="137"/>
      <c r="CTE66" s="137"/>
      <c r="CTF66" s="137"/>
      <c r="CTG66" s="137"/>
      <c r="CTH66" s="137"/>
      <c r="CTI66" s="137"/>
      <c r="CTJ66" s="137"/>
      <c r="CTK66" s="137"/>
      <c r="CTL66" s="137"/>
      <c r="CTM66" s="137"/>
      <c r="CTN66" s="137"/>
      <c r="CTO66" s="137"/>
      <c r="CTP66" s="137"/>
      <c r="CTQ66" s="137"/>
      <c r="CTR66" s="137"/>
      <c r="CTS66" s="137"/>
      <c r="CTT66" s="137"/>
      <c r="CTU66" s="137"/>
      <c r="CTV66" s="137"/>
      <c r="CTW66" s="137"/>
      <c r="CTX66" s="137"/>
      <c r="CTY66" s="137"/>
      <c r="CTZ66" s="137"/>
      <c r="CUA66" s="137"/>
      <c r="CUB66" s="137"/>
      <c r="CUC66" s="137"/>
      <c r="CUD66" s="137"/>
      <c r="CUE66" s="137"/>
      <c r="CUF66" s="137"/>
      <c r="CUG66" s="137"/>
      <c r="CUH66" s="137"/>
      <c r="CUI66" s="137"/>
      <c r="CUJ66" s="137"/>
      <c r="CUK66" s="137"/>
      <c r="CUL66" s="137"/>
      <c r="CUM66" s="137"/>
      <c r="CUN66" s="137"/>
      <c r="CUO66" s="137"/>
      <c r="CUP66" s="137"/>
      <c r="CUQ66" s="137"/>
      <c r="CUR66" s="137"/>
      <c r="CUS66" s="137"/>
      <c r="CUT66" s="137"/>
      <c r="CUU66" s="137"/>
      <c r="CUV66" s="137"/>
      <c r="CUW66" s="137"/>
      <c r="CUX66" s="137"/>
      <c r="CUY66" s="137"/>
      <c r="CUZ66" s="137"/>
      <c r="CVA66" s="137"/>
      <c r="CVB66" s="137"/>
      <c r="CVC66" s="137"/>
      <c r="CVD66" s="137"/>
      <c r="CVE66" s="137"/>
      <c r="CVF66" s="137"/>
      <c r="CVG66" s="137"/>
      <c r="CVH66" s="137"/>
      <c r="CVI66" s="137"/>
      <c r="CVJ66" s="137"/>
      <c r="CVK66" s="137"/>
      <c r="CVL66" s="137"/>
      <c r="CVM66" s="137"/>
      <c r="CVN66" s="137"/>
      <c r="CVO66" s="137"/>
      <c r="CVP66" s="137"/>
      <c r="CVQ66" s="137"/>
      <c r="CVR66" s="137"/>
      <c r="CVS66" s="137"/>
      <c r="CVT66" s="137"/>
      <c r="CVU66" s="137"/>
      <c r="CVV66" s="137"/>
      <c r="CVW66" s="137"/>
      <c r="CVX66" s="137"/>
      <c r="CVY66" s="137"/>
      <c r="CVZ66" s="137"/>
      <c r="CWA66" s="137"/>
      <c r="CWB66" s="137"/>
      <c r="CWC66" s="137"/>
      <c r="CWD66" s="137"/>
      <c r="CWE66" s="137"/>
      <c r="CWF66" s="137"/>
      <c r="CWG66" s="137"/>
      <c r="CWH66" s="137"/>
      <c r="CWI66" s="137"/>
      <c r="CWJ66" s="137"/>
      <c r="CWK66" s="137"/>
      <c r="CWL66" s="137"/>
      <c r="CWM66" s="137"/>
      <c r="CWN66" s="137"/>
      <c r="CWO66" s="137"/>
      <c r="CWP66" s="137"/>
      <c r="CWQ66" s="137"/>
      <c r="CWR66" s="137"/>
      <c r="CWS66" s="137"/>
      <c r="CWT66" s="137"/>
      <c r="CWU66" s="137"/>
      <c r="CWV66" s="137"/>
      <c r="CWW66" s="137"/>
      <c r="CWX66" s="137"/>
      <c r="CWY66" s="137"/>
      <c r="CWZ66" s="137"/>
      <c r="CXA66" s="137"/>
      <c r="CXB66" s="137"/>
      <c r="CXC66" s="137"/>
      <c r="CXD66" s="137"/>
      <c r="CXE66" s="137"/>
      <c r="CXF66" s="137"/>
      <c r="CXG66" s="137"/>
      <c r="CXH66" s="137"/>
      <c r="CXI66" s="137"/>
      <c r="CXJ66" s="137"/>
      <c r="CXK66" s="137"/>
      <c r="CXL66" s="137"/>
      <c r="CXM66" s="137"/>
      <c r="CXN66" s="137"/>
      <c r="CXO66" s="137"/>
      <c r="CXP66" s="137"/>
      <c r="CXQ66" s="137"/>
      <c r="CXR66" s="137"/>
      <c r="CXS66" s="137"/>
      <c r="CXT66" s="137"/>
      <c r="CXU66" s="137"/>
      <c r="CXV66" s="137"/>
      <c r="CXW66" s="137"/>
      <c r="CXX66" s="137"/>
      <c r="CXY66" s="137"/>
      <c r="CXZ66" s="137"/>
      <c r="CYA66" s="137"/>
      <c r="CYB66" s="137"/>
      <c r="CYC66" s="137"/>
      <c r="CYD66" s="137"/>
      <c r="CYE66" s="137"/>
      <c r="CYF66" s="137"/>
      <c r="CYG66" s="137"/>
      <c r="CYH66" s="137"/>
      <c r="CYI66" s="137"/>
      <c r="CYJ66" s="137"/>
      <c r="CYK66" s="137"/>
      <c r="CYL66" s="137"/>
      <c r="CYM66" s="137"/>
      <c r="CYN66" s="137"/>
      <c r="CYO66" s="137"/>
      <c r="CYP66" s="137"/>
      <c r="CYQ66" s="137"/>
      <c r="CYR66" s="137"/>
      <c r="CYS66" s="137"/>
      <c r="CYT66" s="137"/>
      <c r="CYU66" s="137"/>
      <c r="CYV66" s="137"/>
      <c r="CYW66" s="137"/>
      <c r="CYX66" s="137"/>
      <c r="CYY66" s="137"/>
      <c r="CYZ66" s="137"/>
      <c r="CZA66" s="137"/>
      <c r="CZB66" s="137"/>
      <c r="CZC66" s="137"/>
      <c r="CZD66" s="137"/>
      <c r="CZE66" s="137"/>
      <c r="CZF66" s="137"/>
      <c r="CZG66" s="137"/>
      <c r="CZH66" s="137"/>
      <c r="CZI66" s="137"/>
      <c r="CZJ66" s="137"/>
      <c r="CZK66" s="137"/>
      <c r="CZL66" s="137"/>
      <c r="CZM66" s="137"/>
      <c r="CZN66" s="137"/>
      <c r="CZO66" s="137"/>
      <c r="CZP66" s="137"/>
      <c r="CZQ66" s="137"/>
      <c r="CZR66" s="137"/>
      <c r="CZS66" s="137"/>
      <c r="CZT66" s="137"/>
      <c r="CZU66" s="137"/>
      <c r="CZV66" s="137"/>
      <c r="CZW66" s="137"/>
      <c r="CZX66" s="137"/>
      <c r="CZY66" s="137"/>
      <c r="CZZ66" s="137"/>
      <c r="DAA66" s="137"/>
      <c r="DAB66" s="137"/>
      <c r="DAC66" s="137"/>
      <c r="DAD66" s="137"/>
      <c r="DAE66" s="137"/>
      <c r="DAF66" s="137"/>
      <c r="DAG66" s="137"/>
      <c r="DAH66" s="137"/>
      <c r="DAI66" s="137"/>
      <c r="DAJ66" s="137"/>
      <c r="DAK66" s="137"/>
      <c r="DAL66" s="137"/>
      <c r="DAM66" s="137"/>
      <c r="DAN66" s="137"/>
      <c r="DAO66" s="137"/>
      <c r="DAP66" s="137"/>
      <c r="DAQ66" s="137"/>
      <c r="DAR66" s="137"/>
      <c r="DAS66" s="137"/>
      <c r="DAT66" s="137"/>
      <c r="DAU66" s="137"/>
      <c r="DAV66" s="137"/>
      <c r="DAW66" s="137"/>
      <c r="DAX66" s="137"/>
      <c r="DAY66" s="137"/>
      <c r="DAZ66" s="137"/>
      <c r="DBA66" s="137"/>
      <c r="DBB66" s="137"/>
      <c r="DBC66" s="137"/>
      <c r="DBD66" s="137"/>
      <c r="DBE66" s="137"/>
      <c r="DBF66" s="137"/>
      <c r="DBG66" s="137"/>
      <c r="DBH66" s="137"/>
      <c r="DBI66" s="137"/>
      <c r="DBJ66" s="137"/>
      <c r="DBK66" s="137"/>
      <c r="DBL66" s="137"/>
      <c r="DBM66" s="137"/>
      <c r="DBN66" s="137"/>
      <c r="DBO66" s="137"/>
      <c r="DBP66" s="137"/>
      <c r="DBQ66" s="137"/>
      <c r="DBR66" s="137"/>
      <c r="DBS66" s="137"/>
      <c r="DBT66" s="137"/>
      <c r="DBU66" s="137"/>
      <c r="DBV66" s="137"/>
      <c r="DBW66" s="137"/>
      <c r="DBX66" s="137"/>
      <c r="DBY66" s="137"/>
      <c r="DBZ66" s="137"/>
      <c r="DCA66" s="137"/>
      <c r="DCB66" s="137"/>
      <c r="DCC66" s="137"/>
      <c r="DCD66" s="137"/>
      <c r="DCE66" s="137"/>
      <c r="DCF66" s="137"/>
      <c r="DCG66" s="137"/>
      <c r="DCH66" s="137"/>
      <c r="DCI66" s="137"/>
      <c r="DCJ66" s="137"/>
      <c r="DCK66" s="137"/>
      <c r="DCL66" s="137"/>
      <c r="DCM66" s="137"/>
      <c r="DCN66" s="137"/>
      <c r="DCO66" s="137"/>
      <c r="DCP66" s="137"/>
      <c r="DCQ66" s="137"/>
      <c r="DCR66" s="137"/>
      <c r="DCS66" s="137"/>
      <c r="DCT66" s="137"/>
      <c r="DCU66" s="137"/>
      <c r="DCV66" s="137"/>
      <c r="DCW66" s="137"/>
      <c r="DCX66" s="137"/>
      <c r="DCY66" s="137"/>
      <c r="DCZ66" s="137"/>
      <c r="DDA66" s="137"/>
      <c r="DDB66" s="137"/>
      <c r="DDC66" s="137"/>
      <c r="DDD66" s="137"/>
      <c r="DDE66" s="137"/>
      <c r="DDF66" s="137"/>
      <c r="DDG66" s="137"/>
      <c r="DDH66" s="137"/>
      <c r="DDI66" s="137"/>
      <c r="DDJ66" s="137"/>
      <c r="DDK66" s="137"/>
      <c r="DDL66" s="137"/>
      <c r="DDM66" s="137"/>
      <c r="DDN66" s="137"/>
      <c r="DDO66" s="137"/>
      <c r="DDP66" s="137"/>
      <c r="DDQ66" s="137"/>
      <c r="DDR66" s="137"/>
      <c r="DDS66" s="137"/>
      <c r="DDT66" s="137"/>
      <c r="DDU66" s="137"/>
      <c r="DDV66" s="137"/>
      <c r="DDW66" s="137"/>
      <c r="DDX66" s="137"/>
      <c r="DDY66" s="137"/>
      <c r="DDZ66" s="137"/>
      <c r="DEA66" s="137"/>
      <c r="DEB66" s="137"/>
      <c r="DEC66" s="137"/>
      <c r="DED66" s="137"/>
      <c r="DEE66" s="137"/>
      <c r="DEF66" s="137"/>
      <c r="DEG66" s="137"/>
      <c r="DEH66" s="137"/>
      <c r="DEI66" s="137"/>
      <c r="DEJ66" s="137"/>
      <c r="DEK66" s="137"/>
      <c r="DEL66" s="137"/>
      <c r="DEM66" s="137"/>
      <c r="DEN66" s="137"/>
      <c r="DEO66" s="137"/>
      <c r="DEP66" s="137"/>
      <c r="DEQ66" s="137"/>
      <c r="DER66" s="137"/>
      <c r="DES66" s="137"/>
      <c r="DET66" s="137"/>
      <c r="DEU66" s="137"/>
      <c r="DEV66" s="137"/>
      <c r="DEW66" s="137"/>
      <c r="DEX66" s="137"/>
      <c r="DEY66" s="137"/>
      <c r="DEZ66" s="137"/>
      <c r="DFA66" s="137"/>
      <c r="DFB66" s="137"/>
      <c r="DFC66" s="137"/>
      <c r="DFD66" s="137"/>
      <c r="DFE66" s="137"/>
      <c r="DFF66" s="137"/>
      <c r="DFG66" s="137"/>
      <c r="DFH66" s="137"/>
      <c r="DFI66" s="137"/>
      <c r="DFJ66" s="137"/>
      <c r="DFK66" s="137"/>
      <c r="DFL66" s="137"/>
      <c r="DFM66" s="137"/>
      <c r="DFN66" s="137"/>
      <c r="DFO66" s="137"/>
      <c r="DFP66" s="137"/>
      <c r="DFQ66" s="137"/>
      <c r="DFR66" s="137"/>
      <c r="DFS66" s="137"/>
      <c r="DFT66" s="137"/>
      <c r="DFU66" s="137"/>
      <c r="DFV66" s="137"/>
      <c r="DFW66" s="137"/>
      <c r="DFX66" s="137"/>
      <c r="DFY66" s="137"/>
      <c r="DFZ66" s="137"/>
      <c r="DGA66" s="137"/>
      <c r="DGB66" s="137"/>
      <c r="DGC66" s="137"/>
      <c r="DGD66" s="137"/>
      <c r="DGE66" s="137"/>
      <c r="DGF66" s="137"/>
      <c r="DGG66" s="137"/>
      <c r="DGH66" s="137"/>
      <c r="DGI66" s="137"/>
      <c r="DGJ66" s="137"/>
      <c r="DGK66" s="137"/>
      <c r="DGL66" s="137"/>
      <c r="DGM66" s="137"/>
      <c r="DGN66" s="137"/>
      <c r="DGO66" s="137"/>
      <c r="DGP66" s="137"/>
      <c r="DGQ66" s="137"/>
      <c r="DGR66" s="137"/>
      <c r="DGS66" s="137"/>
      <c r="DGT66" s="137"/>
      <c r="DGU66" s="137"/>
      <c r="DGV66" s="137"/>
      <c r="DGW66" s="137"/>
      <c r="DGX66" s="137"/>
      <c r="DGY66" s="137"/>
      <c r="DGZ66" s="137"/>
      <c r="DHA66" s="137"/>
      <c r="DHB66" s="137"/>
      <c r="DHC66" s="137"/>
      <c r="DHD66" s="137"/>
      <c r="DHE66" s="137"/>
      <c r="DHF66" s="137"/>
      <c r="DHG66" s="137"/>
      <c r="DHH66" s="137"/>
      <c r="DHI66" s="137"/>
      <c r="DHJ66" s="137"/>
      <c r="DHK66" s="137"/>
      <c r="DHL66" s="137"/>
      <c r="DHM66" s="137"/>
      <c r="DHN66" s="137"/>
      <c r="DHO66" s="137"/>
      <c r="DHP66" s="137"/>
      <c r="DHQ66" s="137"/>
      <c r="DHR66" s="137"/>
      <c r="DHS66" s="137"/>
      <c r="DHT66" s="137"/>
      <c r="DHU66" s="137"/>
      <c r="DHV66" s="137"/>
      <c r="DHW66" s="137"/>
      <c r="DHX66" s="137"/>
      <c r="DHY66" s="137"/>
      <c r="DHZ66" s="137"/>
      <c r="DIA66" s="137"/>
      <c r="DIB66" s="137"/>
      <c r="DIC66" s="137"/>
      <c r="DID66" s="137"/>
      <c r="DIE66" s="137"/>
      <c r="DIF66" s="137"/>
      <c r="DIG66" s="137"/>
      <c r="DIH66" s="137"/>
      <c r="DII66" s="137"/>
      <c r="DIJ66" s="137"/>
      <c r="DIK66" s="137"/>
      <c r="DIL66" s="137"/>
      <c r="DIM66" s="137"/>
      <c r="DIN66" s="137"/>
      <c r="DIO66" s="137"/>
      <c r="DIP66" s="137"/>
      <c r="DIQ66" s="137"/>
      <c r="DIR66" s="137"/>
      <c r="DIS66" s="137"/>
      <c r="DIT66" s="137"/>
      <c r="DIU66" s="137"/>
      <c r="DIV66" s="137"/>
      <c r="DIW66" s="137"/>
      <c r="DIX66" s="137"/>
      <c r="DIY66" s="137"/>
      <c r="DIZ66" s="137"/>
      <c r="DJA66" s="137"/>
      <c r="DJB66" s="137"/>
      <c r="DJC66" s="137"/>
      <c r="DJD66" s="137"/>
      <c r="DJE66" s="137"/>
      <c r="DJF66" s="137"/>
      <c r="DJG66" s="137"/>
      <c r="DJH66" s="137"/>
      <c r="DJI66" s="137"/>
      <c r="DJJ66" s="137"/>
      <c r="DJK66" s="137"/>
      <c r="DJL66" s="137"/>
      <c r="DJM66" s="137"/>
      <c r="DJN66" s="137"/>
      <c r="DJO66" s="137"/>
      <c r="DJP66" s="137"/>
      <c r="DJQ66" s="137"/>
      <c r="DJR66" s="137"/>
      <c r="DJS66" s="137"/>
      <c r="DJT66" s="137"/>
      <c r="DJU66" s="137"/>
      <c r="DJV66" s="137"/>
      <c r="DJW66" s="137"/>
      <c r="DJX66" s="137"/>
      <c r="DJY66" s="137"/>
      <c r="DJZ66" s="137"/>
      <c r="DKA66" s="137"/>
      <c r="DKB66" s="137"/>
      <c r="DKC66" s="137"/>
      <c r="DKD66" s="137"/>
      <c r="DKE66" s="137"/>
      <c r="DKF66" s="137"/>
      <c r="DKG66" s="137"/>
      <c r="DKH66" s="137"/>
      <c r="DKI66" s="137"/>
      <c r="DKJ66" s="137"/>
      <c r="DKK66" s="137"/>
      <c r="DKL66" s="137"/>
      <c r="DKM66" s="137"/>
      <c r="DKN66" s="137"/>
      <c r="DKO66" s="137"/>
      <c r="DKP66" s="137"/>
      <c r="DKQ66" s="137"/>
      <c r="DKR66" s="137"/>
      <c r="DKS66" s="137"/>
      <c r="DKT66" s="137"/>
      <c r="DKU66" s="137"/>
      <c r="DKV66" s="137"/>
      <c r="DKW66" s="137"/>
      <c r="DKX66" s="137"/>
      <c r="DKY66" s="137"/>
      <c r="DKZ66" s="137"/>
      <c r="DLA66" s="137"/>
      <c r="DLB66" s="137"/>
      <c r="DLC66" s="137"/>
      <c r="DLD66" s="137"/>
      <c r="DLE66" s="137"/>
      <c r="DLF66" s="137"/>
      <c r="DLG66" s="137"/>
      <c r="DLH66" s="137"/>
      <c r="DLI66" s="137"/>
      <c r="DLJ66" s="137"/>
      <c r="DLK66" s="137"/>
      <c r="DLL66" s="137"/>
      <c r="DLM66" s="137"/>
      <c r="DLN66" s="137"/>
      <c r="DLO66" s="137"/>
      <c r="DLP66" s="137"/>
      <c r="DLQ66" s="137"/>
      <c r="DLR66" s="137"/>
      <c r="DLS66" s="137"/>
      <c r="DLT66" s="137"/>
      <c r="DLU66" s="137"/>
      <c r="DLV66" s="137"/>
      <c r="DLW66" s="137"/>
      <c r="DLX66" s="137"/>
      <c r="DLY66" s="137"/>
      <c r="DLZ66" s="137"/>
      <c r="DMA66" s="137"/>
      <c r="DMB66" s="137"/>
      <c r="DMC66" s="137"/>
      <c r="DMD66" s="137"/>
      <c r="DME66" s="137"/>
      <c r="DMF66" s="137"/>
      <c r="DMG66" s="137"/>
      <c r="DMH66" s="137"/>
      <c r="DMI66" s="137"/>
      <c r="DMJ66" s="137"/>
      <c r="DMK66" s="137"/>
      <c r="DML66" s="137"/>
      <c r="DMM66" s="137"/>
      <c r="DMN66" s="137"/>
      <c r="DMO66" s="137"/>
      <c r="DMP66" s="137"/>
      <c r="DMQ66" s="137"/>
      <c r="DMR66" s="137"/>
      <c r="DMS66" s="137"/>
      <c r="DMT66" s="137"/>
      <c r="DMU66" s="137"/>
      <c r="DMV66" s="137"/>
      <c r="DMW66" s="137"/>
      <c r="DMX66" s="137"/>
      <c r="DMY66" s="137"/>
      <c r="DMZ66" s="137"/>
      <c r="DNA66" s="137"/>
      <c r="DNB66" s="137"/>
      <c r="DNC66" s="137"/>
      <c r="DND66" s="137"/>
      <c r="DNE66" s="137"/>
      <c r="DNF66" s="137"/>
      <c r="DNG66" s="137"/>
      <c r="DNH66" s="137"/>
      <c r="DNI66" s="137"/>
      <c r="DNJ66" s="137"/>
      <c r="DNK66" s="137"/>
      <c r="DNL66" s="137"/>
      <c r="DNM66" s="137"/>
      <c r="DNN66" s="137"/>
      <c r="DNO66" s="137"/>
      <c r="DNP66" s="137"/>
      <c r="DNQ66" s="137"/>
      <c r="DNR66" s="137"/>
      <c r="DNS66" s="137"/>
      <c r="DNT66" s="137"/>
      <c r="DNU66" s="137"/>
      <c r="DNV66" s="137"/>
      <c r="DNW66" s="137"/>
      <c r="DNX66" s="137"/>
      <c r="DNY66" s="137"/>
      <c r="DNZ66" s="137"/>
      <c r="DOA66" s="137"/>
      <c r="DOB66" s="137"/>
      <c r="DOC66" s="137"/>
      <c r="DOD66" s="137"/>
      <c r="DOE66" s="137"/>
      <c r="DOF66" s="137"/>
      <c r="DOG66" s="137"/>
      <c r="DOH66" s="137"/>
      <c r="DOI66" s="137"/>
      <c r="DOJ66" s="137"/>
      <c r="DOK66" s="137"/>
      <c r="DOL66" s="137"/>
      <c r="DOM66" s="137"/>
      <c r="DON66" s="137"/>
      <c r="DOO66" s="137"/>
      <c r="DOP66" s="137"/>
      <c r="DOQ66" s="137"/>
      <c r="DOR66" s="137"/>
      <c r="DOS66" s="137"/>
      <c r="DOT66" s="137"/>
      <c r="DOU66" s="137"/>
      <c r="DOV66" s="137"/>
      <c r="DOW66" s="137"/>
      <c r="DOX66" s="137"/>
      <c r="DOY66" s="137"/>
      <c r="DOZ66" s="137"/>
      <c r="DPA66" s="137"/>
      <c r="DPB66" s="137"/>
      <c r="DPC66" s="137"/>
      <c r="DPD66" s="137"/>
      <c r="DPE66" s="137"/>
      <c r="DPF66" s="137"/>
      <c r="DPG66" s="137"/>
      <c r="DPH66" s="137"/>
      <c r="DPI66" s="137"/>
      <c r="DPJ66" s="137"/>
      <c r="DPK66" s="137"/>
      <c r="DPL66" s="137"/>
      <c r="DPM66" s="137"/>
      <c r="DPN66" s="137"/>
      <c r="DPO66" s="137"/>
      <c r="DPP66" s="137"/>
      <c r="DPQ66" s="137"/>
      <c r="DPR66" s="137"/>
      <c r="DPS66" s="137"/>
      <c r="DPT66" s="137"/>
      <c r="DPU66" s="137"/>
      <c r="DPV66" s="137"/>
      <c r="DPW66" s="137"/>
      <c r="DPX66" s="137"/>
      <c r="DPY66" s="137"/>
      <c r="DPZ66" s="137"/>
      <c r="DQA66" s="137"/>
      <c r="DQB66" s="137"/>
      <c r="DQC66" s="137"/>
      <c r="DQD66" s="137"/>
      <c r="DQE66" s="137"/>
      <c r="DQF66" s="137"/>
      <c r="DQG66" s="137"/>
      <c r="DQH66" s="137"/>
      <c r="DQI66" s="137"/>
      <c r="DQJ66" s="137"/>
      <c r="DQK66" s="137"/>
      <c r="DQL66" s="137"/>
      <c r="DQM66" s="137"/>
      <c r="DQN66" s="137"/>
      <c r="DQO66" s="137"/>
      <c r="DQP66" s="137"/>
      <c r="DQQ66" s="137"/>
      <c r="DQR66" s="137"/>
      <c r="DQS66" s="137"/>
      <c r="DQT66" s="137"/>
      <c r="DQU66" s="137"/>
      <c r="DQV66" s="137"/>
      <c r="DQW66" s="137"/>
      <c r="DQX66" s="137"/>
      <c r="DQY66" s="137"/>
      <c r="DQZ66" s="137"/>
      <c r="DRA66" s="137"/>
      <c r="DRB66" s="137"/>
      <c r="DRC66" s="137"/>
      <c r="DRD66" s="137"/>
      <c r="DRE66" s="137"/>
      <c r="DRF66" s="137"/>
      <c r="DRG66" s="137"/>
      <c r="DRH66" s="137"/>
      <c r="DRI66" s="137"/>
      <c r="DRJ66" s="137"/>
      <c r="DRK66" s="137"/>
      <c r="DRL66" s="137"/>
      <c r="DRM66" s="137"/>
      <c r="DRN66" s="137"/>
      <c r="DRO66" s="137"/>
      <c r="DRP66" s="137"/>
      <c r="DRQ66" s="137"/>
      <c r="DRR66" s="137"/>
      <c r="DRS66" s="137"/>
      <c r="DRT66" s="137"/>
      <c r="DRU66" s="137"/>
      <c r="DRV66" s="137"/>
      <c r="DRW66" s="137"/>
      <c r="DRX66" s="137"/>
      <c r="DRY66" s="137"/>
      <c r="DRZ66" s="137"/>
      <c r="DSA66" s="137"/>
      <c r="DSB66" s="137"/>
      <c r="DSC66" s="137"/>
      <c r="DSD66" s="137"/>
      <c r="DSE66" s="137"/>
      <c r="DSF66" s="137"/>
      <c r="DSG66" s="137"/>
      <c r="DSH66" s="137"/>
      <c r="DSI66" s="137"/>
      <c r="DSJ66" s="137"/>
      <c r="DSK66" s="137"/>
      <c r="DSL66" s="137"/>
      <c r="DSM66" s="137"/>
      <c r="DSN66" s="137"/>
      <c r="DSO66" s="137"/>
      <c r="DSP66" s="137"/>
      <c r="DSQ66" s="137"/>
      <c r="DSR66" s="137"/>
      <c r="DSS66" s="137"/>
      <c r="DST66" s="137"/>
      <c r="DSU66" s="137"/>
      <c r="DSV66" s="137"/>
      <c r="DSW66" s="137"/>
      <c r="DSX66" s="137"/>
      <c r="DSY66" s="137"/>
      <c r="DSZ66" s="137"/>
      <c r="DTA66" s="137"/>
      <c r="DTB66" s="137"/>
      <c r="DTC66" s="137"/>
      <c r="DTD66" s="137"/>
      <c r="DTE66" s="137"/>
      <c r="DTF66" s="137"/>
      <c r="DTG66" s="137"/>
      <c r="DTH66" s="137"/>
      <c r="DTI66" s="137"/>
      <c r="DTJ66" s="137"/>
      <c r="DTK66" s="137"/>
      <c r="DTL66" s="137"/>
      <c r="DTM66" s="137"/>
      <c r="DTN66" s="137"/>
      <c r="DTO66" s="137"/>
      <c r="DTP66" s="137"/>
      <c r="DTQ66" s="137"/>
      <c r="DTR66" s="137"/>
      <c r="DTS66" s="137"/>
      <c r="DTT66" s="137"/>
      <c r="DTU66" s="137"/>
      <c r="DTV66" s="137"/>
      <c r="DTW66" s="137"/>
      <c r="DTX66" s="137"/>
      <c r="DTY66" s="137"/>
      <c r="DTZ66" s="137"/>
      <c r="DUA66" s="137"/>
      <c r="DUB66" s="137"/>
      <c r="DUC66" s="137"/>
      <c r="DUD66" s="137"/>
      <c r="DUE66" s="137"/>
      <c r="DUF66" s="137"/>
      <c r="DUG66" s="137"/>
      <c r="DUH66" s="137"/>
      <c r="DUI66" s="137"/>
      <c r="DUJ66" s="137"/>
      <c r="DUK66" s="137"/>
      <c r="DUL66" s="137"/>
      <c r="DUM66" s="137"/>
      <c r="DUN66" s="137"/>
      <c r="DUO66" s="137"/>
      <c r="DUP66" s="137"/>
      <c r="DUQ66" s="137"/>
      <c r="DUR66" s="137"/>
      <c r="DUS66" s="137"/>
      <c r="DUT66" s="137"/>
      <c r="DUU66" s="137"/>
      <c r="DUV66" s="137"/>
      <c r="DUW66" s="137"/>
      <c r="DUX66" s="137"/>
      <c r="DUY66" s="137"/>
      <c r="DUZ66" s="137"/>
      <c r="DVA66" s="137"/>
      <c r="DVB66" s="137"/>
      <c r="DVC66" s="137"/>
      <c r="DVD66" s="137"/>
      <c r="DVE66" s="137"/>
      <c r="DVF66" s="137"/>
      <c r="DVG66" s="137"/>
      <c r="DVH66" s="137"/>
      <c r="DVI66" s="137"/>
      <c r="DVJ66" s="137"/>
      <c r="DVK66" s="137"/>
      <c r="DVL66" s="137"/>
      <c r="DVM66" s="137"/>
      <c r="DVN66" s="137"/>
      <c r="DVO66" s="137"/>
      <c r="DVP66" s="137"/>
      <c r="DVQ66" s="137"/>
      <c r="DVR66" s="137"/>
      <c r="DVS66" s="137"/>
      <c r="DVT66" s="137"/>
      <c r="DVU66" s="137"/>
      <c r="DVV66" s="137"/>
      <c r="DVW66" s="137"/>
      <c r="DVX66" s="137"/>
      <c r="DVY66" s="137"/>
      <c r="DVZ66" s="137"/>
      <c r="DWA66" s="137"/>
      <c r="DWB66" s="137"/>
      <c r="DWC66" s="137"/>
      <c r="DWD66" s="137"/>
      <c r="DWE66" s="137"/>
      <c r="DWF66" s="137"/>
      <c r="DWG66" s="137"/>
      <c r="DWH66" s="137"/>
      <c r="DWI66" s="137"/>
      <c r="DWJ66" s="137"/>
      <c r="DWK66" s="137"/>
      <c r="DWL66" s="137"/>
      <c r="DWM66" s="137"/>
      <c r="DWN66" s="137"/>
      <c r="DWO66" s="137"/>
      <c r="DWP66" s="137"/>
      <c r="DWQ66" s="137"/>
      <c r="DWR66" s="137"/>
      <c r="DWS66" s="137"/>
      <c r="DWT66" s="137"/>
      <c r="DWU66" s="137"/>
      <c r="DWV66" s="137"/>
      <c r="DWW66" s="137"/>
      <c r="DWX66" s="137"/>
      <c r="DWY66" s="137"/>
      <c r="DWZ66" s="137"/>
      <c r="DXA66" s="137"/>
      <c r="DXB66" s="137"/>
      <c r="DXC66" s="137"/>
      <c r="DXD66" s="137"/>
      <c r="DXE66" s="137"/>
      <c r="DXF66" s="137"/>
      <c r="DXG66" s="137"/>
      <c r="DXH66" s="137"/>
      <c r="DXI66" s="137"/>
      <c r="DXJ66" s="137"/>
      <c r="DXK66" s="137"/>
      <c r="DXL66" s="137"/>
      <c r="DXM66" s="137"/>
      <c r="DXN66" s="137"/>
      <c r="DXO66" s="137"/>
      <c r="DXP66" s="137"/>
      <c r="DXQ66" s="137"/>
      <c r="DXR66" s="137"/>
      <c r="DXS66" s="137"/>
      <c r="DXT66" s="137"/>
      <c r="DXU66" s="137"/>
      <c r="DXV66" s="137"/>
      <c r="DXW66" s="137"/>
      <c r="DXX66" s="137"/>
      <c r="DXY66" s="137"/>
      <c r="DXZ66" s="137"/>
      <c r="DYA66" s="137"/>
      <c r="DYB66" s="137"/>
      <c r="DYC66" s="137"/>
      <c r="DYD66" s="137"/>
      <c r="DYE66" s="137"/>
      <c r="DYF66" s="137"/>
      <c r="DYG66" s="137"/>
      <c r="DYH66" s="137"/>
      <c r="DYI66" s="137"/>
      <c r="DYJ66" s="137"/>
      <c r="DYK66" s="137"/>
      <c r="DYL66" s="137"/>
      <c r="DYM66" s="137"/>
      <c r="DYN66" s="137"/>
      <c r="DYO66" s="137"/>
      <c r="DYP66" s="137"/>
      <c r="DYQ66" s="137"/>
      <c r="DYR66" s="137"/>
      <c r="DYS66" s="137"/>
      <c r="DYT66" s="137"/>
      <c r="DYU66" s="137"/>
      <c r="DYV66" s="137"/>
      <c r="DYW66" s="137"/>
      <c r="DYX66" s="137"/>
      <c r="DYY66" s="137"/>
      <c r="DYZ66" s="137"/>
      <c r="DZA66" s="137"/>
      <c r="DZB66" s="137"/>
      <c r="DZC66" s="137"/>
      <c r="DZD66" s="137"/>
      <c r="DZE66" s="137"/>
      <c r="DZF66" s="137"/>
      <c r="DZG66" s="137"/>
      <c r="DZH66" s="137"/>
      <c r="DZI66" s="137"/>
      <c r="DZJ66" s="137"/>
      <c r="DZK66" s="137"/>
      <c r="DZL66" s="137"/>
      <c r="DZM66" s="137"/>
      <c r="DZN66" s="137"/>
      <c r="DZO66" s="137"/>
      <c r="DZP66" s="137"/>
      <c r="DZQ66" s="137"/>
      <c r="DZR66" s="137"/>
      <c r="DZS66" s="137"/>
      <c r="DZT66" s="137"/>
      <c r="DZU66" s="137"/>
      <c r="DZV66" s="137"/>
      <c r="DZW66" s="137"/>
      <c r="DZX66" s="137"/>
      <c r="DZY66" s="137"/>
      <c r="DZZ66" s="137"/>
      <c r="EAA66" s="137"/>
      <c r="EAB66" s="137"/>
      <c r="EAC66" s="137"/>
      <c r="EAD66" s="137"/>
      <c r="EAE66" s="137"/>
      <c r="EAF66" s="137"/>
      <c r="EAG66" s="137"/>
      <c r="EAH66" s="137"/>
      <c r="EAI66" s="137"/>
      <c r="EAJ66" s="137"/>
      <c r="EAK66" s="137"/>
      <c r="EAL66" s="137"/>
      <c r="EAM66" s="137"/>
      <c r="EAN66" s="137"/>
      <c r="EAO66" s="137"/>
      <c r="EAP66" s="137"/>
      <c r="EAQ66" s="137"/>
      <c r="EAR66" s="137"/>
      <c r="EAS66" s="137"/>
      <c r="EAT66" s="137"/>
      <c r="EAU66" s="137"/>
      <c r="EAV66" s="137"/>
      <c r="EAW66" s="137"/>
      <c r="EAX66" s="137"/>
      <c r="EAY66" s="137"/>
      <c r="EAZ66" s="137"/>
      <c r="EBA66" s="137"/>
      <c r="EBB66" s="137"/>
      <c r="EBC66" s="137"/>
      <c r="EBD66" s="137"/>
      <c r="EBE66" s="137"/>
      <c r="EBF66" s="137"/>
      <c r="EBG66" s="137"/>
      <c r="EBH66" s="137"/>
      <c r="EBI66" s="137"/>
      <c r="EBJ66" s="137"/>
      <c r="EBK66" s="137"/>
      <c r="EBL66" s="137"/>
      <c r="EBM66" s="137"/>
      <c r="EBN66" s="137"/>
      <c r="EBO66" s="137"/>
      <c r="EBP66" s="137"/>
      <c r="EBQ66" s="137"/>
      <c r="EBR66" s="137"/>
      <c r="EBS66" s="137"/>
      <c r="EBT66" s="137"/>
      <c r="EBU66" s="137"/>
      <c r="EBV66" s="137"/>
      <c r="EBW66" s="137"/>
      <c r="EBX66" s="137"/>
      <c r="EBY66" s="137"/>
      <c r="EBZ66" s="137"/>
      <c r="ECA66" s="137"/>
      <c r="ECB66" s="137"/>
      <c r="ECC66" s="137"/>
      <c r="ECD66" s="137"/>
      <c r="ECE66" s="137"/>
      <c r="ECF66" s="137"/>
      <c r="ECG66" s="137"/>
      <c r="ECH66" s="137"/>
      <c r="ECI66" s="137"/>
      <c r="ECJ66" s="137"/>
      <c r="ECK66" s="137"/>
      <c r="ECL66" s="137"/>
      <c r="ECM66" s="137"/>
      <c r="ECN66" s="137"/>
      <c r="ECO66" s="137"/>
      <c r="ECP66" s="137"/>
      <c r="ECQ66" s="137"/>
      <c r="ECR66" s="137"/>
      <c r="ECS66" s="137"/>
      <c r="ECT66" s="137"/>
      <c r="ECU66" s="137"/>
      <c r="ECV66" s="137"/>
      <c r="ECW66" s="137"/>
      <c r="ECX66" s="137"/>
      <c r="ECY66" s="137"/>
      <c r="ECZ66" s="137"/>
      <c r="EDA66" s="137"/>
      <c r="EDB66" s="137"/>
      <c r="EDC66" s="137"/>
      <c r="EDD66" s="137"/>
      <c r="EDE66" s="137"/>
      <c r="EDF66" s="137"/>
      <c r="EDG66" s="137"/>
      <c r="EDH66" s="137"/>
      <c r="EDI66" s="137"/>
      <c r="EDJ66" s="137"/>
      <c r="EDK66" s="137"/>
      <c r="EDL66" s="137"/>
      <c r="EDM66" s="137"/>
      <c r="EDN66" s="137"/>
      <c r="EDO66" s="137"/>
      <c r="EDP66" s="137"/>
      <c r="EDQ66" s="137"/>
      <c r="EDR66" s="137"/>
      <c r="EDS66" s="137"/>
      <c r="EDT66" s="137"/>
      <c r="EDU66" s="137"/>
      <c r="EDV66" s="137"/>
      <c r="EDW66" s="137"/>
      <c r="EDX66" s="137"/>
      <c r="EDY66" s="137"/>
      <c r="EDZ66" s="137"/>
      <c r="EEA66" s="137"/>
      <c r="EEB66" s="137"/>
      <c r="EEC66" s="137"/>
      <c r="EED66" s="137"/>
      <c r="EEE66" s="137"/>
      <c r="EEF66" s="137"/>
      <c r="EEG66" s="137"/>
      <c r="EEH66" s="137"/>
      <c r="EEI66" s="137"/>
      <c r="EEJ66" s="137"/>
      <c r="EEK66" s="137"/>
      <c r="EEL66" s="137"/>
      <c r="EEM66" s="137"/>
      <c r="EEN66" s="137"/>
      <c r="EEO66" s="137"/>
      <c r="EEP66" s="137"/>
      <c r="EEQ66" s="137"/>
      <c r="EER66" s="137"/>
      <c r="EES66" s="137"/>
      <c r="EET66" s="137"/>
      <c r="EEU66" s="137"/>
      <c r="EEV66" s="137"/>
      <c r="EEW66" s="137"/>
      <c r="EEX66" s="137"/>
      <c r="EEY66" s="137"/>
      <c r="EEZ66" s="137"/>
      <c r="EFA66" s="137"/>
      <c r="EFB66" s="137"/>
      <c r="EFC66" s="137"/>
      <c r="EFD66" s="137"/>
      <c r="EFE66" s="137"/>
      <c r="EFF66" s="137"/>
      <c r="EFG66" s="137"/>
      <c r="EFH66" s="137"/>
      <c r="EFI66" s="137"/>
      <c r="EFJ66" s="137"/>
      <c r="EFK66" s="137"/>
      <c r="EFL66" s="137"/>
      <c r="EFM66" s="137"/>
      <c r="EFN66" s="137"/>
      <c r="EFO66" s="137"/>
      <c r="EFP66" s="137"/>
      <c r="EFQ66" s="137"/>
      <c r="EFR66" s="137"/>
      <c r="EFS66" s="137"/>
      <c r="EFT66" s="137"/>
      <c r="EFU66" s="137"/>
      <c r="EFV66" s="137"/>
      <c r="EFW66" s="137"/>
      <c r="EFX66" s="137"/>
      <c r="EFY66" s="137"/>
      <c r="EFZ66" s="137"/>
      <c r="EGA66" s="137"/>
      <c r="EGB66" s="137"/>
      <c r="EGC66" s="137"/>
      <c r="EGD66" s="137"/>
      <c r="EGE66" s="137"/>
      <c r="EGF66" s="137"/>
      <c r="EGG66" s="137"/>
      <c r="EGH66" s="137"/>
      <c r="EGI66" s="137"/>
      <c r="EGJ66" s="137"/>
      <c r="EGK66" s="137"/>
      <c r="EGL66" s="137"/>
      <c r="EGM66" s="137"/>
      <c r="EGN66" s="137"/>
      <c r="EGO66" s="137"/>
      <c r="EGP66" s="137"/>
      <c r="EGQ66" s="137"/>
      <c r="EGR66" s="137"/>
      <c r="EGS66" s="137"/>
      <c r="EGT66" s="137"/>
      <c r="EGU66" s="137"/>
      <c r="EGV66" s="137"/>
      <c r="EGW66" s="137"/>
      <c r="EGX66" s="137"/>
      <c r="EGY66" s="137"/>
      <c r="EGZ66" s="137"/>
      <c r="EHA66" s="137"/>
      <c r="EHB66" s="137"/>
      <c r="EHC66" s="137"/>
      <c r="EHD66" s="137"/>
      <c r="EHE66" s="137"/>
      <c r="EHF66" s="137"/>
      <c r="EHG66" s="137"/>
      <c r="EHH66" s="137"/>
      <c r="EHI66" s="137"/>
      <c r="EHJ66" s="137"/>
      <c r="EHK66" s="137"/>
      <c r="EHL66" s="137"/>
      <c r="EHM66" s="137"/>
      <c r="EHN66" s="137"/>
      <c r="EHO66" s="137"/>
      <c r="EHP66" s="137"/>
      <c r="EHQ66" s="137"/>
      <c r="EHR66" s="137"/>
      <c r="EHS66" s="137"/>
      <c r="EHT66" s="137"/>
      <c r="EHU66" s="137"/>
      <c r="EHV66" s="137"/>
      <c r="EHW66" s="137"/>
      <c r="EHX66" s="137"/>
      <c r="EHY66" s="137"/>
      <c r="EHZ66" s="137"/>
      <c r="EIA66" s="137"/>
      <c r="EIB66" s="137"/>
      <c r="EIC66" s="137"/>
      <c r="EID66" s="137"/>
      <c r="EIE66" s="137"/>
      <c r="EIF66" s="137"/>
      <c r="EIG66" s="137"/>
      <c r="EIH66" s="137"/>
      <c r="EII66" s="137"/>
      <c r="EIJ66" s="137"/>
      <c r="EIK66" s="137"/>
      <c r="EIL66" s="137"/>
      <c r="EIM66" s="137"/>
      <c r="EIN66" s="137"/>
      <c r="EIO66" s="137"/>
      <c r="EIP66" s="137"/>
      <c r="EIQ66" s="137"/>
      <c r="EIR66" s="137"/>
      <c r="EIS66" s="137"/>
      <c r="EIT66" s="137"/>
      <c r="EIU66" s="137"/>
      <c r="EIV66" s="137"/>
      <c r="EIW66" s="137"/>
      <c r="EIX66" s="137"/>
      <c r="EIY66" s="137"/>
      <c r="EIZ66" s="137"/>
      <c r="EJA66" s="137"/>
      <c r="EJB66" s="137"/>
      <c r="EJC66" s="137"/>
      <c r="EJD66" s="137"/>
      <c r="EJE66" s="137"/>
      <c r="EJF66" s="137"/>
      <c r="EJG66" s="137"/>
      <c r="EJH66" s="137"/>
      <c r="EJI66" s="137"/>
      <c r="EJJ66" s="137"/>
      <c r="EJK66" s="137"/>
      <c r="EJL66" s="137"/>
      <c r="EJM66" s="137"/>
      <c r="EJN66" s="137"/>
      <c r="EJO66" s="137"/>
      <c r="EJP66" s="137"/>
      <c r="EJQ66" s="137"/>
      <c r="EJR66" s="137"/>
      <c r="EJS66" s="137"/>
      <c r="EJT66" s="137"/>
      <c r="EJU66" s="137"/>
      <c r="EJV66" s="137"/>
      <c r="EJW66" s="137"/>
      <c r="EJX66" s="137"/>
      <c r="EJY66" s="137"/>
      <c r="EJZ66" s="137"/>
      <c r="EKA66" s="137"/>
      <c r="EKB66" s="137"/>
      <c r="EKC66" s="137"/>
      <c r="EKD66" s="137"/>
      <c r="EKE66" s="137"/>
      <c r="EKF66" s="137"/>
      <c r="EKG66" s="137"/>
      <c r="EKH66" s="137"/>
      <c r="EKI66" s="137"/>
      <c r="EKJ66" s="137"/>
      <c r="EKK66" s="137"/>
      <c r="EKL66" s="137"/>
      <c r="EKM66" s="137"/>
      <c r="EKN66" s="137"/>
      <c r="EKO66" s="137"/>
      <c r="EKP66" s="137"/>
      <c r="EKQ66" s="137"/>
      <c r="EKR66" s="137"/>
      <c r="EKS66" s="137"/>
      <c r="EKT66" s="137"/>
      <c r="EKU66" s="137"/>
      <c r="EKV66" s="137"/>
      <c r="EKW66" s="137"/>
      <c r="EKX66" s="137"/>
      <c r="EKY66" s="137"/>
      <c r="EKZ66" s="137"/>
      <c r="ELA66" s="137"/>
      <c r="ELB66" s="137"/>
      <c r="ELC66" s="137"/>
      <c r="ELD66" s="137"/>
      <c r="ELE66" s="137"/>
      <c r="ELF66" s="137"/>
      <c r="ELG66" s="137"/>
      <c r="ELH66" s="137"/>
      <c r="ELI66" s="137"/>
      <c r="ELJ66" s="137"/>
      <c r="ELK66" s="137"/>
      <c r="ELL66" s="137"/>
      <c r="ELM66" s="137"/>
      <c r="ELN66" s="137"/>
      <c r="ELO66" s="137"/>
      <c r="ELP66" s="137"/>
      <c r="ELQ66" s="137"/>
      <c r="ELR66" s="137"/>
      <c r="ELS66" s="137"/>
      <c r="ELT66" s="137"/>
      <c r="ELU66" s="137"/>
      <c r="ELV66" s="137"/>
      <c r="ELW66" s="137"/>
      <c r="ELX66" s="137"/>
      <c r="ELY66" s="137"/>
      <c r="ELZ66" s="137"/>
      <c r="EMA66" s="137"/>
      <c r="EMB66" s="137"/>
      <c r="EMC66" s="137"/>
      <c r="EMD66" s="137"/>
      <c r="EME66" s="137"/>
      <c r="EMF66" s="137"/>
      <c r="EMG66" s="137"/>
      <c r="EMH66" s="137"/>
      <c r="EMI66" s="137"/>
      <c r="EMJ66" s="137"/>
      <c r="EMK66" s="137"/>
      <c r="EML66" s="137"/>
      <c r="EMM66" s="137"/>
      <c r="EMN66" s="137"/>
      <c r="EMO66" s="137"/>
      <c r="EMP66" s="137"/>
      <c r="EMQ66" s="137"/>
      <c r="EMR66" s="137"/>
      <c r="EMS66" s="137"/>
      <c r="EMT66" s="137"/>
      <c r="EMU66" s="137"/>
      <c r="EMV66" s="137"/>
      <c r="EMW66" s="137"/>
      <c r="EMX66" s="137"/>
      <c r="EMY66" s="137"/>
      <c r="EMZ66" s="137"/>
      <c r="ENA66" s="137"/>
      <c r="ENB66" s="137"/>
      <c r="ENC66" s="137"/>
      <c r="END66" s="137"/>
      <c r="ENE66" s="137"/>
      <c r="ENF66" s="137"/>
      <c r="ENG66" s="137"/>
      <c r="ENH66" s="137"/>
      <c r="ENI66" s="137"/>
      <c r="ENJ66" s="137"/>
      <c r="ENK66" s="137"/>
      <c r="ENL66" s="137"/>
      <c r="ENM66" s="137"/>
      <c r="ENN66" s="137"/>
      <c r="ENO66" s="137"/>
      <c r="ENP66" s="137"/>
      <c r="ENQ66" s="137"/>
      <c r="ENR66" s="137"/>
      <c r="ENS66" s="137"/>
      <c r="ENT66" s="137"/>
      <c r="ENU66" s="137"/>
      <c r="ENV66" s="137"/>
      <c r="ENW66" s="137"/>
      <c r="ENX66" s="137"/>
      <c r="ENY66" s="137"/>
      <c r="ENZ66" s="137"/>
      <c r="EOA66" s="137"/>
      <c r="EOB66" s="137"/>
      <c r="EOC66" s="137"/>
      <c r="EOD66" s="137"/>
      <c r="EOE66" s="137"/>
      <c r="EOF66" s="137"/>
      <c r="EOG66" s="137"/>
      <c r="EOH66" s="137"/>
      <c r="EOI66" s="137"/>
      <c r="EOJ66" s="137"/>
      <c r="EOK66" s="137"/>
      <c r="EOL66" s="137"/>
      <c r="EOM66" s="137"/>
      <c r="EON66" s="137"/>
      <c r="EOO66" s="137"/>
      <c r="EOP66" s="137"/>
      <c r="EOQ66" s="137"/>
      <c r="EOR66" s="137"/>
      <c r="EOS66" s="137"/>
      <c r="EOT66" s="137"/>
      <c r="EOU66" s="137"/>
      <c r="EOV66" s="137"/>
      <c r="EOW66" s="137"/>
      <c r="EOX66" s="137"/>
      <c r="EOY66" s="137"/>
      <c r="EOZ66" s="137"/>
      <c r="EPA66" s="137"/>
      <c r="EPB66" s="137"/>
      <c r="EPC66" s="137"/>
      <c r="EPD66" s="137"/>
      <c r="EPE66" s="137"/>
      <c r="EPF66" s="137"/>
      <c r="EPG66" s="137"/>
      <c r="EPH66" s="137"/>
      <c r="EPI66" s="137"/>
      <c r="EPJ66" s="137"/>
      <c r="EPK66" s="137"/>
      <c r="EPL66" s="137"/>
      <c r="EPM66" s="137"/>
      <c r="EPN66" s="137"/>
      <c r="EPO66" s="137"/>
      <c r="EPP66" s="137"/>
      <c r="EPQ66" s="137"/>
      <c r="EPR66" s="137"/>
      <c r="EPS66" s="137"/>
      <c r="EPT66" s="137"/>
      <c r="EPU66" s="137"/>
      <c r="EPV66" s="137"/>
      <c r="EPW66" s="137"/>
      <c r="EPX66" s="137"/>
      <c r="EPY66" s="137"/>
      <c r="EPZ66" s="137"/>
      <c r="EQA66" s="137"/>
      <c r="EQB66" s="137"/>
      <c r="EQC66" s="137"/>
      <c r="EQD66" s="137"/>
      <c r="EQE66" s="137"/>
      <c r="EQF66" s="137"/>
      <c r="EQG66" s="137"/>
      <c r="EQH66" s="137"/>
      <c r="EQI66" s="137"/>
      <c r="EQJ66" s="137"/>
      <c r="EQK66" s="137"/>
      <c r="EQL66" s="137"/>
      <c r="EQM66" s="137"/>
      <c r="EQN66" s="137"/>
      <c r="EQO66" s="137"/>
      <c r="EQP66" s="137"/>
      <c r="EQQ66" s="137"/>
      <c r="EQR66" s="137"/>
      <c r="EQS66" s="137"/>
      <c r="EQT66" s="137"/>
      <c r="EQU66" s="137"/>
      <c r="EQV66" s="137"/>
      <c r="EQW66" s="137"/>
      <c r="EQX66" s="137"/>
      <c r="EQY66" s="137"/>
      <c r="EQZ66" s="137"/>
      <c r="ERA66" s="137"/>
      <c r="ERB66" s="137"/>
      <c r="ERC66" s="137"/>
      <c r="ERD66" s="137"/>
      <c r="ERE66" s="137"/>
      <c r="ERF66" s="137"/>
      <c r="ERG66" s="137"/>
      <c r="ERH66" s="137"/>
      <c r="ERI66" s="137"/>
      <c r="ERJ66" s="137"/>
      <c r="ERK66" s="137"/>
      <c r="ERL66" s="137"/>
      <c r="ERM66" s="137"/>
      <c r="ERN66" s="137"/>
      <c r="ERO66" s="137"/>
      <c r="ERP66" s="137"/>
      <c r="ERQ66" s="137"/>
      <c r="ERR66" s="137"/>
      <c r="ERS66" s="137"/>
      <c r="ERT66" s="137"/>
      <c r="ERU66" s="137"/>
      <c r="ERV66" s="137"/>
      <c r="ERW66" s="137"/>
      <c r="ERX66" s="137"/>
      <c r="ERY66" s="137"/>
      <c r="ERZ66" s="137"/>
      <c r="ESA66" s="137"/>
      <c r="ESB66" s="137"/>
      <c r="ESC66" s="137"/>
      <c r="ESD66" s="137"/>
      <c r="ESE66" s="137"/>
      <c r="ESF66" s="137"/>
      <c r="ESG66" s="137"/>
      <c r="ESH66" s="137"/>
      <c r="ESI66" s="137"/>
      <c r="ESJ66" s="137"/>
      <c r="ESK66" s="137"/>
      <c r="ESL66" s="137"/>
      <c r="ESM66" s="137"/>
      <c r="ESN66" s="137"/>
      <c r="ESO66" s="137"/>
      <c r="ESP66" s="137"/>
      <c r="ESQ66" s="137"/>
      <c r="ESR66" s="137"/>
      <c r="ESS66" s="137"/>
      <c r="EST66" s="137"/>
      <c r="ESU66" s="137"/>
      <c r="ESV66" s="137"/>
      <c r="ESW66" s="137"/>
      <c r="ESX66" s="137"/>
      <c r="ESY66" s="137"/>
      <c r="ESZ66" s="137"/>
      <c r="ETA66" s="137"/>
      <c r="ETB66" s="137"/>
      <c r="ETC66" s="137"/>
      <c r="ETD66" s="137"/>
      <c r="ETE66" s="137"/>
      <c r="ETF66" s="137"/>
      <c r="ETG66" s="137"/>
      <c r="ETH66" s="137"/>
      <c r="ETI66" s="137"/>
      <c r="ETJ66" s="137"/>
      <c r="ETK66" s="137"/>
      <c r="ETL66" s="137"/>
      <c r="ETM66" s="137"/>
      <c r="ETN66" s="137"/>
      <c r="ETO66" s="137"/>
      <c r="ETP66" s="137"/>
      <c r="ETQ66" s="137"/>
      <c r="ETR66" s="137"/>
      <c r="ETS66" s="137"/>
      <c r="ETT66" s="137"/>
      <c r="ETU66" s="137"/>
      <c r="ETV66" s="137"/>
      <c r="ETW66" s="137"/>
      <c r="ETX66" s="137"/>
      <c r="ETY66" s="137"/>
      <c r="ETZ66" s="137"/>
      <c r="EUA66" s="137"/>
      <c r="EUB66" s="137"/>
      <c r="EUC66" s="137"/>
      <c r="EUD66" s="137"/>
      <c r="EUE66" s="137"/>
      <c r="EUF66" s="137"/>
      <c r="EUG66" s="137"/>
      <c r="EUH66" s="137"/>
      <c r="EUI66" s="137"/>
      <c r="EUJ66" s="137"/>
      <c r="EUK66" s="137"/>
      <c r="EUL66" s="137"/>
      <c r="EUM66" s="137"/>
      <c r="EUN66" s="137"/>
      <c r="EUO66" s="137"/>
      <c r="EUP66" s="137"/>
      <c r="EUQ66" s="137"/>
      <c r="EUR66" s="137"/>
      <c r="EUS66" s="137"/>
      <c r="EUT66" s="137"/>
      <c r="EUU66" s="137"/>
      <c r="EUV66" s="137"/>
      <c r="EUW66" s="137"/>
      <c r="EUX66" s="137"/>
      <c r="EUY66" s="137"/>
      <c r="EUZ66" s="137"/>
      <c r="EVA66" s="137"/>
      <c r="EVB66" s="137"/>
      <c r="EVC66" s="137"/>
      <c r="EVD66" s="137"/>
      <c r="EVE66" s="137"/>
      <c r="EVF66" s="137"/>
      <c r="EVG66" s="137"/>
      <c r="EVH66" s="137"/>
      <c r="EVI66" s="137"/>
      <c r="EVJ66" s="137"/>
      <c r="EVK66" s="137"/>
      <c r="EVL66" s="137"/>
      <c r="EVM66" s="137"/>
      <c r="EVN66" s="137"/>
      <c r="EVO66" s="137"/>
      <c r="EVP66" s="137"/>
      <c r="EVQ66" s="137"/>
      <c r="EVR66" s="137"/>
      <c r="EVS66" s="137"/>
      <c r="EVT66" s="137"/>
      <c r="EVU66" s="137"/>
      <c r="EVV66" s="137"/>
      <c r="EVW66" s="137"/>
      <c r="EVX66" s="137"/>
      <c r="EVY66" s="137"/>
      <c r="EVZ66" s="137"/>
      <c r="EWA66" s="137"/>
      <c r="EWB66" s="137"/>
      <c r="EWC66" s="137"/>
      <c r="EWD66" s="137"/>
      <c r="EWE66" s="137"/>
      <c r="EWF66" s="137"/>
      <c r="EWG66" s="137"/>
      <c r="EWH66" s="137"/>
      <c r="EWI66" s="137"/>
      <c r="EWJ66" s="137"/>
      <c r="EWK66" s="137"/>
      <c r="EWL66" s="137"/>
      <c r="EWM66" s="137"/>
      <c r="EWN66" s="137"/>
      <c r="EWO66" s="137"/>
      <c r="EWP66" s="137"/>
      <c r="EWQ66" s="137"/>
      <c r="EWR66" s="137"/>
      <c r="EWS66" s="137"/>
      <c r="EWT66" s="137"/>
      <c r="EWU66" s="137"/>
      <c r="EWV66" s="137"/>
      <c r="EWW66" s="137"/>
      <c r="EWX66" s="137"/>
      <c r="EWY66" s="137"/>
      <c r="EWZ66" s="137"/>
      <c r="EXA66" s="137"/>
      <c r="EXB66" s="137"/>
      <c r="EXC66" s="137"/>
      <c r="EXD66" s="137"/>
      <c r="EXE66" s="137"/>
      <c r="EXF66" s="137"/>
      <c r="EXG66" s="137"/>
      <c r="EXH66" s="137"/>
      <c r="EXI66" s="137"/>
      <c r="EXJ66" s="137"/>
      <c r="EXK66" s="137"/>
      <c r="EXL66" s="137"/>
      <c r="EXM66" s="137"/>
      <c r="EXN66" s="137"/>
      <c r="EXO66" s="137"/>
      <c r="EXP66" s="137"/>
      <c r="EXQ66" s="137"/>
      <c r="EXR66" s="137"/>
      <c r="EXS66" s="137"/>
      <c r="EXT66" s="137"/>
      <c r="EXU66" s="137"/>
      <c r="EXV66" s="137"/>
      <c r="EXW66" s="137"/>
      <c r="EXX66" s="137"/>
      <c r="EXY66" s="137"/>
      <c r="EXZ66" s="137"/>
      <c r="EYA66" s="137"/>
      <c r="EYB66" s="137"/>
      <c r="EYC66" s="137"/>
      <c r="EYD66" s="137"/>
      <c r="EYE66" s="137"/>
      <c r="EYF66" s="137"/>
      <c r="EYG66" s="137"/>
      <c r="EYH66" s="137"/>
      <c r="EYI66" s="137"/>
      <c r="EYJ66" s="137"/>
      <c r="EYK66" s="137"/>
      <c r="EYL66" s="137"/>
      <c r="EYM66" s="137"/>
      <c r="EYN66" s="137"/>
      <c r="EYO66" s="137"/>
      <c r="EYP66" s="137"/>
      <c r="EYQ66" s="137"/>
      <c r="EYR66" s="137"/>
      <c r="EYS66" s="137"/>
      <c r="EYT66" s="137"/>
      <c r="EYU66" s="137"/>
      <c r="EYV66" s="137"/>
      <c r="EYW66" s="137"/>
      <c r="EYX66" s="137"/>
      <c r="EYY66" s="137"/>
      <c r="EYZ66" s="137"/>
      <c r="EZA66" s="137"/>
      <c r="EZB66" s="137"/>
      <c r="EZC66" s="137"/>
      <c r="EZD66" s="137"/>
      <c r="EZE66" s="137"/>
      <c r="EZF66" s="137"/>
      <c r="EZG66" s="137"/>
      <c r="EZH66" s="137"/>
      <c r="EZI66" s="137"/>
      <c r="EZJ66" s="137"/>
      <c r="EZK66" s="137"/>
      <c r="EZL66" s="137"/>
      <c r="EZM66" s="137"/>
      <c r="EZN66" s="137"/>
      <c r="EZO66" s="137"/>
      <c r="EZP66" s="137"/>
      <c r="EZQ66" s="137"/>
      <c r="EZR66" s="137"/>
      <c r="EZS66" s="137"/>
      <c r="EZT66" s="137"/>
      <c r="EZU66" s="137"/>
      <c r="EZV66" s="137"/>
      <c r="EZW66" s="137"/>
      <c r="EZX66" s="137"/>
      <c r="EZY66" s="137"/>
      <c r="EZZ66" s="137"/>
      <c r="FAA66" s="137"/>
      <c r="FAB66" s="137"/>
      <c r="FAC66" s="137"/>
      <c r="FAD66" s="137"/>
      <c r="FAE66" s="137"/>
      <c r="FAF66" s="137"/>
      <c r="FAG66" s="137"/>
      <c r="FAH66" s="137"/>
      <c r="FAI66" s="137"/>
      <c r="FAJ66" s="137"/>
      <c r="FAK66" s="137"/>
      <c r="FAL66" s="137"/>
      <c r="FAM66" s="137"/>
      <c r="FAN66" s="137"/>
      <c r="FAO66" s="137"/>
      <c r="FAP66" s="137"/>
      <c r="FAQ66" s="137"/>
      <c r="FAR66" s="137"/>
      <c r="FAS66" s="137"/>
      <c r="FAT66" s="137"/>
      <c r="FAU66" s="137"/>
      <c r="FAV66" s="137"/>
      <c r="FAW66" s="137"/>
      <c r="FAX66" s="137"/>
      <c r="FAY66" s="137"/>
      <c r="FAZ66" s="137"/>
      <c r="FBA66" s="137"/>
      <c r="FBB66" s="137"/>
      <c r="FBC66" s="137"/>
      <c r="FBD66" s="137"/>
      <c r="FBE66" s="137"/>
      <c r="FBF66" s="137"/>
      <c r="FBG66" s="137"/>
      <c r="FBH66" s="137"/>
      <c r="FBI66" s="137"/>
      <c r="FBJ66" s="137"/>
      <c r="FBK66" s="137"/>
      <c r="FBL66" s="137"/>
      <c r="FBM66" s="137"/>
      <c r="FBN66" s="137"/>
      <c r="FBO66" s="137"/>
      <c r="FBP66" s="137"/>
      <c r="FBQ66" s="137"/>
      <c r="FBR66" s="137"/>
      <c r="FBS66" s="137"/>
      <c r="FBT66" s="137"/>
      <c r="FBU66" s="137"/>
      <c r="FBV66" s="137"/>
      <c r="FBW66" s="137"/>
      <c r="FBX66" s="137"/>
      <c r="FBY66" s="137"/>
      <c r="FBZ66" s="137"/>
      <c r="FCA66" s="137"/>
      <c r="FCB66" s="137"/>
      <c r="FCC66" s="137"/>
      <c r="FCD66" s="137"/>
      <c r="FCE66" s="137"/>
      <c r="FCF66" s="137"/>
      <c r="FCG66" s="137"/>
      <c r="FCH66" s="137"/>
      <c r="FCI66" s="137"/>
      <c r="FCJ66" s="137"/>
      <c r="FCK66" s="137"/>
      <c r="FCL66" s="137"/>
      <c r="FCM66" s="137"/>
      <c r="FCN66" s="137"/>
      <c r="FCO66" s="137"/>
      <c r="FCP66" s="137"/>
      <c r="FCQ66" s="137"/>
      <c r="FCR66" s="137"/>
      <c r="FCS66" s="137"/>
      <c r="FCT66" s="137"/>
      <c r="FCU66" s="137"/>
      <c r="FCV66" s="137"/>
      <c r="FCW66" s="137"/>
      <c r="FCX66" s="137"/>
      <c r="FCY66" s="137"/>
      <c r="FCZ66" s="137"/>
      <c r="FDA66" s="137"/>
      <c r="FDB66" s="137"/>
      <c r="FDC66" s="137"/>
      <c r="FDD66" s="137"/>
      <c r="FDE66" s="137"/>
      <c r="FDF66" s="137"/>
      <c r="FDG66" s="137"/>
      <c r="FDH66" s="137"/>
      <c r="FDI66" s="137"/>
      <c r="FDJ66" s="137"/>
      <c r="FDK66" s="137"/>
      <c r="FDL66" s="137"/>
      <c r="FDM66" s="137"/>
      <c r="FDN66" s="137"/>
      <c r="FDO66" s="137"/>
      <c r="FDP66" s="137"/>
      <c r="FDQ66" s="137"/>
      <c r="FDR66" s="137"/>
      <c r="FDS66" s="137"/>
      <c r="FDT66" s="137"/>
      <c r="FDU66" s="137"/>
      <c r="FDV66" s="137"/>
      <c r="FDW66" s="137"/>
      <c r="FDX66" s="137"/>
      <c r="FDY66" s="137"/>
      <c r="FDZ66" s="137"/>
      <c r="FEA66" s="137"/>
      <c r="FEB66" s="137"/>
      <c r="FEC66" s="137"/>
      <c r="FED66" s="137"/>
      <c r="FEE66" s="137"/>
      <c r="FEF66" s="137"/>
      <c r="FEG66" s="137"/>
      <c r="FEH66" s="137"/>
      <c r="FEI66" s="137"/>
      <c r="FEJ66" s="137"/>
      <c r="FEK66" s="137"/>
      <c r="FEL66" s="137"/>
      <c r="FEM66" s="137"/>
      <c r="FEN66" s="137"/>
      <c r="FEO66" s="137"/>
      <c r="FEP66" s="137"/>
      <c r="FEQ66" s="137"/>
      <c r="FER66" s="137"/>
      <c r="FES66" s="137"/>
      <c r="FET66" s="137"/>
      <c r="FEU66" s="137"/>
      <c r="FEV66" s="137"/>
      <c r="FEW66" s="137"/>
      <c r="FEX66" s="137"/>
      <c r="FEY66" s="137"/>
      <c r="FEZ66" s="137"/>
      <c r="FFA66" s="137"/>
      <c r="FFB66" s="137"/>
      <c r="FFC66" s="137"/>
      <c r="FFD66" s="137"/>
      <c r="FFE66" s="137"/>
      <c r="FFF66" s="137"/>
      <c r="FFG66" s="137"/>
      <c r="FFH66" s="137"/>
      <c r="FFI66" s="137"/>
      <c r="FFJ66" s="137"/>
      <c r="FFK66" s="137"/>
      <c r="FFL66" s="137"/>
      <c r="FFM66" s="137"/>
      <c r="FFN66" s="137"/>
      <c r="FFO66" s="137"/>
      <c r="FFP66" s="137"/>
      <c r="FFQ66" s="137"/>
      <c r="FFR66" s="137"/>
      <c r="FFS66" s="137"/>
      <c r="FFT66" s="137"/>
      <c r="FFU66" s="137"/>
      <c r="FFV66" s="137"/>
      <c r="FFW66" s="137"/>
      <c r="FFX66" s="137"/>
      <c r="FFY66" s="137"/>
      <c r="FFZ66" s="137"/>
      <c r="FGA66" s="137"/>
      <c r="FGB66" s="137"/>
      <c r="FGC66" s="137"/>
      <c r="FGD66" s="137"/>
      <c r="FGE66" s="137"/>
      <c r="FGF66" s="137"/>
      <c r="FGG66" s="137"/>
      <c r="FGH66" s="137"/>
      <c r="FGI66" s="137"/>
      <c r="FGJ66" s="137"/>
      <c r="FGK66" s="137"/>
      <c r="FGL66" s="137"/>
      <c r="FGM66" s="137"/>
      <c r="FGN66" s="137"/>
      <c r="FGO66" s="137"/>
      <c r="FGP66" s="137"/>
      <c r="FGQ66" s="137"/>
      <c r="FGR66" s="137"/>
      <c r="FGS66" s="137"/>
      <c r="FGT66" s="137"/>
      <c r="FGU66" s="137"/>
      <c r="FGV66" s="137"/>
      <c r="FGW66" s="137"/>
      <c r="FGX66" s="137"/>
      <c r="FGY66" s="137"/>
      <c r="FGZ66" s="137"/>
      <c r="FHA66" s="137"/>
      <c r="FHB66" s="137"/>
      <c r="FHC66" s="137"/>
      <c r="FHD66" s="137"/>
      <c r="FHE66" s="137"/>
      <c r="FHF66" s="137"/>
      <c r="FHG66" s="137"/>
      <c r="FHH66" s="137"/>
      <c r="FHI66" s="137"/>
      <c r="FHJ66" s="137"/>
      <c r="FHK66" s="137"/>
      <c r="FHL66" s="137"/>
      <c r="FHM66" s="137"/>
      <c r="FHN66" s="137"/>
      <c r="FHO66" s="137"/>
      <c r="FHP66" s="137"/>
      <c r="FHQ66" s="137"/>
      <c r="FHR66" s="137"/>
      <c r="FHS66" s="137"/>
      <c r="FHT66" s="137"/>
      <c r="FHU66" s="137"/>
      <c r="FHV66" s="137"/>
      <c r="FHW66" s="137"/>
      <c r="FHX66" s="137"/>
      <c r="FHY66" s="137"/>
      <c r="FHZ66" s="137"/>
      <c r="FIA66" s="137"/>
      <c r="FIB66" s="137"/>
      <c r="FIC66" s="137"/>
      <c r="FID66" s="137"/>
      <c r="FIE66" s="137"/>
      <c r="FIF66" s="137"/>
      <c r="FIG66" s="137"/>
      <c r="FIH66" s="137"/>
      <c r="FII66" s="137"/>
      <c r="FIJ66" s="137"/>
      <c r="FIK66" s="137"/>
      <c r="FIL66" s="137"/>
      <c r="FIM66" s="137"/>
      <c r="FIN66" s="137"/>
      <c r="FIO66" s="137"/>
      <c r="FIP66" s="137"/>
      <c r="FIQ66" s="137"/>
      <c r="FIR66" s="137"/>
      <c r="FIS66" s="137"/>
      <c r="FIT66" s="137"/>
      <c r="FIU66" s="137"/>
      <c r="FIV66" s="137"/>
      <c r="FIW66" s="137"/>
      <c r="FIX66" s="137"/>
      <c r="FIY66" s="137"/>
      <c r="FIZ66" s="137"/>
      <c r="FJA66" s="137"/>
      <c r="FJB66" s="137"/>
      <c r="FJC66" s="137"/>
      <c r="FJD66" s="137"/>
      <c r="FJE66" s="137"/>
      <c r="FJF66" s="137"/>
      <c r="FJG66" s="137"/>
      <c r="FJH66" s="137"/>
      <c r="FJI66" s="137"/>
      <c r="FJJ66" s="137"/>
      <c r="FJK66" s="137"/>
      <c r="FJL66" s="137"/>
      <c r="FJM66" s="137"/>
      <c r="FJN66" s="137"/>
      <c r="FJO66" s="137"/>
      <c r="FJP66" s="137"/>
      <c r="FJQ66" s="137"/>
      <c r="FJR66" s="137"/>
      <c r="FJS66" s="137"/>
      <c r="FJT66" s="137"/>
      <c r="FJU66" s="137"/>
      <c r="FJV66" s="137"/>
      <c r="FJW66" s="137"/>
      <c r="FJX66" s="137"/>
      <c r="FJY66" s="137"/>
      <c r="FJZ66" s="137"/>
      <c r="FKA66" s="137"/>
      <c r="FKB66" s="137"/>
      <c r="FKC66" s="137"/>
      <c r="FKD66" s="137"/>
      <c r="FKE66" s="137"/>
      <c r="FKF66" s="137"/>
      <c r="FKG66" s="137"/>
      <c r="FKH66" s="137"/>
      <c r="FKI66" s="137"/>
      <c r="FKJ66" s="137"/>
      <c r="FKK66" s="137"/>
      <c r="FKL66" s="137"/>
      <c r="FKM66" s="137"/>
      <c r="FKN66" s="137"/>
      <c r="FKO66" s="137"/>
      <c r="FKP66" s="137"/>
      <c r="FKQ66" s="137"/>
      <c r="FKR66" s="137"/>
      <c r="FKS66" s="137"/>
      <c r="FKT66" s="137"/>
      <c r="FKU66" s="137"/>
      <c r="FKV66" s="137"/>
      <c r="FKW66" s="137"/>
      <c r="FKX66" s="137"/>
      <c r="FKY66" s="137"/>
      <c r="FKZ66" s="137"/>
      <c r="FLA66" s="137"/>
      <c r="FLB66" s="137"/>
      <c r="FLC66" s="137"/>
      <c r="FLD66" s="137"/>
      <c r="FLE66" s="137"/>
      <c r="FLF66" s="137"/>
      <c r="FLG66" s="137"/>
      <c r="FLH66" s="137"/>
      <c r="FLI66" s="137"/>
      <c r="FLJ66" s="137"/>
      <c r="FLK66" s="137"/>
      <c r="FLL66" s="137"/>
      <c r="FLM66" s="137"/>
      <c r="FLN66" s="137"/>
      <c r="FLO66" s="137"/>
      <c r="FLP66" s="137"/>
      <c r="FLQ66" s="137"/>
      <c r="FLR66" s="137"/>
      <c r="FLS66" s="137"/>
      <c r="FLT66" s="137"/>
      <c r="FLU66" s="137"/>
      <c r="FLV66" s="137"/>
      <c r="FLW66" s="137"/>
      <c r="FLX66" s="137"/>
      <c r="FLY66" s="137"/>
      <c r="FLZ66" s="137"/>
      <c r="FMA66" s="137"/>
      <c r="FMB66" s="137"/>
      <c r="FMC66" s="137"/>
      <c r="FMD66" s="137"/>
      <c r="FME66" s="137"/>
      <c r="FMF66" s="137"/>
      <c r="FMG66" s="137"/>
      <c r="FMH66" s="137"/>
      <c r="FMI66" s="137"/>
      <c r="FMJ66" s="137"/>
      <c r="FMK66" s="137"/>
      <c r="FML66" s="137"/>
      <c r="FMM66" s="137"/>
      <c r="FMN66" s="137"/>
      <c r="FMO66" s="137"/>
      <c r="FMP66" s="137"/>
      <c r="FMQ66" s="137"/>
      <c r="FMR66" s="137"/>
      <c r="FMS66" s="137"/>
      <c r="FMT66" s="137"/>
      <c r="FMU66" s="137"/>
      <c r="FMV66" s="137"/>
      <c r="FMW66" s="137"/>
      <c r="FMX66" s="137"/>
      <c r="FMY66" s="137"/>
      <c r="FMZ66" s="137"/>
      <c r="FNA66" s="137"/>
      <c r="FNB66" s="137"/>
      <c r="FNC66" s="137"/>
      <c r="FND66" s="137"/>
      <c r="FNE66" s="137"/>
      <c r="FNF66" s="137"/>
      <c r="FNG66" s="137"/>
      <c r="FNH66" s="137"/>
      <c r="FNI66" s="137"/>
      <c r="FNJ66" s="137"/>
      <c r="FNK66" s="137"/>
      <c r="FNL66" s="137"/>
      <c r="FNM66" s="137"/>
      <c r="FNN66" s="137"/>
      <c r="FNO66" s="137"/>
      <c r="FNP66" s="137"/>
      <c r="FNQ66" s="137"/>
      <c r="FNR66" s="137"/>
      <c r="FNS66" s="137"/>
      <c r="FNT66" s="137"/>
      <c r="FNU66" s="137"/>
      <c r="FNV66" s="137"/>
      <c r="FNW66" s="137"/>
      <c r="FNX66" s="137"/>
      <c r="FNY66" s="137"/>
      <c r="FNZ66" s="137"/>
      <c r="FOA66" s="137"/>
      <c r="FOB66" s="137"/>
      <c r="FOC66" s="137"/>
      <c r="FOD66" s="137"/>
      <c r="FOE66" s="137"/>
      <c r="FOF66" s="137"/>
      <c r="FOG66" s="137"/>
      <c r="FOH66" s="137"/>
      <c r="FOI66" s="137"/>
      <c r="FOJ66" s="137"/>
      <c r="FOK66" s="137"/>
      <c r="FOL66" s="137"/>
      <c r="FOM66" s="137"/>
      <c r="FON66" s="137"/>
      <c r="FOO66" s="137"/>
      <c r="FOP66" s="137"/>
      <c r="FOQ66" s="137"/>
      <c r="FOR66" s="137"/>
      <c r="FOS66" s="137"/>
      <c r="FOT66" s="137"/>
      <c r="FOU66" s="137"/>
      <c r="FOV66" s="137"/>
      <c r="FOW66" s="137"/>
      <c r="FOX66" s="137"/>
      <c r="FOY66" s="137"/>
      <c r="FOZ66" s="137"/>
      <c r="FPA66" s="137"/>
      <c r="FPB66" s="137"/>
      <c r="FPC66" s="137"/>
      <c r="FPD66" s="137"/>
      <c r="FPE66" s="137"/>
      <c r="FPF66" s="137"/>
      <c r="FPG66" s="137"/>
      <c r="FPH66" s="137"/>
      <c r="FPI66" s="137"/>
      <c r="FPJ66" s="137"/>
      <c r="FPK66" s="137"/>
      <c r="FPL66" s="137"/>
      <c r="FPM66" s="137"/>
      <c r="FPN66" s="137"/>
      <c r="FPO66" s="137"/>
      <c r="FPP66" s="137"/>
      <c r="FPQ66" s="137"/>
      <c r="FPR66" s="137"/>
      <c r="FPS66" s="137"/>
      <c r="FPT66" s="137"/>
      <c r="FPU66" s="137"/>
      <c r="FPV66" s="137"/>
      <c r="FPW66" s="137"/>
      <c r="FPX66" s="137"/>
      <c r="FPY66" s="137"/>
      <c r="FPZ66" s="137"/>
      <c r="FQA66" s="137"/>
      <c r="FQB66" s="137"/>
      <c r="FQC66" s="137"/>
      <c r="FQD66" s="137"/>
      <c r="FQE66" s="137"/>
      <c r="FQF66" s="137"/>
      <c r="FQG66" s="137"/>
      <c r="FQH66" s="137"/>
      <c r="FQI66" s="137"/>
      <c r="FQJ66" s="137"/>
      <c r="FQK66" s="137"/>
      <c r="FQL66" s="137"/>
      <c r="FQM66" s="137"/>
      <c r="FQN66" s="137"/>
      <c r="FQO66" s="137"/>
      <c r="FQP66" s="137"/>
      <c r="FQQ66" s="137"/>
      <c r="FQR66" s="137"/>
      <c r="FQS66" s="137"/>
      <c r="FQT66" s="137"/>
      <c r="FQU66" s="137"/>
      <c r="FQV66" s="137"/>
      <c r="FQW66" s="137"/>
      <c r="FQX66" s="137"/>
      <c r="FQY66" s="137"/>
      <c r="FQZ66" s="137"/>
      <c r="FRA66" s="137"/>
      <c r="FRB66" s="137"/>
      <c r="FRC66" s="137"/>
      <c r="FRD66" s="137"/>
      <c r="FRE66" s="137"/>
      <c r="FRF66" s="137"/>
      <c r="FRG66" s="137"/>
      <c r="FRH66" s="137"/>
      <c r="FRI66" s="137"/>
      <c r="FRJ66" s="137"/>
      <c r="FRK66" s="137"/>
      <c r="FRL66" s="137"/>
      <c r="FRM66" s="137"/>
      <c r="FRN66" s="137"/>
      <c r="FRO66" s="137"/>
      <c r="FRP66" s="137"/>
      <c r="FRQ66" s="137"/>
      <c r="FRR66" s="137"/>
      <c r="FRS66" s="137"/>
      <c r="FRT66" s="137"/>
      <c r="FRU66" s="137"/>
      <c r="FRV66" s="137"/>
      <c r="FRW66" s="137"/>
      <c r="FRX66" s="137"/>
      <c r="FRY66" s="137"/>
      <c r="FRZ66" s="137"/>
      <c r="FSA66" s="137"/>
      <c r="FSB66" s="137"/>
      <c r="FSC66" s="137"/>
      <c r="FSD66" s="137"/>
      <c r="FSE66" s="137"/>
      <c r="FSF66" s="137"/>
      <c r="FSG66" s="137"/>
      <c r="FSH66" s="137"/>
      <c r="FSI66" s="137"/>
      <c r="FSJ66" s="137"/>
      <c r="FSK66" s="137"/>
      <c r="FSL66" s="137"/>
      <c r="FSM66" s="137"/>
      <c r="FSN66" s="137"/>
      <c r="FSO66" s="137"/>
      <c r="FSP66" s="137"/>
      <c r="FSQ66" s="137"/>
      <c r="FSR66" s="137"/>
      <c r="FSS66" s="137"/>
      <c r="FST66" s="137"/>
      <c r="FSU66" s="137"/>
      <c r="FSV66" s="137"/>
      <c r="FSW66" s="137"/>
      <c r="FSX66" s="137"/>
      <c r="FSY66" s="137"/>
      <c r="FSZ66" s="137"/>
      <c r="FTA66" s="137"/>
      <c r="FTB66" s="137"/>
      <c r="FTC66" s="137"/>
      <c r="FTD66" s="137"/>
      <c r="FTE66" s="137"/>
      <c r="FTF66" s="137"/>
      <c r="FTG66" s="137"/>
      <c r="FTH66" s="137"/>
      <c r="FTI66" s="137"/>
      <c r="FTJ66" s="137"/>
      <c r="FTK66" s="137"/>
      <c r="FTL66" s="137"/>
      <c r="FTM66" s="137"/>
      <c r="FTN66" s="137"/>
      <c r="FTO66" s="137"/>
      <c r="FTP66" s="137"/>
      <c r="FTQ66" s="137"/>
      <c r="FTR66" s="137"/>
      <c r="FTS66" s="137"/>
      <c r="FTT66" s="137"/>
      <c r="FTU66" s="137"/>
      <c r="FTV66" s="137"/>
      <c r="FTW66" s="137"/>
      <c r="FTX66" s="137"/>
      <c r="FTY66" s="137"/>
      <c r="FTZ66" s="137"/>
      <c r="FUA66" s="137"/>
      <c r="FUB66" s="137"/>
      <c r="FUC66" s="137"/>
      <c r="FUD66" s="137"/>
      <c r="FUE66" s="137"/>
      <c r="FUF66" s="137"/>
      <c r="FUG66" s="137"/>
      <c r="FUH66" s="137"/>
      <c r="FUI66" s="137"/>
      <c r="FUJ66" s="137"/>
      <c r="FUK66" s="137"/>
      <c r="FUL66" s="137"/>
      <c r="FUM66" s="137"/>
      <c r="FUN66" s="137"/>
      <c r="FUO66" s="137"/>
      <c r="FUP66" s="137"/>
      <c r="FUQ66" s="137"/>
      <c r="FUR66" s="137"/>
      <c r="FUS66" s="137"/>
      <c r="FUT66" s="137"/>
      <c r="FUU66" s="137"/>
      <c r="FUV66" s="137"/>
      <c r="FUW66" s="137"/>
      <c r="FUX66" s="137"/>
      <c r="FUY66" s="137"/>
      <c r="FUZ66" s="137"/>
      <c r="FVA66" s="137"/>
      <c r="FVB66" s="137"/>
      <c r="FVC66" s="137"/>
      <c r="FVD66" s="137"/>
      <c r="FVE66" s="137"/>
      <c r="FVF66" s="137"/>
      <c r="FVG66" s="137"/>
      <c r="FVH66" s="137"/>
      <c r="FVI66" s="137"/>
      <c r="FVJ66" s="137"/>
      <c r="FVK66" s="137"/>
      <c r="FVL66" s="137"/>
      <c r="FVM66" s="137"/>
      <c r="FVN66" s="137"/>
      <c r="FVO66" s="137"/>
      <c r="FVP66" s="137"/>
      <c r="FVQ66" s="137"/>
      <c r="FVR66" s="137"/>
      <c r="FVS66" s="137"/>
      <c r="FVT66" s="137"/>
      <c r="FVU66" s="137"/>
      <c r="FVV66" s="137"/>
      <c r="FVW66" s="137"/>
      <c r="FVX66" s="137"/>
      <c r="FVY66" s="137"/>
      <c r="FVZ66" s="137"/>
      <c r="FWA66" s="137"/>
      <c r="FWB66" s="137"/>
      <c r="FWC66" s="137"/>
      <c r="FWD66" s="137"/>
      <c r="FWE66" s="137"/>
      <c r="FWF66" s="137"/>
      <c r="FWG66" s="137"/>
      <c r="FWH66" s="137"/>
      <c r="FWI66" s="137"/>
      <c r="FWJ66" s="137"/>
      <c r="FWK66" s="137"/>
      <c r="FWL66" s="137"/>
      <c r="FWM66" s="137"/>
      <c r="FWN66" s="137"/>
      <c r="FWO66" s="137"/>
      <c r="FWP66" s="137"/>
      <c r="FWQ66" s="137"/>
      <c r="FWR66" s="137"/>
      <c r="FWS66" s="137"/>
      <c r="FWT66" s="137"/>
      <c r="FWU66" s="137"/>
      <c r="FWV66" s="137"/>
      <c r="FWW66" s="137"/>
      <c r="FWX66" s="137"/>
      <c r="FWY66" s="137"/>
      <c r="FWZ66" s="137"/>
      <c r="FXA66" s="137"/>
      <c r="FXB66" s="137"/>
      <c r="FXC66" s="137"/>
      <c r="FXD66" s="137"/>
      <c r="FXE66" s="137"/>
      <c r="FXF66" s="137"/>
      <c r="FXG66" s="137"/>
      <c r="FXH66" s="137"/>
      <c r="FXI66" s="137"/>
      <c r="FXJ66" s="137"/>
      <c r="FXK66" s="137"/>
      <c r="FXL66" s="137"/>
      <c r="FXM66" s="137"/>
      <c r="FXN66" s="137"/>
      <c r="FXO66" s="137"/>
      <c r="FXP66" s="137"/>
      <c r="FXQ66" s="137"/>
      <c r="FXR66" s="137"/>
      <c r="FXS66" s="137"/>
      <c r="FXT66" s="137"/>
      <c r="FXU66" s="137"/>
      <c r="FXV66" s="137"/>
      <c r="FXW66" s="137"/>
      <c r="FXX66" s="137"/>
      <c r="FXY66" s="137"/>
      <c r="FXZ66" s="137"/>
      <c r="FYA66" s="137"/>
      <c r="FYB66" s="137"/>
      <c r="FYC66" s="137"/>
      <c r="FYD66" s="137"/>
      <c r="FYE66" s="137"/>
      <c r="FYF66" s="137"/>
      <c r="FYG66" s="137"/>
      <c r="FYH66" s="137"/>
      <c r="FYI66" s="137"/>
      <c r="FYJ66" s="137"/>
      <c r="FYK66" s="137"/>
      <c r="FYL66" s="137"/>
      <c r="FYM66" s="137"/>
      <c r="FYN66" s="137"/>
      <c r="FYO66" s="137"/>
      <c r="FYP66" s="137"/>
      <c r="FYQ66" s="137"/>
      <c r="FYR66" s="137"/>
      <c r="FYS66" s="137"/>
      <c r="FYT66" s="137"/>
      <c r="FYU66" s="137"/>
      <c r="FYV66" s="137"/>
      <c r="FYW66" s="137"/>
      <c r="FYX66" s="137"/>
      <c r="FYY66" s="137"/>
      <c r="FYZ66" s="137"/>
      <c r="FZA66" s="137"/>
      <c r="FZB66" s="137"/>
      <c r="FZC66" s="137"/>
      <c r="FZD66" s="137"/>
      <c r="FZE66" s="137"/>
      <c r="FZF66" s="137"/>
      <c r="FZG66" s="137"/>
      <c r="FZH66" s="137"/>
      <c r="FZI66" s="137"/>
      <c r="FZJ66" s="137"/>
      <c r="FZK66" s="137"/>
      <c r="FZL66" s="137"/>
      <c r="FZM66" s="137"/>
      <c r="FZN66" s="137"/>
      <c r="FZO66" s="137"/>
      <c r="FZP66" s="137"/>
      <c r="FZQ66" s="137"/>
      <c r="FZR66" s="137"/>
      <c r="FZS66" s="137"/>
      <c r="FZT66" s="137"/>
      <c r="FZU66" s="137"/>
      <c r="FZV66" s="137"/>
      <c r="FZW66" s="137"/>
      <c r="FZX66" s="137"/>
      <c r="FZY66" s="137"/>
      <c r="FZZ66" s="137"/>
      <c r="GAA66" s="137"/>
      <c r="GAB66" s="137"/>
      <c r="GAC66" s="137"/>
      <c r="GAD66" s="137"/>
      <c r="GAE66" s="137"/>
      <c r="GAF66" s="137"/>
      <c r="GAG66" s="137"/>
      <c r="GAH66" s="137"/>
      <c r="GAI66" s="137"/>
      <c r="GAJ66" s="137"/>
      <c r="GAK66" s="137"/>
      <c r="GAL66" s="137"/>
      <c r="GAM66" s="137"/>
      <c r="GAN66" s="137"/>
      <c r="GAO66" s="137"/>
      <c r="GAP66" s="137"/>
      <c r="GAQ66" s="137"/>
      <c r="GAR66" s="137"/>
      <c r="GAS66" s="137"/>
      <c r="GAT66" s="137"/>
      <c r="GAU66" s="137"/>
      <c r="GAV66" s="137"/>
      <c r="GAW66" s="137"/>
      <c r="GAX66" s="137"/>
      <c r="GAY66" s="137"/>
      <c r="GAZ66" s="137"/>
      <c r="GBA66" s="137"/>
      <c r="GBB66" s="137"/>
      <c r="GBC66" s="137"/>
      <c r="GBD66" s="137"/>
      <c r="GBE66" s="137"/>
      <c r="GBF66" s="137"/>
      <c r="GBG66" s="137"/>
      <c r="GBH66" s="137"/>
      <c r="GBI66" s="137"/>
      <c r="GBJ66" s="137"/>
      <c r="GBK66" s="137"/>
      <c r="GBL66" s="137"/>
      <c r="GBM66" s="137"/>
      <c r="GBN66" s="137"/>
      <c r="GBO66" s="137"/>
      <c r="GBP66" s="137"/>
      <c r="GBQ66" s="137"/>
      <c r="GBR66" s="137"/>
      <c r="GBS66" s="137"/>
      <c r="GBT66" s="137"/>
      <c r="GBU66" s="137"/>
      <c r="GBV66" s="137"/>
      <c r="GBW66" s="137"/>
      <c r="GBX66" s="137"/>
      <c r="GBY66" s="137"/>
      <c r="GBZ66" s="137"/>
      <c r="GCA66" s="137"/>
      <c r="GCB66" s="137"/>
      <c r="GCC66" s="137"/>
      <c r="GCD66" s="137"/>
      <c r="GCE66" s="137"/>
      <c r="GCF66" s="137"/>
      <c r="GCG66" s="137"/>
      <c r="GCH66" s="137"/>
      <c r="GCI66" s="137"/>
      <c r="GCJ66" s="137"/>
      <c r="GCK66" s="137"/>
      <c r="GCL66" s="137"/>
      <c r="GCM66" s="137"/>
      <c r="GCN66" s="137"/>
      <c r="GCO66" s="137"/>
      <c r="GCP66" s="137"/>
      <c r="GCQ66" s="137"/>
      <c r="GCR66" s="137"/>
      <c r="GCS66" s="137"/>
      <c r="GCT66" s="137"/>
      <c r="GCU66" s="137"/>
      <c r="GCV66" s="137"/>
      <c r="GCW66" s="137"/>
      <c r="GCX66" s="137"/>
      <c r="GCY66" s="137"/>
      <c r="GCZ66" s="137"/>
      <c r="GDA66" s="137"/>
      <c r="GDB66" s="137"/>
      <c r="GDC66" s="137"/>
      <c r="GDD66" s="137"/>
      <c r="GDE66" s="137"/>
      <c r="GDF66" s="137"/>
      <c r="GDG66" s="137"/>
      <c r="GDH66" s="137"/>
      <c r="GDI66" s="137"/>
      <c r="GDJ66" s="137"/>
      <c r="GDK66" s="137"/>
      <c r="GDL66" s="137"/>
      <c r="GDM66" s="137"/>
      <c r="GDN66" s="137"/>
      <c r="GDO66" s="137"/>
      <c r="GDP66" s="137"/>
      <c r="GDQ66" s="137"/>
      <c r="GDR66" s="137"/>
      <c r="GDS66" s="137"/>
      <c r="GDT66" s="137"/>
      <c r="GDU66" s="137"/>
      <c r="GDV66" s="137"/>
      <c r="GDW66" s="137"/>
      <c r="GDX66" s="137"/>
      <c r="GDY66" s="137"/>
      <c r="GDZ66" s="137"/>
      <c r="GEA66" s="137"/>
      <c r="GEB66" s="137"/>
      <c r="GEC66" s="137"/>
      <c r="GED66" s="137"/>
      <c r="GEE66" s="137"/>
      <c r="GEF66" s="137"/>
      <c r="GEG66" s="137"/>
      <c r="GEH66" s="137"/>
      <c r="GEI66" s="137"/>
      <c r="GEJ66" s="137"/>
      <c r="GEK66" s="137"/>
      <c r="GEL66" s="137"/>
      <c r="GEM66" s="137"/>
      <c r="GEN66" s="137"/>
      <c r="GEO66" s="137"/>
      <c r="GEP66" s="137"/>
      <c r="GEQ66" s="137"/>
      <c r="GER66" s="137"/>
      <c r="GES66" s="137"/>
      <c r="GET66" s="137"/>
      <c r="GEU66" s="137"/>
      <c r="GEV66" s="137"/>
      <c r="GEW66" s="137"/>
      <c r="GEX66" s="137"/>
      <c r="GEY66" s="137"/>
      <c r="GEZ66" s="137"/>
      <c r="GFA66" s="137"/>
      <c r="GFB66" s="137"/>
      <c r="GFC66" s="137"/>
      <c r="GFD66" s="137"/>
      <c r="GFE66" s="137"/>
      <c r="GFF66" s="137"/>
      <c r="GFG66" s="137"/>
      <c r="GFH66" s="137"/>
      <c r="GFI66" s="137"/>
      <c r="GFJ66" s="137"/>
      <c r="GFK66" s="137"/>
      <c r="GFL66" s="137"/>
      <c r="GFM66" s="137"/>
      <c r="GFN66" s="137"/>
      <c r="GFO66" s="137"/>
      <c r="GFP66" s="137"/>
      <c r="GFQ66" s="137"/>
      <c r="GFR66" s="137"/>
      <c r="GFS66" s="137"/>
      <c r="GFT66" s="137"/>
      <c r="GFU66" s="137"/>
      <c r="GFV66" s="137"/>
      <c r="GFW66" s="137"/>
      <c r="GFX66" s="137"/>
      <c r="GFY66" s="137"/>
      <c r="GFZ66" s="137"/>
      <c r="GGA66" s="137"/>
      <c r="GGB66" s="137"/>
      <c r="GGC66" s="137"/>
      <c r="GGD66" s="137"/>
      <c r="GGE66" s="137"/>
      <c r="GGF66" s="137"/>
      <c r="GGG66" s="137"/>
      <c r="GGH66" s="137"/>
      <c r="GGI66" s="137"/>
      <c r="GGJ66" s="137"/>
      <c r="GGK66" s="137"/>
      <c r="GGL66" s="137"/>
      <c r="GGM66" s="137"/>
      <c r="GGN66" s="137"/>
      <c r="GGO66" s="137"/>
      <c r="GGP66" s="137"/>
      <c r="GGQ66" s="137"/>
      <c r="GGR66" s="137"/>
      <c r="GGS66" s="137"/>
      <c r="GGT66" s="137"/>
      <c r="GGU66" s="137"/>
      <c r="GGV66" s="137"/>
      <c r="GGW66" s="137"/>
      <c r="GGX66" s="137"/>
      <c r="GGY66" s="137"/>
      <c r="GGZ66" s="137"/>
      <c r="GHA66" s="137"/>
      <c r="GHB66" s="137"/>
      <c r="GHC66" s="137"/>
      <c r="GHD66" s="137"/>
      <c r="GHE66" s="137"/>
      <c r="GHF66" s="137"/>
      <c r="GHG66" s="137"/>
      <c r="GHH66" s="137"/>
      <c r="GHI66" s="137"/>
      <c r="GHJ66" s="137"/>
      <c r="GHK66" s="137"/>
      <c r="GHL66" s="137"/>
      <c r="GHM66" s="137"/>
      <c r="GHN66" s="137"/>
      <c r="GHO66" s="137"/>
      <c r="GHP66" s="137"/>
      <c r="GHQ66" s="137"/>
      <c r="GHR66" s="137"/>
      <c r="GHS66" s="137"/>
      <c r="GHT66" s="137"/>
      <c r="GHU66" s="137"/>
      <c r="GHV66" s="137"/>
      <c r="GHW66" s="137"/>
      <c r="GHX66" s="137"/>
      <c r="GHY66" s="137"/>
      <c r="GHZ66" s="137"/>
      <c r="GIA66" s="137"/>
      <c r="GIB66" s="137"/>
      <c r="GIC66" s="137"/>
      <c r="GID66" s="137"/>
      <c r="GIE66" s="137"/>
      <c r="GIF66" s="137"/>
      <c r="GIG66" s="137"/>
      <c r="GIH66" s="137"/>
      <c r="GII66" s="137"/>
      <c r="GIJ66" s="137"/>
      <c r="GIK66" s="137"/>
      <c r="GIL66" s="137"/>
      <c r="GIM66" s="137"/>
      <c r="GIN66" s="137"/>
      <c r="GIO66" s="137"/>
      <c r="GIP66" s="137"/>
      <c r="GIQ66" s="137"/>
      <c r="GIR66" s="137"/>
      <c r="GIS66" s="137"/>
      <c r="GIT66" s="137"/>
      <c r="GIU66" s="137"/>
      <c r="GIV66" s="137"/>
      <c r="GIW66" s="137"/>
      <c r="GIX66" s="137"/>
      <c r="GIY66" s="137"/>
      <c r="GIZ66" s="137"/>
      <c r="GJA66" s="137"/>
      <c r="GJB66" s="137"/>
      <c r="GJC66" s="137"/>
      <c r="GJD66" s="137"/>
      <c r="GJE66" s="137"/>
      <c r="GJF66" s="137"/>
      <c r="GJG66" s="137"/>
      <c r="GJH66" s="137"/>
      <c r="GJI66" s="137"/>
      <c r="GJJ66" s="137"/>
      <c r="GJK66" s="137"/>
      <c r="GJL66" s="137"/>
      <c r="GJM66" s="137"/>
      <c r="GJN66" s="137"/>
      <c r="GJO66" s="137"/>
      <c r="GJP66" s="137"/>
      <c r="GJQ66" s="137"/>
      <c r="GJR66" s="137"/>
      <c r="GJS66" s="137"/>
      <c r="GJT66" s="137"/>
      <c r="GJU66" s="137"/>
      <c r="GJV66" s="137"/>
      <c r="GJW66" s="137"/>
      <c r="GJX66" s="137"/>
      <c r="GJY66" s="137"/>
      <c r="GJZ66" s="137"/>
      <c r="GKA66" s="137"/>
      <c r="GKB66" s="137"/>
      <c r="GKC66" s="137"/>
      <c r="GKD66" s="137"/>
      <c r="GKE66" s="137"/>
      <c r="GKF66" s="137"/>
      <c r="GKG66" s="137"/>
      <c r="GKH66" s="137"/>
      <c r="GKI66" s="137"/>
      <c r="GKJ66" s="137"/>
      <c r="GKK66" s="137"/>
      <c r="GKL66" s="137"/>
      <c r="GKM66" s="137"/>
      <c r="GKN66" s="137"/>
      <c r="GKO66" s="137"/>
      <c r="GKP66" s="137"/>
      <c r="GKQ66" s="137"/>
      <c r="GKR66" s="137"/>
      <c r="GKS66" s="137"/>
      <c r="GKT66" s="137"/>
      <c r="GKU66" s="137"/>
      <c r="GKV66" s="137"/>
      <c r="GKW66" s="137"/>
      <c r="GKX66" s="137"/>
      <c r="GKY66" s="137"/>
      <c r="GKZ66" s="137"/>
      <c r="GLA66" s="137"/>
      <c r="GLB66" s="137"/>
      <c r="GLC66" s="137"/>
      <c r="GLD66" s="137"/>
      <c r="GLE66" s="137"/>
      <c r="GLF66" s="137"/>
      <c r="GLG66" s="137"/>
      <c r="GLH66" s="137"/>
      <c r="GLI66" s="137"/>
      <c r="GLJ66" s="137"/>
      <c r="GLK66" s="137"/>
      <c r="GLL66" s="137"/>
      <c r="GLM66" s="137"/>
      <c r="GLN66" s="137"/>
      <c r="GLO66" s="137"/>
      <c r="GLP66" s="137"/>
      <c r="GLQ66" s="137"/>
      <c r="GLR66" s="137"/>
      <c r="GLS66" s="137"/>
      <c r="GLT66" s="137"/>
      <c r="GLU66" s="137"/>
      <c r="GLV66" s="137"/>
      <c r="GLW66" s="137"/>
      <c r="GLX66" s="137"/>
      <c r="GLY66" s="137"/>
      <c r="GLZ66" s="137"/>
      <c r="GMA66" s="137"/>
      <c r="GMB66" s="137"/>
      <c r="GMC66" s="137"/>
      <c r="GMD66" s="137"/>
      <c r="GME66" s="137"/>
      <c r="GMF66" s="137"/>
      <c r="GMG66" s="137"/>
      <c r="GMH66" s="137"/>
      <c r="GMI66" s="137"/>
      <c r="GMJ66" s="137"/>
      <c r="GMK66" s="137"/>
      <c r="GML66" s="137"/>
      <c r="GMM66" s="137"/>
      <c r="GMN66" s="137"/>
      <c r="GMO66" s="137"/>
      <c r="GMP66" s="137"/>
      <c r="GMQ66" s="137"/>
      <c r="GMR66" s="137"/>
      <c r="GMS66" s="137"/>
      <c r="GMT66" s="137"/>
      <c r="GMU66" s="137"/>
      <c r="GMV66" s="137"/>
      <c r="GMW66" s="137"/>
      <c r="GMX66" s="137"/>
      <c r="GMY66" s="137"/>
      <c r="GMZ66" s="137"/>
      <c r="GNA66" s="137"/>
      <c r="GNB66" s="137"/>
      <c r="GNC66" s="137"/>
      <c r="GND66" s="137"/>
      <c r="GNE66" s="137"/>
      <c r="GNF66" s="137"/>
      <c r="GNG66" s="137"/>
      <c r="GNH66" s="137"/>
      <c r="GNI66" s="137"/>
      <c r="GNJ66" s="137"/>
      <c r="GNK66" s="137"/>
      <c r="GNL66" s="137"/>
      <c r="GNM66" s="137"/>
      <c r="GNN66" s="137"/>
      <c r="GNO66" s="137"/>
      <c r="GNP66" s="137"/>
      <c r="GNQ66" s="137"/>
      <c r="GNR66" s="137"/>
      <c r="GNS66" s="137"/>
      <c r="GNT66" s="137"/>
      <c r="GNU66" s="137"/>
      <c r="GNV66" s="137"/>
      <c r="GNW66" s="137"/>
      <c r="GNX66" s="137"/>
      <c r="GNY66" s="137"/>
      <c r="GNZ66" s="137"/>
      <c r="GOA66" s="137"/>
      <c r="GOB66" s="137"/>
      <c r="GOC66" s="137"/>
      <c r="GOD66" s="137"/>
      <c r="GOE66" s="137"/>
      <c r="GOF66" s="137"/>
      <c r="GOG66" s="137"/>
      <c r="GOH66" s="137"/>
      <c r="GOI66" s="137"/>
      <c r="GOJ66" s="137"/>
      <c r="GOK66" s="137"/>
      <c r="GOL66" s="137"/>
      <c r="GOM66" s="137"/>
      <c r="GON66" s="137"/>
      <c r="GOO66" s="137"/>
      <c r="GOP66" s="137"/>
      <c r="GOQ66" s="137"/>
      <c r="GOR66" s="137"/>
      <c r="GOS66" s="137"/>
      <c r="GOT66" s="137"/>
      <c r="GOU66" s="137"/>
      <c r="GOV66" s="137"/>
      <c r="GOW66" s="137"/>
      <c r="GOX66" s="137"/>
      <c r="GOY66" s="137"/>
      <c r="GOZ66" s="137"/>
      <c r="GPA66" s="137"/>
      <c r="GPB66" s="137"/>
      <c r="GPC66" s="137"/>
      <c r="GPD66" s="137"/>
      <c r="GPE66" s="137"/>
      <c r="GPF66" s="137"/>
      <c r="GPG66" s="137"/>
      <c r="GPH66" s="137"/>
      <c r="GPI66" s="137"/>
      <c r="GPJ66" s="137"/>
      <c r="GPK66" s="137"/>
      <c r="GPL66" s="137"/>
      <c r="GPM66" s="137"/>
      <c r="GPN66" s="137"/>
      <c r="GPO66" s="137"/>
      <c r="GPP66" s="137"/>
      <c r="GPQ66" s="137"/>
      <c r="GPR66" s="137"/>
      <c r="GPS66" s="137"/>
      <c r="GPT66" s="137"/>
      <c r="GPU66" s="137"/>
      <c r="GPV66" s="137"/>
      <c r="GPW66" s="137"/>
      <c r="GPX66" s="137"/>
      <c r="GPY66" s="137"/>
      <c r="GPZ66" s="137"/>
      <c r="GQA66" s="137"/>
      <c r="GQB66" s="137"/>
      <c r="GQC66" s="137"/>
      <c r="GQD66" s="137"/>
      <c r="GQE66" s="137"/>
      <c r="GQF66" s="137"/>
      <c r="GQG66" s="137"/>
      <c r="GQH66" s="137"/>
      <c r="GQI66" s="137"/>
      <c r="GQJ66" s="137"/>
      <c r="GQK66" s="137"/>
      <c r="GQL66" s="137"/>
      <c r="GQM66" s="137"/>
      <c r="GQN66" s="137"/>
      <c r="GQO66" s="137"/>
      <c r="GQP66" s="137"/>
      <c r="GQQ66" s="137"/>
      <c r="GQR66" s="137"/>
      <c r="GQS66" s="137"/>
      <c r="GQT66" s="137"/>
      <c r="GQU66" s="137"/>
      <c r="GQV66" s="137"/>
      <c r="GQW66" s="137"/>
      <c r="GQX66" s="137"/>
      <c r="GQY66" s="137"/>
      <c r="GQZ66" s="137"/>
      <c r="GRA66" s="137"/>
      <c r="GRB66" s="137"/>
      <c r="GRC66" s="137"/>
      <c r="GRD66" s="137"/>
      <c r="GRE66" s="137"/>
      <c r="GRF66" s="137"/>
      <c r="GRG66" s="137"/>
      <c r="GRH66" s="137"/>
      <c r="GRI66" s="137"/>
      <c r="GRJ66" s="137"/>
      <c r="GRK66" s="137"/>
      <c r="GRL66" s="137"/>
      <c r="GRM66" s="137"/>
      <c r="GRN66" s="137"/>
      <c r="GRO66" s="137"/>
      <c r="GRP66" s="137"/>
      <c r="GRQ66" s="137"/>
      <c r="GRR66" s="137"/>
      <c r="GRS66" s="137"/>
      <c r="GRT66" s="137"/>
      <c r="GRU66" s="137"/>
      <c r="GRV66" s="137"/>
      <c r="GRW66" s="137"/>
      <c r="GRX66" s="137"/>
      <c r="GRY66" s="137"/>
      <c r="GRZ66" s="137"/>
      <c r="GSA66" s="137"/>
      <c r="GSB66" s="137"/>
      <c r="GSC66" s="137"/>
      <c r="GSD66" s="137"/>
      <c r="GSE66" s="137"/>
      <c r="GSF66" s="137"/>
      <c r="GSG66" s="137"/>
      <c r="GSH66" s="137"/>
      <c r="GSI66" s="137"/>
      <c r="GSJ66" s="137"/>
      <c r="GSK66" s="137"/>
      <c r="GSL66" s="137"/>
      <c r="GSM66" s="137"/>
      <c r="GSN66" s="137"/>
      <c r="GSO66" s="137"/>
      <c r="GSP66" s="137"/>
      <c r="GSQ66" s="137"/>
      <c r="GSR66" s="137"/>
      <c r="GSS66" s="137"/>
      <c r="GST66" s="137"/>
      <c r="GSU66" s="137"/>
      <c r="GSV66" s="137"/>
      <c r="GSW66" s="137"/>
      <c r="GSX66" s="137"/>
      <c r="GSY66" s="137"/>
      <c r="GSZ66" s="137"/>
      <c r="GTA66" s="137"/>
      <c r="GTB66" s="137"/>
      <c r="GTC66" s="137"/>
      <c r="GTD66" s="137"/>
      <c r="GTE66" s="137"/>
      <c r="GTF66" s="137"/>
      <c r="GTG66" s="137"/>
      <c r="GTH66" s="137"/>
      <c r="GTI66" s="137"/>
      <c r="GTJ66" s="137"/>
      <c r="GTK66" s="137"/>
      <c r="GTL66" s="137"/>
      <c r="GTM66" s="137"/>
      <c r="GTN66" s="137"/>
      <c r="GTO66" s="137"/>
      <c r="GTP66" s="137"/>
      <c r="GTQ66" s="137"/>
      <c r="GTR66" s="137"/>
      <c r="GTS66" s="137"/>
      <c r="GTT66" s="137"/>
      <c r="GTU66" s="137"/>
      <c r="GTV66" s="137"/>
      <c r="GTW66" s="137"/>
      <c r="GTX66" s="137"/>
      <c r="GTY66" s="137"/>
      <c r="GTZ66" s="137"/>
      <c r="GUA66" s="137"/>
      <c r="GUB66" s="137"/>
      <c r="GUC66" s="137"/>
      <c r="GUD66" s="137"/>
      <c r="GUE66" s="137"/>
      <c r="GUF66" s="137"/>
      <c r="GUG66" s="137"/>
      <c r="GUH66" s="137"/>
      <c r="GUI66" s="137"/>
      <c r="GUJ66" s="137"/>
      <c r="GUK66" s="137"/>
      <c r="GUL66" s="137"/>
      <c r="GUM66" s="137"/>
      <c r="GUN66" s="137"/>
      <c r="GUO66" s="137"/>
      <c r="GUP66" s="137"/>
      <c r="GUQ66" s="137"/>
      <c r="GUR66" s="137"/>
      <c r="GUS66" s="137"/>
      <c r="GUT66" s="137"/>
      <c r="GUU66" s="137"/>
      <c r="GUV66" s="137"/>
      <c r="GUW66" s="137"/>
      <c r="GUX66" s="137"/>
      <c r="GUY66" s="137"/>
      <c r="GUZ66" s="137"/>
      <c r="GVA66" s="137"/>
      <c r="GVB66" s="137"/>
      <c r="GVC66" s="137"/>
      <c r="GVD66" s="137"/>
      <c r="GVE66" s="137"/>
      <c r="GVF66" s="137"/>
      <c r="GVG66" s="137"/>
      <c r="GVH66" s="137"/>
      <c r="GVI66" s="137"/>
      <c r="GVJ66" s="137"/>
      <c r="GVK66" s="137"/>
      <c r="GVL66" s="137"/>
      <c r="GVM66" s="137"/>
      <c r="GVN66" s="137"/>
      <c r="GVO66" s="137"/>
      <c r="GVP66" s="137"/>
      <c r="GVQ66" s="137"/>
      <c r="GVR66" s="137"/>
      <c r="GVS66" s="137"/>
      <c r="GVT66" s="137"/>
      <c r="GVU66" s="137"/>
      <c r="GVV66" s="137"/>
      <c r="GVW66" s="137"/>
      <c r="GVX66" s="137"/>
      <c r="GVY66" s="137"/>
      <c r="GVZ66" s="137"/>
      <c r="GWA66" s="137"/>
      <c r="GWB66" s="137"/>
      <c r="GWC66" s="137"/>
      <c r="GWD66" s="137"/>
      <c r="GWE66" s="137"/>
      <c r="GWF66" s="137"/>
      <c r="GWG66" s="137"/>
      <c r="GWH66" s="137"/>
      <c r="GWI66" s="137"/>
      <c r="GWJ66" s="137"/>
      <c r="GWK66" s="137"/>
      <c r="GWL66" s="137"/>
      <c r="GWM66" s="137"/>
      <c r="GWN66" s="137"/>
      <c r="GWO66" s="137"/>
      <c r="GWP66" s="137"/>
      <c r="GWQ66" s="137"/>
      <c r="GWR66" s="137"/>
      <c r="GWS66" s="137"/>
      <c r="GWT66" s="137"/>
      <c r="GWU66" s="137"/>
      <c r="GWV66" s="137"/>
      <c r="GWW66" s="137"/>
      <c r="GWX66" s="137"/>
      <c r="GWY66" s="137"/>
      <c r="GWZ66" s="137"/>
      <c r="GXA66" s="137"/>
      <c r="GXB66" s="137"/>
      <c r="GXC66" s="137"/>
      <c r="GXD66" s="137"/>
      <c r="GXE66" s="137"/>
      <c r="GXF66" s="137"/>
      <c r="GXG66" s="137"/>
      <c r="GXH66" s="137"/>
      <c r="GXI66" s="137"/>
      <c r="GXJ66" s="137"/>
      <c r="GXK66" s="137"/>
      <c r="GXL66" s="137"/>
      <c r="GXM66" s="137"/>
      <c r="GXN66" s="137"/>
      <c r="GXO66" s="137"/>
      <c r="GXP66" s="137"/>
      <c r="GXQ66" s="137"/>
      <c r="GXR66" s="137"/>
      <c r="GXS66" s="137"/>
      <c r="GXT66" s="137"/>
      <c r="GXU66" s="137"/>
      <c r="GXV66" s="137"/>
      <c r="GXW66" s="137"/>
      <c r="GXX66" s="137"/>
      <c r="GXY66" s="137"/>
      <c r="GXZ66" s="137"/>
      <c r="GYA66" s="137"/>
      <c r="GYB66" s="137"/>
      <c r="GYC66" s="137"/>
      <c r="GYD66" s="137"/>
      <c r="GYE66" s="137"/>
      <c r="GYF66" s="137"/>
      <c r="GYG66" s="137"/>
      <c r="GYH66" s="137"/>
      <c r="GYI66" s="137"/>
      <c r="GYJ66" s="137"/>
      <c r="GYK66" s="137"/>
      <c r="GYL66" s="137"/>
      <c r="GYM66" s="137"/>
      <c r="GYN66" s="137"/>
      <c r="GYO66" s="137"/>
      <c r="GYP66" s="137"/>
      <c r="GYQ66" s="137"/>
      <c r="GYR66" s="137"/>
      <c r="GYS66" s="137"/>
      <c r="GYT66" s="137"/>
      <c r="GYU66" s="137"/>
      <c r="GYV66" s="137"/>
      <c r="GYW66" s="137"/>
      <c r="GYX66" s="137"/>
      <c r="GYY66" s="137"/>
      <c r="GYZ66" s="137"/>
      <c r="GZA66" s="137"/>
      <c r="GZB66" s="137"/>
      <c r="GZC66" s="137"/>
      <c r="GZD66" s="137"/>
      <c r="GZE66" s="137"/>
      <c r="GZF66" s="137"/>
      <c r="GZG66" s="137"/>
      <c r="GZH66" s="137"/>
      <c r="GZI66" s="137"/>
      <c r="GZJ66" s="137"/>
      <c r="GZK66" s="137"/>
      <c r="GZL66" s="137"/>
      <c r="GZM66" s="137"/>
      <c r="GZN66" s="137"/>
      <c r="GZO66" s="137"/>
      <c r="GZP66" s="137"/>
      <c r="GZQ66" s="137"/>
      <c r="GZR66" s="137"/>
      <c r="GZS66" s="137"/>
      <c r="GZT66" s="137"/>
      <c r="GZU66" s="137"/>
      <c r="GZV66" s="137"/>
      <c r="GZW66" s="137"/>
      <c r="GZX66" s="137"/>
      <c r="GZY66" s="137"/>
      <c r="GZZ66" s="137"/>
      <c r="HAA66" s="137"/>
      <c r="HAB66" s="137"/>
      <c r="HAC66" s="137"/>
      <c r="HAD66" s="137"/>
      <c r="HAE66" s="137"/>
      <c r="HAF66" s="137"/>
      <c r="HAG66" s="137"/>
      <c r="HAH66" s="137"/>
      <c r="HAI66" s="137"/>
      <c r="HAJ66" s="137"/>
      <c r="HAK66" s="137"/>
      <c r="HAL66" s="137"/>
      <c r="HAM66" s="137"/>
      <c r="HAN66" s="137"/>
      <c r="HAO66" s="137"/>
      <c r="HAP66" s="137"/>
      <c r="HAQ66" s="137"/>
      <c r="HAR66" s="137"/>
      <c r="HAS66" s="137"/>
      <c r="HAT66" s="137"/>
      <c r="HAU66" s="137"/>
      <c r="HAV66" s="137"/>
      <c r="HAW66" s="137"/>
      <c r="HAX66" s="137"/>
      <c r="HAY66" s="137"/>
      <c r="HAZ66" s="137"/>
      <c r="HBA66" s="137"/>
      <c r="HBB66" s="137"/>
      <c r="HBC66" s="137"/>
      <c r="HBD66" s="137"/>
      <c r="HBE66" s="137"/>
      <c r="HBF66" s="137"/>
      <c r="HBG66" s="137"/>
      <c r="HBH66" s="137"/>
      <c r="HBI66" s="137"/>
      <c r="HBJ66" s="137"/>
      <c r="HBK66" s="137"/>
      <c r="HBL66" s="137"/>
      <c r="HBM66" s="137"/>
      <c r="HBN66" s="137"/>
      <c r="HBO66" s="137"/>
      <c r="HBP66" s="137"/>
      <c r="HBQ66" s="137"/>
      <c r="HBR66" s="137"/>
      <c r="HBS66" s="137"/>
      <c r="HBT66" s="137"/>
      <c r="HBU66" s="137"/>
      <c r="HBV66" s="137"/>
      <c r="HBW66" s="137"/>
      <c r="HBX66" s="137"/>
      <c r="HBY66" s="137"/>
      <c r="HBZ66" s="137"/>
      <c r="HCA66" s="137"/>
      <c r="HCB66" s="137"/>
      <c r="HCC66" s="137"/>
      <c r="HCD66" s="137"/>
      <c r="HCE66" s="137"/>
      <c r="HCF66" s="137"/>
      <c r="HCG66" s="137"/>
      <c r="HCH66" s="137"/>
      <c r="HCI66" s="137"/>
      <c r="HCJ66" s="137"/>
      <c r="HCK66" s="137"/>
      <c r="HCL66" s="137"/>
      <c r="HCM66" s="137"/>
      <c r="HCN66" s="137"/>
      <c r="HCO66" s="137"/>
      <c r="HCP66" s="137"/>
      <c r="HCQ66" s="137"/>
      <c r="HCR66" s="137"/>
      <c r="HCS66" s="137"/>
      <c r="HCT66" s="137"/>
      <c r="HCU66" s="137"/>
      <c r="HCV66" s="137"/>
      <c r="HCW66" s="137"/>
      <c r="HCX66" s="137"/>
      <c r="HCY66" s="137"/>
      <c r="HCZ66" s="137"/>
      <c r="HDA66" s="137"/>
      <c r="HDB66" s="137"/>
      <c r="HDC66" s="137"/>
      <c r="HDD66" s="137"/>
      <c r="HDE66" s="137"/>
      <c r="HDF66" s="137"/>
      <c r="HDG66" s="137"/>
      <c r="HDH66" s="137"/>
      <c r="HDI66" s="137"/>
      <c r="HDJ66" s="137"/>
      <c r="HDK66" s="137"/>
      <c r="HDL66" s="137"/>
      <c r="HDM66" s="137"/>
      <c r="HDN66" s="137"/>
      <c r="HDO66" s="137"/>
      <c r="HDP66" s="137"/>
      <c r="HDQ66" s="137"/>
      <c r="HDR66" s="137"/>
      <c r="HDS66" s="137"/>
      <c r="HDT66" s="137"/>
      <c r="HDU66" s="137"/>
      <c r="HDV66" s="137"/>
      <c r="HDW66" s="137"/>
      <c r="HDX66" s="137"/>
      <c r="HDY66" s="137"/>
      <c r="HDZ66" s="137"/>
      <c r="HEA66" s="137"/>
      <c r="HEB66" s="137"/>
      <c r="HEC66" s="137"/>
      <c r="HED66" s="137"/>
      <c r="HEE66" s="137"/>
      <c r="HEF66" s="137"/>
      <c r="HEG66" s="137"/>
      <c r="HEH66" s="137"/>
      <c r="HEI66" s="137"/>
      <c r="HEJ66" s="137"/>
      <c r="HEK66" s="137"/>
      <c r="HEL66" s="137"/>
      <c r="HEM66" s="137"/>
      <c r="HEN66" s="137"/>
      <c r="HEO66" s="137"/>
      <c r="HEP66" s="137"/>
      <c r="HEQ66" s="137"/>
      <c r="HER66" s="137"/>
      <c r="HES66" s="137"/>
      <c r="HET66" s="137"/>
      <c r="HEU66" s="137"/>
      <c r="HEV66" s="137"/>
      <c r="HEW66" s="137"/>
      <c r="HEX66" s="137"/>
      <c r="HEY66" s="137"/>
      <c r="HEZ66" s="137"/>
      <c r="HFA66" s="137"/>
      <c r="HFB66" s="137"/>
      <c r="HFC66" s="137"/>
      <c r="HFD66" s="137"/>
      <c r="HFE66" s="137"/>
      <c r="HFF66" s="137"/>
      <c r="HFG66" s="137"/>
      <c r="HFH66" s="137"/>
      <c r="HFI66" s="137"/>
      <c r="HFJ66" s="137"/>
      <c r="HFK66" s="137"/>
      <c r="HFL66" s="137"/>
      <c r="HFM66" s="137"/>
      <c r="HFN66" s="137"/>
      <c r="HFO66" s="137"/>
      <c r="HFP66" s="137"/>
      <c r="HFQ66" s="137"/>
      <c r="HFR66" s="137"/>
      <c r="HFS66" s="137"/>
      <c r="HFT66" s="137"/>
      <c r="HFU66" s="137"/>
      <c r="HFV66" s="137"/>
      <c r="HFW66" s="137"/>
      <c r="HFX66" s="137"/>
      <c r="HFY66" s="137"/>
      <c r="HFZ66" s="137"/>
      <c r="HGA66" s="137"/>
      <c r="HGB66" s="137"/>
      <c r="HGC66" s="137"/>
      <c r="HGD66" s="137"/>
      <c r="HGE66" s="137"/>
      <c r="HGF66" s="137"/>
      <c r="HGG66" s="137"/>
      <c r="HGH66" s="137"/>
      <c r="HGI66" s="137"/>
      <c r="HGJ66" s="137"/>
      <c r="HGK66" s="137"/>
      <c r="HGL66" s="137"/>
      <c r="HGM66" s="137"/>
      <c r="HGN66" s="137"/>
      <c r="HGO66" s="137"/>
      <c r="HGP66" s="137"/>
      <c r="HGQ66" s="137"/>
      <c r="HGR66" s="137"/>
      <c r="HGS66" s="137"/>
      <c r="HGT66" s="137"/>
      <c r="HGU66" s="137"/>
      <c r="HGV66" s="137"/>
      <c r="HGW66" s="137"/>
      <c r="HGX66" s="137"/>
      <c r="HGY66" s="137"/>
      <c r="HGZ66" s="137"/>
      <c r="HHA66" s="137"/>
      <c r="HHB66" s="137"/>
      <c r="HHC66" s="137"/>
      <c r="HHD66" s="137"/>
      <c r="HHE66" s="137"/>
      <c r="HHF66" s="137"/>
      <c r="HHG66" s="137"/>
      <c r="HHH66" s="137"/>
      <c r="HHI66" s="137"/>
      <c r="HHJ66" s="137"/>
      <c r="HHK66" s="137"/>
      <c r="HHL66" s="137"/>
      <c r="HHM66" s="137"/>
      <c r="HHN66" s="137"/>
      <c r="HHO66" s="137"/>
      <c r="HHP66" s="137"/>
      <c r="HHQ66" s="137"/>
      <c r="HHR66" s="137"/>
      <c r="HHS66" s="137"/>
      <c r="HHT66" s="137"/>
      <c r="HHU66" s="137"/>
      <c r="HHV66" s="137"/>
      <c r="HHW66" s="137"/>
      <c r="HHX66" s="137"/>
      <c r="HHY66" s="137"/>
      <c r="HHZ66" s="137"/>
      <c r="HIA66" s="137"/>
      <c r="HIB66" s="137"/>
      <c r="HIC66" s="137"/>
      <c r="HID66" s="137"/>
      <c r="HIE66" s="137"/>
      <c r="HIF66" s="137"/>
      <c r="HIG66" s="137"/>
      <c r="HIH66" s="137"/>
      <c r="HII66" s="137"/>
      <c r="HIJ66" s="137"/>
      <c r="HIK66" s="137"/>
      <c r="HIL66" s="137"/>
      <c r="HIM66" s="137"/>
      <c r="HIN66" s="137"/>
      <c r="HIO66" s="137"/>
      <c r="HIP66" s="137"/>
      <c r="HIQ66" s="137"/>
      <c r="HIR66" s="137"/>
      <c r="HIS66" s="137"/>
      <c r="HIT66" s="137"/>
      <c r="HIU66" s="137"/>
      <c r="HIV66" s="137"/>
      <c r="HIW66" s="137"/>
      <c r="HIX66" s="137"/>
      <c r="HIY66" s="137"/>
      <c r="HIZ66" s="137"/>
      <c r="HJA66" s="137"/>
      <c r="HJB66" s="137"/>
      <c r="HJC66" s="137"/>
      <c r="HJD66" s="137"/>
      <c r="HJE66" s="137"/>
      <c r="HJF66" s="137"/>
      <c r="HJG66" s="137"/>
      <c r="HJH66" s="137"/>
      <c r="HJI66" s="137"/>
      <c r="HJJ66" s="137"/>
      <c r="HJK66" s="137"/>
      <c r="HJL66" s="137"/>
      <c r="HJM66" s="137"/>
      <c r="HJN66" s="137"/>
      <c r="HJO66" s="137"/>
      <c r="HJP66" s="137"/>
      <c r="HJQ66" s="137"/>
      <c r="HJR66" s="137"/>
      <c r="HJS66" s="137"/>
      <c r="HJT66" s="137"/>
      <c r="HJU66" s="137"/>
      <c r="HJV66" s="137"/>
      <c r="HJW66" s="137"/>
      <c r="HJX66" s="137"/>
      <c r="HJY66" s="137"/>
      <c r="HJZ66" s="137"/>
      <c r="HKA66" s="137"/>
      <c r="HKB66" s="137"/>
      <c r="HKC66" s="137"/>
      <c r="HKD66" s="137"/>
      <c r="HKE66" s="137"/>
      <c r="HKF66" s="137"/>
      <c r="HKG66" s="137"/>
      <c r="HKH66" s="137"/>
      <c r="HKI66" s="137"/>
      <c r="HKJ66" s="137"/>
      <c r="HKK66" s="137"/>
      <c r="HKL66" s="137"/>
      <c r="HKM66" s="137"/>
      <c r="HKN66" s="137"/>
      <c r="HKO66" s="137"/>
      <c r="HKP66" s="137"/>
      <c r="HKQ66" s="137"/>
      <c r="HKR66" s="137"/>
      <c r="HKS66" s="137"/>
      <c r="HKT66" s="137"/>
      <c r="HKU66" s="137"/>
      <c r="HKV66" s="137"/>
      <c r="HKW66" s="137"/>
      <c r="HKX66" s="137"/>
      <c r="HKY66" s="137"/>
      <c r="HKZ66" s="137"/>
      <c r="HLA66" s="137"/>
      <c r="HLB66" s="137"/>
      <c r="HLC66" s="137"/>
      <c r="HLD66" s="137"/>
      <c r="HLE66" s="137"/>
      <c r="HLF66" s="137"/>
      <c r="HLG66" s="137"/>
      <c r="HLH66" s="137"/>
      <c r="HLI66" s="137"/>
      <c r="HLJ66" s="137"/>
      <c r="HLK66" s="137"/>
      <c r="HLL66" s="137"/>
      <c r="HLM66" s="137"/>
      <c r="HLN66" s="137"/>
      <c r="HLO66" s="137"/>
      <c r="HLP66" s="137"/>
      <c r="HLQ66" s="137"/>
      <c r="HLR66" s="137"/>
      <c r="HLS66" s="137"/>
      <c r="HLT66" s="137"/>
      <c r="HLU66" s="137"/>
      <c r="HLV66" s="137"/>
      <c r="HLW66" s="137"/>
      <c r="HLX66" s="137"/>
      <c r="HLY66" s="137"/>
      <c r="HLZ66" s="137"/>
      <c r="HMA66" s="137"/>
      <c r="HMB66" s="137"/>
      <c r="HMC66" s="137"/>
      <c r="HMD66" s="137"/>
      <c r="HME66" s="137"/>
      <c r="HMF66" s="137"/>
      <c r="HMG66" s="137"/>
      <c r="HMH66" s="137"/>
      <c r="HMI66" s="137"/>
      <c r="HMJ66" s="137"/>
      <c r="HMK66" s="137"/>
      <c r="HML66" s="137"/>
      <c r="HMM66" s="137"/>
      <c r="HMN66" s="137"/>
      <c r="HMO66" s="137"/>
      <c r="HMP66" s="137"/>
      <c r="HMQ66" s="137"/>
      <c r="HMR66" s="137"/>
      <c r="HMS66" s="137"/>
      <c r="HMT66" s="137"/>
      <c r="HMU66" s="137"/>
      <c r="HMV66" s="137"/>
      <c r="HMW66" s="137"/>
      <c r="HMX66" s="137"/>
      <c r="HMY66" s="137"/>
      <c r="HMZ66" s="137"/>
      <c r="HNA66" s="137"/>
      <c r="HNB66" s="137"/>
      <c r="HNC66" s="137"/>
      <c r="HND66" s="137"/>
      <c r="HNE66" s="137"/>
      <c r="HNF66" s="137"/>
      <c r="HNG66" s="137"/>
      <c r="HNH66" s="137"/>
      <c r="HNI66" s="137"/>
      <c r="HNJ66" s="137"/>
      <c r="HNK66" s="137"/>
      <c r="HNL66" s="137"/>
      <c r="HNM66" s="137"/>
      <c r="HNN66" s="137"/>
      <c r="HNO66" s="137"/>
      <c r="HNP66" s="137"/>
      <c r="HNQ66" s="137"/>
      <c r="HNR66" s="137"/>
      <c r="HNS66" s="137"/>
      <c r="HNT66" s="137"/>
      <c r="HNU66" s="137"/>
      <c r="HNV66" s="137"/>
      <c r="HNW66" s="137"/>
      <c r="HNX66" s="137"/>
      <c r="HNY66" s="137"/>
      <c r="HNZ66" s="137"/>
      <c r="HOA66" s="137"/>
      <c r="HOB66" s="137"/>
      <c r="HOC66" s="137"/>
      <c r="HOD66" s="137"/>
      <c r="HOE66" s="137"/>
      <c r="HOF66" s="137"/>
      <c r="HOG66" s="137"/>
      <c r="HOH66" s="137"/>
      <c r="HOI66" s="137"/>
      <c r="HOJ66" s="137"/>
      <c r="HOK66" s="137"/>
      <c r="HOL66" s="137"/>
      <c r="HOM66" s="137"/>
      <c r="HON66" s="137"/>
      <c r="HOO66" s="137"/>
      <c r="HOP66" s="137"/>
      <c r="HOQ66" s="137"/>
      <c r="HOR66" s="137"/>
      <c r="HOS66" s="137"/>
      <c r="HOT66" s="137"/>
      <c r="HOU66" s="137"/>
      <c r="HOV66" s="137"/>
      <c r="HOW66" s="137"/>
      <c r="HOX66" s="137"/>
      <c r="HOY66" s="137"/>
      <c r="HOZ66" s="137"/>
      <c r="HPA66" s="137"/>
      <c r="HPB66" s="137"/>
      <c r="HPC66" s="137"/>
      <c r="HPD66" s="137"/>
      <c r="HPE66" s="137"/>
      <c r="HPF66" s="137"/>
      <c r="HPG66" s="137"/>
      <c r="HPH66" s="137"/>
      <c r="HPI66" s="137"/>
      <c r="HPJ66" s="137"/>
      <c r="HPK66" s="137"/>
      <c r="HPL66" s="137"/>
      <c r="HPM66" s="137"/>
      <c r="HPN66" s="137"/>
      <c r="HPO66" s="137"/>
      <c r="HPP66" s="137"/>
      <c r="HPQ66" s="137"/>
      <c r="HPR66" s="137"/>
      <c r="HPS66" s="137"/>
      <c r="HPT66" s="137"/>
      <c r="HPU66" s="137"/>
      <c r="HPV66" s="137"/>
      <c r="HPW66" s="137"/>
      <c r="HPX66" s="137"/>
      <c r="HPY66" s="137"/>
      <c r="HPZ66" s="137"/>
      <c r="HQA66" s="137"/>
      <c r="HQB66" s="137"/>
      <c r="HQC66" s="137"/>
      <c r="HQD66" s="137"/>
      <c r="HQE66" s="137"/>
      <c r="HQF66" s="137"/>
      <c r="HQG66" s="137"/>
      <c r="HQH66" s="137"/>
      <c r="HQI66" s="137"/>
      <c r="HQJ66" s="137"/>
      <c r="HQK66" s="137"/>
      <c r="HQL66" s="137"/>
      <c r="HQM66" s="137"/>
      <c r="HQN66" s="137"/>
      <c r="HQO66" s="137"/>
      <c r="HQP66" s="137"/>
      <c r="HQQ66" s="137"/>
      <c r="HQR66" s="137"/>
      <c r="HQS66" s="137"/>
      <c r="HQT66" s="137"/>
      <c r="HQU66" s="137"/>
      <c r="HQV66" s="137"/>
      <c r="HQW66" s="137"/>
      <c r="HQX66" s="137"/>
      <c r="HQY66" s="137"/>
      <c r="HQZ66" s="137"/>
      <c r="HRA66" s="137"/>
      <c r="HRB66" s="137"/>
      <c r="HRC66" s="137"/>
      <c r="HRD66" s="137"/>
      <c r="HRE66" s="137"/>
      <c r="HRF66" s="137"/>
      <c r="HRG66" s="137"/>
      <c r="HRH66" s="137"/>
      <c r="HRI66" s="137"/>
      <c r="HRJ66" s="137"/>
      <c r="HRK66" s="137"/>
      <c r="HRL66" s="137"/>
      <c r="HRM66" s="137"/>
      <c r="HRN66" s="137"/>
      <c r="HRO66" s="137"/>
      <c r="HRP66" s="137"/>
      <c r="HRQ66" s="137"/>
      <c r="HRR66" s="137"/>
      <c r="HRS66" s="137"/>
      <c r="HRT66" s="137"/>
      <c r="HRU66" s="137"/>
      <c r="HRV66" s="137"/>
      <c r="HRW66" s="137"/>
      <c r="HRX66" s="137"/>
      <c r="HRY66" s="137"/>
      <c r="HRZ66" s="137"/>
      <c r="HSA66" s="137"/>
      <c r="HSB66" s="137"/>
      <c r="HSC66" s="137"/>
      <c r="HSD66" s="137"/>
      <c r="HSE66" s="137"/>
      <c r="HSF66" s="137"/>
      <c r="HSG66" s="137"/>
      <c r="HSH66" s="137"/>
      <c r="HSI66" s="137"/>
      <c r="HSJ66" s="137"/>
      <c r="HSK66" s="137"/>
      <c r="HSL66" s="137"/>
      <c r="HSM66" s="137"/>
      <c r="HSN66" s="137"/>
      <c r="HSO66" s="137"/>
      <c r="HSP66" s="137"/>
      <c r="HSQ66" s="137"/>
      <c r="HSR66" s="137"/>
      <c r="HSS66" s="137"/>
      <c r="HST66" s="137"/>
      <c r="HSU66" s="137"/>
      <c r="HSV66" s="137"/>
      <c r="HSW66" s="137"/>
      <c r="HSX66" s="137"/>
      <c r="HSY66" s="137"/>
      <c r="HSZ66" s="137"/>
      <c r="HTA66" s="137"/>
      <c r="HTB66" s="137"/>
      <c r="HTC66" s="137"/>
      <c r="HTD66" s="137"/>
      <c r="HTE66" s="137"/>
      <c r="HTF66" s="137"/>
      <c r="HTG66" s="137"/>
      <c r="HTH66" s="137"/>
      <c r="HTI66" s="137"/>
      <c r="HTJ66" s="137"/>
      <c r="HTK66" s="137"/>
      <c r="HTL66" s="137"/>
      <c r="HTM66" s="137"/>
      <c r="HTN66" s="137"/>
      <c r="HTO66" s="137"/>
      <c r="HTP66" s="137"/>
      <c r="HTQ66" s="137"/>
      <c r="HTR66" s="137"/>
      <c r="HTS66" s="137"/>
      <c r="HTT66" s="137"/>
      <c r="HTU66" s="137"/>
      <c r="HTV66" s="137"/>
      <c r="HTW66" s="137"/>
      <c r="HTX66" s="137"/>
      <c r="HTY66" s="137"/>
      <c r="HTZ66" s="137"/>
      <c r="HUA66" s="137"/>
      <c r="HUB66" s="137"/>
      <c r="HUC66" s="137"/>
      <c r="HUD66" s="137"/>
      <c r="HUE66" s="137"/>
      <c r="HUF66" s="137"/>
      <c r="HUG66" s="137"/>
      <c r="HUH66" s="137"/>
      <c r="HUI66" s="137"/>
      <c r="HUJ66" s="137"/>
      <c r="HUK66" s="137"/>
      <c r="HUL66" s="137"/>
      <c r="HUM66" s="137"/>
      <c r="HUN66" s="137"/>
      <c r="HUO66" s="137"/>
      <c r="HUP66" s="137"/>
      <c r="HUQ66" s="137"/>
      <c r="HUR66" s="137"/>
      <c r="HUS66" s="137"/>
      <c r="HUT66" s="137"/>
      <c r="HUU66" s="137"/>
      <c r="HUV66" s="137"/>
      <c r="HUW66" s="137"/>
      <c r="HUX66" s="137"/>
      <c r="HUY66" s="137"/>
      <c r="HUZ66" s="137"/>
      <c r="HVA66" s="137"/>
      <c r="HVB66" s="137"/>
      <c r="HVC66" s="137"/>
      <c r="HVD66" s="137"/>
      <c r="HVE66" s="137"/>
      <c r="HVF66" s="137"/>
      <c r="HVG66" s="137"/>
      <c r="HVH66" s="137"/>
      <c r="HVI66" s="137"/>
      <c r="HVJ66" s="137"/>
      <c r="HVK66" s="137"/>
      <c r="HVL66" s="137"/>
      <c r="HVM66" s="137"/>
      <c r="HVN66" s="137"/>
      <c r="HVO66" s="137"/>
      <c r="HVP66" s="137"/>
      <c r="HVQ66" s="137"/>
      <c r="HVR66" s="137"/>
      <c r="HVS66" s="137"/>
      <c r="HVT66" s="137"/>
      <c r="HVU66" s="137"/>
      <c r="HVV66" s="137"/>
      <c r="HVW66" s="137"/>
      <c r="HVX66" s="137"/>
      <c r="HVY66" s="137"/>
      <c r="HVZ66" s="137"/>
      <c r="HWA66" s="137"/>
      <c r="HWB66" s="137"/>
      <c r="HWC66" s="137"/>
      <c r="HWD66" s="137"/>
      <c r="HWE66" s="137"/>
      <c r="HWF66" s="137"/>
      <c r="HWG66" s="137"/>
      <c r="HWH66" s="137"/>
      <c r="HWI66" s="137"/>
      <c r="HWJ66" s="137"/>
      <c r="HWK66" s="137"/>
      <c r="HWL66" s="137"/>
      <c r="HWM66" s="137"/>
      <c r="HWN66" s="137"/>
      <c r="HWO66" s="137"/>
      <c r="HWP66" s="137"/>
      <c r="HWQ66" s="137"/>
      <c r="HWR66" s="137"/>
      <c r="HWS66" s="137"/>
      <c r="HWT66" s="137"/>
      <c r="HWU66" s="137"/>
      <c r="HWV66" s="137"/>
      <c r="HWW66" s="137"/>
      <c r="HWX66" s="137"/>
      <c r="HWY66" s="137"/>
      <c r="HWZ66" s="137"/>
      <c r="HXA66" s="137"/>
      <c r="HXB66" s="137"/>
      <c r="HXC66" s="137"/>
      <c r="HXD66" s="137"/>
      <c r="HXE66" s="137"/>
      <c r="HXF66" s="137"/>
      <c r="HXG66" s="137"/>
      <c r="HXH66" s="137"/>
      <c r="HXI66" s="137"/>
      <c r="HXJ66" s="137"/>
      <c r="HXK66" s="137"/>
      <c r="HXL66" s="137"/>
      <c r="HXM66" s="137"/>
      <c r="HXN66" s="137"/>
      <c r="HXO66" s="137"/>
      <c r="HXP66" s="137"/>
      <c r="HXQ66" s="137"/>
      <c r="HXR66" s="137"/>
      <c r="HXS66" s="137"/>
      <c r="HXT66" s="137"/>
      <c r="HXU66" s="137"/>
      <c r="HXV66" s="137"/>
      <c r="HXW66" s="137"/>
      <c r="HXX66" s="137"/>
      <c r="HXY66" s="137"/>
      <c r="HXZ66" s="137"/>
      <c r="HYA66" s="137"/>
      <c r="HYB66" s="137"/>
      <c r="HYC66" s="137"/>
      <c r="HYD66" s="137"/>
      <c r="HYE66" s="137"/>
      <c r="HYF66" s="137"/>
      <c r="HYG66" s="137"/>
      <c r="HYH66" s="137"/>
      <c r="HYI66" s="137"/>
      <c r="HYJ66" s="137"/>
      <c r="HYK66" s="137"/>
      <c r="HYL66" s="137"/>
      <c r="HYM66" s="137"/>
      <c r="HYN66" s="137"/>
      <c r="HYO66" s="137"/>
      <c r="HYP66" s="137"/>
      <c r="HYQ66" s="137"/>
      <c r="HYR66" s="137"/>
      <c r="HYS66" s="137"/>
      <c r="HYT66" s="137"/>
      <c r="HYU66" s="137"/>
      <c r="HYV66" s="137"/>
      <c r="HYW66" s="137"/>
      <c r="HYX66" s="137"/>
      <c r="HYY66" s="137"/>
      <c r="HYZ66" s="137"/>
      <c r="HZA66" s="137"/>
      <c r="HZB66" s="137"/>
      <c r="HZC66" s="137"/>
      <c r="HZD66" s="137"/>
      <c r="HZE66" s="137"/>
      <c r="HZF66" s="137"/>
      <c r="HZG66" s="137"/>
      <c r="HZH66" s="137"/>
      <c r="HZI66" s="137"/>
      <c r="HZJ66" s="137"/>
      <c r="HZK66" s="137"/>
      <c r="HZL66" s="137"/>
      <c r="HZM66" s="137"/>
      <c r="HZN66" s="137"/>
      <c r="HZO66" s="137"/>
      <c r="HZP66" s="137"/>
      <c r="HZQ66" s="137"/>
      <c r="HZR66" s="137"/>
      <c r="HZS66" s="137"/>
      <c r="HZT66" s="137"/>
      <c r="HZU66" s="137"/>
      <c r="HZV66" s="137"/>
      <c r="HZW66" s="137"/>
      <c r="HZX66" s="137"/>
      <c r="HZY66" s="137"/>
      <c r="HZZ66" s="137"/>
      <c r="IAA66" s="137"/>
      <c r="IAB66" s="137"/>
      <c r="IAC66" s="137"/>
      <c r="IAD66" s="137"/>
      <c r="IAE66" s="137"/>
      <c r="IAF66" s="137"/>
      <c r="IAG66" s="137"/>
      <c r="IAH66" s="137"/>
      <c r="IAI66" s="137"/>
      <c r="IAJ66" s="137"/>
      <c r="IAK66" s="137"/>
      <c r="IAL66" s="137"/>
      <c r="IAM66" s="137"/>
      <c r="IAN66" s="137"/>
      <c r="IAO66" s="137"/>
      <c r="IAP66" s="137"/>
      <c r="IAQ66" s="137"/>
      <c r="IAR66" s="137"/>
      <c r="IAS66" s="137"/>
      <c r="IAT66" s="137"/>
      <c r="IAU66" s="137"/>
      <c r="IAV66" s="137"/>
      <c r="IAW66" s="137"/>
      <c r="IAX66" s="137"/>
      <c r="IAY66" s="137"/>
      <c r="IAZ66" s="137"/>
      <c r="IBA66" s="137"/>
      <c r="IBB66" s="137"/>
      <c r="IBC66" s="137"/>
      <c r="IBD66" s="137"/>
      <c r="IBE66" s="137"/>
      <c r="IBF66" s="137"/>
      <c r="IBG66" s="137"/>
      <c r="IBH66" s="137"/>
      <c r="IBI66" s="137"/>
      <c r="IBJ66" s="137"/>
      <c r="IBK66" s="137"/>
      <c r="IBL66" s="137"/>
      <c r="IBM66" s="137"/>
      <c r="IBN66" s="137"/>
      <c r="IBO66" s="137"/>
      <c r="IBP66" s="137"/>
      <c r="IBQ66" s="137"/>
      <c r="IBR66" s="137"/>
      <c r="IBS66" s="137"/>
      <c r="IBT66" s="137"/>
      <c r="IBU66" s="137"/>
      <c r="IBV66" s="137"/>
      <c r="IBW66" s="137"/>
      <c r="IBX66" s="137"/>
      <c r="IBY66" s="137"/>
      <c r="IBZ66" s="137"/>
      <c r="ICA66" s="137"/>
      <c r="ICB66" s="137"/>
      <c r="ICC66" s="137"/>
      <c r="ICD66" s="137"/>
      <c r="ICE66" s="137"/>
      <c r="ICF66" s="137"/>
      <c r="ICG66" s="137"/>
      <c r="ICH66" s="137"/>
      <c r="ICI66" s="137"/>
      <c r="ICJ66" s="137"/>
      <c r="ICK66" s="137"/>
      <c r="ICL66" s="137"/>
      <c r="ICM66" s="137"/>
      <c r="ICN66" s="137"/>
      <c r="ICO66" s="137"/>
      <c r="ICP66" s="137"/>
      <c r="ICQ66" s="137"/>
      <c r="ICR66" s="137"/>
      <c r="ICS66" s="137"/>
      <c r="ICT66" s="137"/>
      <c r="ICU66" s="137"/>
      <c r="ICV66" s="137"/>
      <c r="ICW66" s="137"/>
      <c r="ICX66" s="137"/>
      <c r="ICY66" s="137"/>
      <c r="ICZ66" s="137"/>
      <c r="IDA66" s="137"/>
      <c r="IDB66" s="137"/>
      <c r="IDC66" s="137"/>
      <c r="IDD66" s="137"/>
      <c r="IDE66" s="137"/>
      <c r="IDF66" s="137"/>
      <c r="IDG66" s="137"/>
      <c r="IDH66" s="137"/>
      <c r="IDI66" s="137"/>
      <c r="IDJ66" s="137"/>
      <c r="IDK66" s="137"/>
      <c r="IDL66" s="137"/>
      <c r="IDM66" s="137"/>
      <c r="IDN66" s="137"/>
      <c r="IDO66" s="137"/>
      <c r="IDP66" s="137"/>
      <c r="IDQ66" s="137"/>
      <c r="IDR66" s="137"/>
      <c r="IDS66" s="137"/>
      <c r="IDT66" s="137"/>
      <c r="IDU66" s="137"/>
      <c r="IDV66" s="137"/>
      <c r="IDW66" s="137"/>
      <c r="IDX66" s="137"/>
      <c r="IDY66" s="137"/>
      <c r="IDZ66" s="137"/>
      <c r="IEA66" s="137"/>
      <c r="IEB66" s="137"/>
      <c r="IEC66" s="137"/>
      <c r="IED66" s="137"/>
      <c r="IEE66" s="137"/>
      <c r="IEF66" s="137"/>
      <c r="IEG66" s="137"/>
      <c r="IEH66" s="137"/>
      <c r="IEI66" s="137"/>
      <c r="IEJ66" s="137"/>
      <c r="IEK66" s="137"/>
      <c r="IEL66" s="137"/>
      <c r="IEM66" s="137"/>
      <c r="IEN66" s="137"/>
      <c r="IEO66" s="137"/>
      <c r="IEP66" s="137"/>
      <c r="IEQ66" s="137"/>
      <c r="IER66" s="137"/>
      <c r="IES66" s="137"/>
      <c r="IET66" s="137"/>
      <c r="IEU66" s="137"/>
      <c r="IEV66" s="137"/>
      <c r="IEW66" s="137"/>
      <c r="IEX66" s="137"/>
      <c r="IEY66" s="137"/>
      <c r="IEZ66" s="137"/>
      <c r="IFA66" s="137"/>
      <c r="IFB66" s="137"/>
      <c r="IFC66" s="137"/>
      <c r="IFD66" s="137"/>
      <c r="IFE66" s="137"/>
      <c r="IFF66" s="137"/>
      <c r="IFG66" s="137"/>
      <c r="IFH66" s="137"/>
      <c r="IFI66" s="137"/>
      <c r="IFJ66" s="137"/>
      <c r="IFK66" s="137"/>
      <c r="IFL66" s="137"/>
      <c r="IFM66" s="137"/>
      <c r="IFN66" s="137"/>
      <c r="IFO66" s="137"/>
      <c r="IFP66" s="137"/>
      <c r="IFQ66" s="137"/>
      <c r="IFR66" s="137"/>
      <c r="IFS66" s="137"/>
      <c r="IFT66" s="137"/>
      <c r="IFU66" s="137"/>
      <c r="IFV66" s="137"/>
      <c r="IFW66" s="137"/>
      <c r="IFX66" s="137"/>
      <c r="IFY66" s="137"/>
      <c r="IFZ66" s="137"/>
      <c r="IGA66" s="137"/>
      <c r="IGB66" s="137"/>
      <c r="IGC66" s="137"/>
      <c r="IGD66" s="137"/>
      <c r="IGE66" s="137"/>
      <c r="IGF66" s="137"/>
      <c r="IGG66" s="137"/>
      <c r="IGH66" s="137"/>
      <c r="IGI66" s="137"/>
      <c r="IGJ66" s="137"/>
      <c r="IGK66" s="137"/>
      <c r="IGL66" s="137"/>
      <c r="IGM66" s="137"/>
      <c r="IGN66" s="137"/>
      <c r="IGO66" s="137"/>
      <c r="IGP66" s="137"/>
      <c r="IGQ66" s="137"/>
      <c r="IGR66" s="137"/>
      <c r="IGS66" s="137"/>
      <c r="IGT66" s="137"/>
      <c r="IGU66" s="137"/>
      <c r="IGV66" s="137"/>
      <c r="IGW66" s="137"/>
      <c r="IGX66" s="137"/>
      <c r="IGY66" s="137"/>
      <c r="IGZ66" s="137"/>
      <c r="IHA66" s="137"/>
      <c r="IHB66" s="137"/>
      <c r="IHC66" s="137"/>
      <c r="IHD66" s="137"/>
      <c r="IHE66" s="137"/>
      <c r="IHF66" s="137"/>
      <c r="IHG66" s="137"/>
      <c r="IHH66" s="137"/>
      <c r="IHI66" s="137"/>
      <c r="IHJ66" s="137"/>
      <c r="IHK66" s="137"/>
      <c r="IHL66" s="137"/>
      <c r="IHM66" s="137"/>
      <c r="IHN66" s="137"/>
      <c r="IHO66" s="137"/>
      <c r="IHP66" s="137"/>
      <c r="IHQ66" s="137"/>
      <c r="IHR66" s="137"/>
      <c r="IHS66" s="137"/>
      <c r="IHT66" s="137"/>
      <c r="IHU66" s="137"/>
      <c r="IHV66" s="137"/>
      <c r="IHW66" s="137"/>
      <c r="IHX66" s="137"/>
      <c r="IHY66" s="137"/>
      <c r="IHZ66" s="137"/>
      <c r="IIA66" s="137"/>
      <c r="IIB66" s="137"/>
      <c r="IIC66" s="137"/>
      <c r="IID66" s="137"/>
      <c r="IIE66" s="137"/>
      <c r="IIF66" s="137"/>
      <c r="IIG66" s="137"/>
      <c r="IIH66" s="137"/>
      <c r="III66" s="137"/>
      <c r="IIJ66" s="137"/>
      <c r="IIK66" s="137"/>
      <c r="IIL66" s="137"/>
      <c r="IIM66" s="137"/>
      <c r="IIN66" s="137"/>
      <c r="IIO66" s="137"/>
      <c r="IIP66" s="137"/>
      <c r="IIQ66" s="137"/>
      <c r="IIR66" s="137"/>
      <c r="IIS66" s="137"/>
      <c r="IIT66" s="137"/>
      <c r="IIU66" s="137"/>
      <c r="IIV66" s="137"/>
      <c r="IIW66" s="137"/>
      <c r="IIX66" s="137"/>
      <c r="IIY66" s="137"/>
      <c r="IIZ66" s="137"/>
      <c r="IJA66" s="137"/>
      <c r="IJB66" s="137"/>
      <c r="IJC66" s="137"/>
      <c r="IJD66" s="137"/>
      <c r="IJE66" s="137"/>
      <c r="IJF66" s="137"/>
      <c r="IJG66" s="137"/>
      <c r="IJH66" s="137"/>
      <c r="IJI66" s="137"/>
      <c r="IJJ66" s="137"/>
      <c r="IJK66" s="137"/>
      <c r="IJL66" s="137"/>
      <c r="IJM66" s="137"/>
      <c r="IJN66" s="137"/>
      <c r="IJO66" s="137"/>
      <c r="IJP66" s="137"/>
      <c r="IJQ66" s="137"/>
      <c r="IJR66" s="137"/>
      <c r="IJS66" s="137"/>
      <c r="IJT66" s="137"/>
      <c r="IJU66" s="137"/>
      <c r="IJV66" s="137"/>
      <c r="IJW66" s="137"/>
      <c r="IJX66" s="137"/>
      <c r="IJY66" s="137"/>
      <c r="IJZ66" s="137"/>
      <c r="IKA66" s="137"/>
      <c r="IKB66" s="137"/>
      <c r="IKC66" s="137"/>
      <c r="IKD66" s="137"/>
      <c r="IKE66" s="137"/>
      <c r="IKF66" s="137"/>
      <c r="IKG66" s="137"/>
      <c r="IKH66" s="137"/>
      <c r="IKI66" s="137"/>
      <c r="IKJ66" s="137"/>
      <c r="IKK66" s="137"/>
      <c r="IKL66" s="137"/>
      <c r="IKM66" s="137"/>
      <c r="IKN66" s="137"/>
      <c r="IKO66" s="137"/>
      <c r="IKP66" s="137"/>
      <c r="IKQ66" s="137"/>
      <c r="IKR66" s="137"/>
      <c r="IKS66" s="137"/>
      <c r="IKT66" s="137"/>
      <c r="IKU66" s="137"/>
      <c r="IKV66" s="137"/>
      <c r="IKW66" s="137"/>
      <c r="IKX66" s="137"/>
      <c r="IKY66" s="137"/>
      <c r="IKZ66" s="137"/>
      <c r="ILA66" s="137"/>
      <c r="ILB66" s="137"/>
      <c r="ILC66" s="137"/>
      <c r="ILD66" s="137"/>
      <c r="ILE66" s="137"/>
      <c r="ILF66" s="137"/>
      <c r="ILG66" s="137"/>
      <c r="ILH66" s="137"/>
      <c r="ILI66" s="137"/>
      <c r="ILJ66" s="137"/>
      <c r="ILK66" s="137"/>
      <c r="ILL66" s="137"/>
      <c r="ILM66" s="137"/>
      <c r="ILN66" s="137"/>
      <c r="ILO66" s="137"/>
      <c r="ILP66" s="137"/>
      <c r="ILQ66" s="137"/>
      <c r="ILR66" s="137"/>
      <c r="ILS66" s="137"/>
      <c r="ILT66" s="137"/>
      <c r="ILU66" s="137"/>
      <c r="ILV66" s="137"/>
      <c r="ILW66" s="137"/>
      <c r="ILX66" s="137"/>
      <c r="ILY66" s="137"/>
      <c r="ILZ66" s="137"/>
      <c r="IMA66" s="137"/>
      <c r="IMB66" s="137"/>
      <c r="IMC66" s="137"/>
      <c r="IMD66" s="137"/>
      <c r="IME66" s="137"/>
      <c r="IMF66" s="137"/>
      <c r="IMG66" s="137"/>
      <c r="IMH66" s="137"/>
      <c r="IMI66" s="137"/>
      <c r="IMJ66" s="137"/>
      <c r="IMK66" s="137"/>
      <c r="IML66" s="137"/>
      <c r="IMM66" s="137"/>
      <c r="IMN66" s="137"/>
      <c r="IMO66" s="137"/>
      <c r="IMP66" s="137"/>
      <c r="IMQ66" s="137"/>
      <c r="IMR66" s="137"/>
      <c r="IMS66" s="137"/>
      <c r="IMT66" s="137"/>
      <c r="IMU66" s="137"/>
      <c r="IMV66" s="137"/>
      <c r="IMW66" s="137"/>
      <c r="IMX66" s="137"/>
      <c r="IMY66" s="137"/>
      <c r="IMZ66" s="137"/>
      <c r="INA66" s="137"/>
      <c r="INB66" s="137"/>
      <c r="INC66" s="137"/>
      <c r="IND66" s="137"/>
      <c r="INE66" s="137"/>
      <c r="INF66" s="137"/>
      <c r="ING66" s="137"/>
      <c r="INH66" s="137"/>
      <c r="INI66" s="137"/>
      <c r="INJ66" s="137"/>
      <c r="INK66" s="137"/>
      <c r="INL66" s="137"/>
      <c r="INM66" s="137"/>
      <c r="INN66" s="137"/>
      <c r="INO66" s="137"/>
      <c r="INP66" s="137"/>
      <c r="INQ66" s="137"/>
      <c r="INR66" s="137"/>
      <c r="INS66" s="137"/>
      <c r="INT66" s="137"/>
      <c r="INU66" s="137"/>
      <c r="INV66" s="137"/>
      <c r="INW66" s="137"/>
      <c r="INX66" s="137"/>
      <c r="INY66" s="137"/>
      <c r="INZ66" s="137"/>
      <c r="IOA66" s="137"/>
      <c r="IOB66" s="137"/>
      <c r="IOC66" s="137"/>
      <c r="IOD66" s="137"/>
      <c r="IOE66" s="137"/>
      <c r="IOF66" s="137"/>
      <c r="IOG66" s="137"/>
      <c r="IOH66" s="137"/>
      <c r="IOI66" s="137"/>
      <c r="IOJ66" s="137"/>
      <c r="IOK66" s="137"/>
      <c r="IOL66" s="137"/>
      <c r="IOM66" s="137"/>
      <c r="ION66" s="137"/>
      <c r="IOO66" s="137"/>
      <c r="IOP66" s="137"/>
      <c r="IOQ66" s="137"/>
      <c r="IOR66" s="137"/>
      <c r="IOS66" s="137"/>
      <c r="IOT66" s="137"/>
      <c r="IOU66" s="137"/>
      <c r="IOV66" s="137"/>
      <c r="IOW66" s="137"/>
      <c r="IOX66" s="137"/>
      <c r="IOY66" s="137"/>
      <c r="IOZ66" s="137"/>
      <c r="IPA66" s="137"/>
      <c r="IPB66" s="137"/>
      <c r="IPC66" s="137"/>
      <c r="IPD66" s="137"/>
      <c r="IPE66" s="137"/>
      <c r="IPF66" s="137"/>
      <c r="IPG66" s="137"/>
      <c r="IPH66" s="137"/>
      <c r="IPI66" s="137"/>
      <c r="IPJ66" s="137"/>
      <c r="IPK66" s="137"/>
      <c r="IPL66" s="137"/>
      <c r="IPM66" s="137"/>
      <c r="IPN66" s="137"/>
      <c r="IPO66" s="137"/>
      <c r="IPP66" s="137"/>
      <c r="IPQ66" s="137"/>
      <c r="IPR66" s="137"/>
      <c r="IPS66" s="137"/>
      <c r="IPT66" s="137"/>
      <c r="IPU66" s="137"/>
      <c r="IPV66" s="137"/>
      <c r="IPW66" s="137"/>
      <c r="IPX66" s="137"/>
      <c r="IPY66" s="137"/>
      <c r="IPZ66" s="137"/>
      <c r="IQA66" s="137"/>
      <c r="IQB66" s="137"/>
      <c r="IQC66" s="137"/>
      <c r="IQD66" s="137"/>
      <c r="IQE66" s="137"/>
      <c r="IQF66" s="137"/>
      <c r="IQG66" s="137"/>
      <c r="IQH66" s="137"/>
      <c r="IQI66" s="137"/>
      <c r="IQJ66" s="137"/>
      <c r="IQK66" s="137"/>
      <c r="IQL66" s="137"/>
      <c r="IQM66" s="137"/>
      <c r="IQN66" s="137"/>
      <c r="IQO66" s="137"/>
      <c r="IQP66" s="137"/>
      <c r="IQQ66" s="137"/>
      <c r="IQR66" s="137"/>
      <c r="IQS66" s="137"/>
      <c r="IQT66" s="137"/>
      <c r="IQU66" s="137"/>
      <c r="IQV66" s="137"/>
      <c r="IQW66" s="137"/>
      <c r="IQX66" s="137"/>
      <c r="IQY66" s="137"/>
      <c r="IQZ66" s="137"/>
      <c r="IRA66" s="137"/>
      <c r="IRB66" s="137"/>
      <c r="IRC66" s="137"/>
      <c r="IRD66" s="137"/>
      <c r="IRE66" s="137"/>
      <c r="IRF66" s="137"/>
      <c r="IRG66" s="137"/>
      <c r="IRH66" s="137"/>
      <c r="IRI66" s="137"/>
      <c r="IRJ66" s="137"/>
      <c r="IRK66" s="137"/>
      <c r="IRL66" s="137"/>
      <c r="IRM66" s="137"/>
      <c r="IRN66" s="137"/>
      <c r="IRO66" s="137"/>
      <c r="IRP66" s="137"/>
      <c r="IRQ66" s="137"/>
      <c r="IRR66" s="137"/>
      <c r="IRS66" s="137"/>
      <c r="IRT66" s="137"/>
      <c r="IRU66" s="137"/>
      <c r="IRV66" s="137"/>
      <c r="IRW66" s="137"/>
      <c r="IRX66" s="137"/>
      <c r="IRY66" s="137"/>
      <c r="IRZ66" s="137"/>
      <c r="ISA66" s="137"/>
      <c r="ISB66" s="137"/>
      <c r="ISC66" s="137"/>
      <c r="ISD66" s="137"/>
      <c r="ISE66" s="137"/>
      <c r="ISF66" s="137"/>
      <c r="ISG66" s="137"/>
      <c r="ISH66" s="137"/>
      <c r="ISI66" s="137"/>
      <c r="ISJ66" s="137"/>
      <c r="ISK66" s="137"/>
      <c r="ISL66" s="137"/>
      <c r="ISM66" s="137"/>
      <c r="ISN66" s="137"/>
      <c r="ISO66" s="137"/>
      <c r="ISP66" s="137"/>
      <c r="ISQ66" s="137"/>
      <c r="ISR66" s="137"/>
      <c r="ISS66" s="137"/>
      <c r="IST66" s="137"/>
      <c r="ISU66" s="137"/>
      <c r="ISV66" s="137"/>
      <c r="ISW66" s="137"/>
      <c r="ISX66" s="137"/>
      <c r="ISY66" s="137"/>
      <c r="ISZ66" s="137"/>
      <c r="ITA66" s="137"/>
      <c r="ITB66" s="137"/>
      <c r="ITC66" s="137"/>
      <c r="ITD66" s="137"/>
      <c r="ITE66" s="137"/>
      <c r="ITF66" s="137"/>
      <c r="ITG66" s="137"/>
      <c r="ITH66" s="137"/>
      <c r="ITI66" s="137"/>
      <c r="ITJ66" s="137"/>
      <c r="ITK66" s="137"/>
      <c r="ITL66" s="137"/>
      <c r="ITM66" s="137"/>
      <c r="ITN66" s="137"/>
      <c r="ITO66" s="137"/>
      <c r="ITP66" s="137"/>
      <c r="ITQ66" s="137"/>
      <c r="ITR66" s="137"/>
      <c r="ITS66" s="137"/>
      <c r="ITT66" s="137"/>
      <c r="ITU66" s="137"/>
      <c r="ITV66" s="137"/>
      <c r="ITW66" s="137"/>
      <c r="ITX66" s="137"/>
      <c r="ITY66" s="137"/>
      <c r="ITZ66" s="137"/>
      <c r="IUA66" s="137"/>
      <c r="IUB66" s="137"/>
      <c r="IUC66" s="137"/>
      <c r="IUD66" s="137"/>
      <c r="IUE66" s="137"/>
      <c r="IUF66" s="137"/>
      <c r="IUG66" s="137"/>
      <c r="IUH66" s="137"/>
      <c r="IUI66" s="137"/>
      <c r="IUJ66" s="137"/>
      <c r="IUK66" s="137"/>
      <c r="IUL66" s="137"/>
      <c r="IUM66" s="137"/>
      <c r="IUN66" s="137"/>
      <c r="IUO66" s="137"/>
      <c r="IUP66" s="137"/>
      <c r="IUQ66" s="137"/>
      <c r="IUR66" s="137"/>
      <c r="IUS66" s="137"/>
      <c r="IUT66" s="137"/>
      <c r="IUU66" s="137"/>
      <c r="IUV66" s="137"/>
      <c r="IUW66" s="137"/>
      <c r="IUX66" s="137"/>
      <c r="IUY66" s="137"/>
      <c r="IUZ66" s="137"/>
      <c r="IVA66" s="137"/>
      <c r="IVB66" s="137"/>
      <c r="IVC66" s="137"/>
      <c r="IVD66" s="137"/>
      <c r="IVE66" s="137"/>
      <c r="IVF66" s="137"/>
      <c r="IVG66" s="137"/>
      <c r="IVH66" s="137"/>
      <c r="IVI66" s="137"/>
      <c r="IVJ66" s="137"/>
      <c r="IVK66" s="137"/>
      <c r="IVL66" s="137"/>
      <c r="IVM66" s="137"/>
      <c r="IVN66" s="137"/>
      <c r="IVO66" s="137"/>
      <c r="IVP66" s="137"/>
      <c r="IVQ66" s="137"/>
      <c r="IVR66" s="137"/>
      <c r="IVS66" s="137"/>
      <c r="IVT66" s="137"/>
      <c r="IVU66" s="137"/>
      <c r="IVV66" s="137"/>
      <c r="IVW66" s="137"/>
      <c r="IVX66" s="137"/>
      <c r="IVY66" s="137"/>
      <c r="IVZ66" s="137"/>
      <c r="IWA66" s="137"/>
      <c r="IWB66" s="137"/>
      <c r="IWC66" s="137"/>
      <c r="IWD66" s="137"/>
      <c r="IWE66" s="137"/>
      <c r="IWF66" s="137"/>
      <c r="IWG66" s="137"/>
      <c r="IWH66" s="137"/>
      <c r="IWI66" s="137"/>
      <c r="IWJ66" s="137"/>
      <c r="IWK66" s="137"/>
      <c r="IWL66" s="137"/>
      <c r="IWM66" s="137"/>
      <c r="IWN66" s="137"/>
      <c r="IWO66" s="137"/>
      <c r="IWP66" s="137"/>
      <c r="IWQ66" s="137"/>
      <c r="IWR66" s="137"/>
      <c r="IWS66" s="137"/>
      <c r="IWT66" s="137"/>
      <c r="IWU66" s="137"/>
      <c r="IWV66" s="137"/>
      <c r="IWW66" s="137"/>
      <c r="IWX66" s="137"/>
      <c r="IWY66" s="137"/>
      <c r="IWZ66" s="137"/>
      <c r="IXA66" s="137"/>
      <c r="IXB66" s="137"/>
      <c r="IXC66" s="137"/>
      <c r="IXD66" s="137"/>
      <c r="IXE66" s="137"/>
      <c r="IXF66" s="137"/>
      <c r="IXG66" s="137"/>
      <c r="IXH66" s="137"/>
      <c r="IXI66" s="137"/>
      <c r="IXJ66" s="137"/>
      <c r="IXK66" s="137"/>
      <c r="IXL66" s="137"/>
      <c r="IXM66" s="137"/>
      <c r="IXN66" s="137"/>
      <c r="IXO66" s="137"/>
      <c r="IXP66" s="137"/>
      <c r="IXQ66" s="137"/>
      <c r="IXR66" s="137"/>
      <c r="IXS66" s="137"/>
      <c r="IXT66" s="137"/>
      <c r="IXU66" s="137"/>
      <c r="IXV66" s="137"/>
      <c r="IXW66" s="137"/>
      <c r="IXX66" s="137"/>
      <c r="IXY66" s="137"/>
      <c r="IXZ66" s="137"/>
      <c r="IYA66" s="137"/>
      <c r="IYB66" s="137"/>
      <c r="IYC66" s="137"/>
      <c r="IYD66" s="137"/>
      <c r="IYE66" s="137"/>
      <c r="IYF66" s="137"/>
      <c r="IYG66" s="137"/>
      <c r="IYH66" s="137"/>
      <c r="IYI66" s="137"/>
      <c r="IYJ66" s="137"/>
      <c r="IYK66" s="137"/>
      <c r="IYL66" s="137"/>
      <c r="IYM66" s="137"/>
      <c r="IYN66" s="137"/>
      <c r="IYO66" s="137"/>
      <c r="IYP66" s="137"/>
      <c r="IYQ66" s="137"/>
      <c r="IYR66" s="137"/>
      <c r="IYS66" s="137"/>
      <c r="IYT66" s="137"/>
      <c r="IYU66" s="137"/>
      <c r="IYV66" s="137"/>
      <c r="IYW66" s="137"/>
      <c r="IYX66" s="137"/>
      <c r="IYY66" s="137"/>
      <c r="IYZ66" s="137"/>
      <c r="IZA66" s="137"/>
      <c r="IZB66" s="137"/>
      <c r="IZC66" s="137"/>
      <c r="IZD66" s="137"/>
      <c r="IZE66" s="137"/>
      <c r="IZF66" s="137"/>
      <c r="IZG66" s="137"/>
      <c r="IZH66" s="137"/>
      <c r="IZI66" s="137"/>
      <c r="IZJ66" s="137"/>
      <c r="IZK66" s="137"/>
      <c r="IZL66" s="137"/>
      <c r="IZM66" s="137"/>
      <c r="IZN66" s="137"/>
      <c r="IZO66" s="137"/>
      <c r="IZP66" s="137"/>
      <c r="IZQ66" s="137"/>
      <c r="IZR66" s="137"/>
      <c r="IZS66" s="137"/>
      <c r="IZT66" s="137"/>
      <c r="IZU66" s="137"/>
      <c r="IZV66" s="137"/>
      <c r="IZW66" s="137"/>
      <c r="IZX66" s="137"/>
      <c r="IZY66" s="137"/>
      <c r="IZZ66" s="137"/>
      <c r="JAA66" s="137"/>
      <c r="JAB66" s="137"/>
      <c r="JAC66" s="137"/>
      <c r="JAD66" s="137"/>
      <c r="JAE66" s="137"/>
      <c r="JAF66" s="137"/>
      <c r="JAG66" s="137"/>
      <c r="JAH66" s="137"/>
      <c r="JAI66" s="137"/>
      <c r="JAJ66" s="137"/>
      <c r="JAK66" s="137"/>
      <c r="JAL66" s="137"/>
      <c r="JAM66" s="137"/>
      <c r="JAN66" s="137"/>
      <c r="JAO66" s="137"/>
      <c r="JAP66" s="137"/>
      <c r="JAQ66" s="137"/>
      <c r="JAR66" s="137"/>
      <c r="JAS66" s="137"/>
      <c r="JAT66" s="137"/>
      <c r="JAU66" s="137"/>
      <c r="JAV66" s="137"/>
      <c r="JAW66" s="137"/>
      <c r="JAX66" s="137"/>
      <c r="JAY66" s="137"/>
      <c r="JAZ66" s="137"/>
      <c r="JBA66" s="137"/>
      <c r="JBB66" s="137"/>
      <c r="JBC66" s="137"/>
      <c r="JBD66" s="137"/>
      <c r="JBE66" s="137"/>
      <c r="JBF66" s="137"/>
      <c r="JBG66" s="137"/>
      <c r="JBH66" s="137"/>
      <c r="JBI66" s="137"/>
      <c r="JBJ66" s="137"/>
      <c r="JBK66" s="137"/>
      <c r="JBL66" s="137"/>
      <c r="JBM66" s="137"/>
      <c r="JBN66" s="137"/>
      <c r="JBO66" s="137"/>
      <c r="JBP66" s="137"/>
      <c r="JBQ66" s="137"/>
      <c r="JBR66" s="137"/>
      <c r="JBS66" s="137"/>
      <c r="JBT66" s="137"/>
      <c r="JBU66" s="137"/>
      <c r="JBV66" s="137"/>
      <c r="JBW66" s="137"/>
      <c r="JBX66" s="137"/>
      <c r="JBY66" s="137"/>
      <c r="JBZ66" s="137"/>
      <c r="JCA66" s="137"/>
      <c r="JCB66" s="137"/>
      <c r="JCC66" s="137"/>
      <c r="JCD66" s="137"/>
      <c r="JCE66" s="137"/>
      <c r="JCF66" s="137"/>
      <c r="JCG66" s="137"/>
      <c r="JCH66" s="137"/>
      <c r="JCI66" s="137"/>
      <c r="JCJ66" s="137"/>
      <c r="JCK66" s="137"/>
      <c r="JCL66" s="137"/>
      <c r="JCM66" s="137"/>
      <c r="JCN66" s="137"/>
      <c r="JCO66" s="137"/>
      <c r="JCP66" s="137"/>
      <c r="JCQ66" s="137"/>
      <c r="JCR66" s="137"/>
      <c r="JCS66" s="137"/>
      <c r="JCT66" s="137"/>
      <c r="JCU66" s="137"/>
      <c r="JCV66" s="137"/>
      <c r="JCW66" s="137"/>
      <c r="JCX66" s="137"/>
      <c r="JCY66" s="137"/>
      <c r="JCZ66" s="137"/>
      <c r="JDA66" s="137"/>
      <c r="JDB66" s="137"/>
      <c r="JDC66" s="137"/>
      <c r="JDD66" s="137"/>
      <c r="JDE66" s="137"/>
      <c r="JDF66" s="137"/>
      <c r="JDG66" s="137"/>
      <c r="JDH66" s="137"/>
      <c r="JDI66" s="137"/>
      <c r="JDJ66" s="137"/>
      <c r="JDK66" s="137"/>
      <c r="JDL66" s="137"/>
      <c r="JDM66" s="137"/>
      <c r="JDN66" s="137"/>
      <c r="JDO66" s="137"/>
      <c r="JDP66" s="137"/>
      <c r="JDQ66" s="137"/>
      <c r="JDR66" s="137"/>
      <c r="JDS66" s="137"/>
      <c r="JDT66" s="137"/>
      <c r="JDU66" s="137"/>
      <c r="JDV66" s="137"/>
      <c r="JDW66" s="137"/>
      <c r="JDX66" s="137"/>
      <c r="JDY66" s="137"/>
      <c r="JDZ66" s="137"/>
      <c r="JEA66" s="137"/>
      <c r="JEB66" s="137"/>
      <c r="JEC66" s="137"/>
      <c r="JED66" s="137"/>
      <c r="JEE66" s="137"/>
      <c r="JEF66" s="137"/>
      <c r="JEG66" s="137"/>
      <c r="JEH66" s="137"/>
      <c r="JEI66" s="137"/>
      <c r="JEJ66" s="137"/>
      <c r="JEK66" s="137"/>
      <c r="JEL66" s="137"/>
      <c r="JEM66" s="137"/>
      <c r="JEN66" s="137"/>
      <c r="JEO66" s="137"/>
      <c r="JEP66" s="137"/>
      <c r="JEQ66" s="137"/>
      <c r="JER66" s="137"/>
      <c r="JES66" s="137"/>
      <c r="JET66" s="137"/>
      <c r="JEU66" s="137"/>
      <c r="JEV66" s="137"/>
      <c r="JEW66" s="137"/>
      <c r="JEX66" s="137"/>
      <c r="JEY66" s="137"/>
      <c r="JEZ66" s="137"/>
      <c r="JFA66" s="137"/>
      <c r="JFB66" s="137"/>
      <c r="JFC66" s="137"/>
      <c r="JFD66" s="137"/>
      <c r="JFE66" s="137"/>
      <c r="JFF66" s="137"/>
      <c r="JFG66" s="137"/>
      <c r="JFH66" s="137"/>
      <c r="JFI66" s="137"/>
      <c r="JFJ66" s="137"/>
      <c r="JFK66" s="137"/>
      <c r="JFL66" s="137"/>
      <c r="JFM66" s="137"/>
      <c r="JFN66" s="137"/>
      <c r="JFO66" s="137"/>
      <c r="JFP66" s="137"/>
      <c r="JFQ66" s="137"/>
      <c r="JFR66" s="137"/>
      <c r="JFS66" s="137"/>
      <c r="JFT66" s="137"/>
      <c r="JFU66" s="137"/>
      <c r="JFV66" s="137"/>
      <c r="JFW66" s="137"/>
      <c r="JFX66" s="137"/>
      <c r="JFY66" s="137"/>
      <c r="JFZ66" s="137"/>
      <c r="JGA66" s="137"/>
      <c r="JGB66" s="137"/>
      <c r="JGC66" s="137"/>
      <c r="JGD66" s="137"/>
      <c r="JGE66" s="137"/>
      <c r="JGF66" s="137"/>
      <c r="JGG66" s="137"/>
      <c r="JGH66" s="137"/>
      <c r="JGI66" s="137"/>
      <c r="JGJ66" s="137"/>
      <c r="JGK66" s="137"/>
      <c r="JGL66" s="137"/>
      <c r="JGM66" s="137"/>
      <c r="JGN66" s="137"/>
      <c r="JGO66" s="137"/>
      <c r="JGP66" s="137"/>
      <c r="JGQ66" s="137"/>
      <c r="JGR66" s="137"/>
      <c r="JGS66" s="137"/>
      <c r="JGT66" s="137"/>
      <c r="JGU66" s="137"/>
      <c r="JGV66" s="137"/>
      <c r="JGW66" s="137"/>
      <c r="JGX66" s="137"/>
      <c r="JGY66" s="137"/>
      <c r="JGZ66" s="137"/>
      <c r="JHA66" s="137"/>
      <c r="JHB66" s="137"/>
      <c r="JHC66" s="137"/>
      <c r="JHD66" s="137"/>
      <c r="JHE66" s="137"/>
      <c r="JHF66" s="137"/>
      <c r="JHG66" s="137"/>
      <c r="JHH66" s="137"/>
      <c r="JHI66" s="137"/>
      <c r="JHJ66" s="137"/>
      <c r="JHK66" s="137"/>
      <c r="JHL66" s="137"/>
      <c r="JHM66" s="137"/>
      <c r="JHN66" s="137"/>
      <c r="JHO66" s="137"/>
      <c r="JHP66" s="137"/>
      <c r="JHQ66" s="137"/>
      <c r="JHR66" s="137"/>
      <c r="JHS66" s="137"/>
      <c r="JHT66" s="137"/>
      <c r="JHU66" s="137"/>
      <c r="JHV66" s="137"/>
      <c r="JHW66" s="137"/>
      <c r="JHX66" s="137"/>
      <c r="JHY66" s="137"/>
      <c r="JHZ66" s="137"/>
      <c r="JIA66" s="137"/>
      <c r="JIB66" s="137"/>
      <c r="JIC66" s="137"/>
      <c r="JID66" s="137"/>
      <c r="JIE66" s="137"/>
      <c r="JIF66" s="137"/>
      <c r="JIG66" s="137"/>
      <c r="JIH66" s="137"/>
      <c r="JII66" s="137"/>
      <c r="JIJ66" s="137"/>
      <c r="JIK66" s="137"/>
      <c r="JIL66" s="137"/>
      <c r="JIM66" s="137"/>
      <c r="JIN66" s="137"/>
      <c r="JIO66" s="137"/>
      <c r="JIP66" s="137"/>
      <c r="JIQ66" s="137"/>
      <c r="JIR66" s="137"/>
      <c r="JIS66" s="137"/>
      <c r="JIT66" s="137"/>
      <c r="JIU66" s="137"/>
      <c r="JIV66" s="137"/>
      <c r="JIW66" s="137"/>
      <c r="JIX66" s="137"/>
      <c r="JIY66" s="137"/>
      <c r="JIZ66" s="137"/>
      <c r="JJA66" s="137"/>
      <c r="JJB66" s="137"/>
      <c r="JJC66" s="137"/>
      <c r="JJD66" s="137"/>
      <c r="JJE66" s="137"/>
      <c r="JJF66" s="137"/>
      <c r="JJG66" s="137"/>
      <c r="JJH66" s="137"/>
      <c r="JJI66" s="137"/>
      <c r="JJJ66" s="137"/>
      <c r="JJK66" s="137"/>
      <c r="JJL66" s="137"/>
      <c r="JJM66" s="137"/>
      <c r="JJN66" s="137"/>
      <c r="JJO66" s="137"/>
      <c r="JJP66" s="137"/>
      <c r="JJQ66" s="137"/>
      <c r="JJR66" s="137"/>
      <c r="JJS66" s="137"/>
      <c r="JJT66" s="137"/>
      <c r="JJU66" s="137"/>
      <c r="JJV66" s="137"/>
      <c r="JJW66" s="137"/>
      <c r="JJX66" s="137"/>
      <c r="JJY66" s="137"/>
      <c r="JJZ66" s="137"/>
      <c r="JKA66" s="137"/>
      <c r="JKB66" s="137"/>
      <c r="JKC66" s="137"/>
      <c r="JKD66" s="137"/>
      <c r="JKE66" s="137"/>
      <c r="JKF66" s="137"/>
      <c r="JKG66" s="137"/>
      <c r="JKH66" s="137"/>
      <c r="JKI66" s="137"/>
      <c r="JKJ66" s="137"/>
      <c r="JKK66" s="137"/>
      <c r="JKL66" s="137"/>
      <c r="JKM66" s="137"/>
      <c r="JKN66" s="137"/>
      <c r="JKO66" s="137"/>
      <c r="JKP66" s="137"/>
      <c r="JKQ66" s="137"/>
      <c r="JKR66" s="137"/>
      <c r="JKS66" s="137"/>
      <c r="JKT66" s="137"/>
      <c r="JKU66" s="137"/>
      <c r="JKV66" s="137"/>
      <c r="JKW66" s="137"/>
      <c r="JKX66" s="137"/>
      <c r="JKY66" s="137"/>
      <c r="JKZ66" s="137"/>
      <c r="JLA66" s="137"/>
      <c r="JLB66" s="137"/>
      <c r="JLC66" s="137"/>
      <c r="JLD66" s="137"/>
      <c r="JLE66" s="137"/>
      <c r="JLF66" s="137"/>
      <c r="JLG66" s="137"/>
      <c r="JLH66" s="137"/>
      <c r="JLI66" s="137"/>
      <c r="JLJ66" s="137"/>
      <c r="JLK66" s="137"/>
      <c r="JLL66" s="137"/>
      <c r="JLM66" s="137"/>
      <c r="JLN66" s="137"/>
      <c r="JLO66" s="137"/>
      <c r="JLP66" s="137"/>
      <c r="JLQ66" s="137"/>
      <c r="JLR66" s="137"/>
      <c r="JLS66" s="137"/>
      <c r="JLT66" s="137"/>
      <c r="JLU66" s="137"/>
      <c r="JLV66" s="137"/>
      <c r="JLW66" s="137"/>
      <c r="JLX66" s="137"/>
      <c r="JLY66" s="137"/>
      <c r="JLZ66" s="137"/>
      <c r="JMA66" s="137"/>
      <c r="JMB66" s="137"/>
      <c r="JMC66" s="137"/>
      <c r="JMD66" s="137"/>
      <c r="JME66" s="137"/>
      <c r="JMF66" s="137"/>
      <c r="JMG66" s="137"/>
      <c r="JMH66" s="137"/>
      <c r="JMI66" s="137"/>
      <c r="JMJ66" s="137"/>
      <c r="JMK66" s="137"/>
      <c r="JML66" s="137"/>
      <c r="JMM66" s="137"/>
      <c r="JMN66" s="137"/>
      <c r="JMO66" s="137"/>
      <c r="JMP66" s="137"/>
      <c r="JMQ66" s="137"/>
      <c r="JMR66" s="137"/>
      <c r="JMS66" s="137"/>
      <c r="JMT66" s="137"/>
      <c r="JMU66" s="137"/>
      <c r="JMV66" s="137"/>
      <c r="JMW66" s="137"/>
      <c r="JMX66" s="137"/>
      <c r="JMY66" s="137"/>
      <c r="JMZ66" s="137"/>
      <c r="JNA66" s="137"/>
      <c r="JNB66" s="137"/>
      <c r="JNC66" s="137"/>
      <c r="JND66" s="137"/>
      <c r="JNE66" s="137"/>
      <c r="JNF66" s="137"/>
      <c r="JNG66" s="137"/>
      <c r="JNH66" s="137"/>
      <c r="JNI66" s="137"/>
      <c r="JNJ66" s="137"/>
      <c r="JNK66" s="137"/>
      <c r="JNL66" s="137"/>
      <c r="JNM66" s="137"/>
      <c r="JNN66" s="137"/>
      <c r="JNO66" s="137"/>
      <c r="JNP66" s="137"/>
      <c r="JNQ66" s="137"/>
      <c r="JNR66" s="137"/>
      <c r="JNS66" s="137"/>
      <c r="JNT66" s="137"/>
      <c r="JNU66" s="137"/>
      <c r="JNV66" s="137"/>
      <c r="JNW66" s="137"/>
      <c r="JNX66" s="137"/>
      <c r="JNY66" s="137"/>
      <c r="JNZ66" s="137"/>
      <c r="JOA66" s="137"/>
      <c r="JOB66" s="137"/>
      <c r="JOC66" s="137"/>
      <c r="JOD66" s="137"/>
      <c r="JOE66" s="137"/>
      <c r="JOF66" s="137"/>
      <c r="JOG66" s="137"/>
      <c r="JOH66" s="137"/>
      <c r="JOI66" s="137"/>
      <c r="JOJ66" s="137"/>
      <c r="JOK66" s="137"/>
      <c r="JOL66" s="137"/>
      <c r="JOM66" s="137"/>
      <c r="JON66" s="137"/>
      <c r="JOO66" s="137"/>
      <c r="JOP66" s="137"/>
      <c r="JOQ66" s="137"/>
      <c r="JOR66" s="137"/>
      <c r="JOS66" s="137"/>
      <c r="JOT66" s="137"/>
      <c r="JOU66" s="137"/>
      <c r="JOV66" s="137"/>
      <c r="JOW66" s="137"/>
      <c r="JOX66" s="137"/>
      <c r="JOY66" s="137"/>
      <c r="JOZ66" s="137"/>
      <c r="JPA66" s="137"/>
      <c r="JPB66" s="137"/>
      <c r="JPC66" s="137"/>
      <c r="JPD66" s="137"/>
      <c r="JPE66" s="137"/>
      <c r="JPF66" s="137"/>
      <c r="JPG66" s="137"/>
      <c r="JPH66" s="137"/>
      <c r="JPI66" s="137"/>
      <c r="JPJ66" s="137"/>
      <c r="JPK66" s="137"/>
      <c r="JPL66" s="137"/>
      <c r="JPM66" s="137"/>
      <c r="JPN66" s="137"/>
      <c r="JPO66" s="137"/>
      <c r="JPP66" s="137"/>
      <c r="JPQ66" s="137"/>
      <c r="JPR66" s="137"/>
      <c r="JPS66" s="137"/>
      <c r="JPT66" s="137"/>
      <c r="JPU66" s="137"/>
      <c r="JPV66" s="137"/>
      <c r="JPW66" s="137"/>
      <c r="JPX66" s="137"/>
      <c r="JPY66" s="137"/>
      <c r="JPZ66" s="137"/>
      <c r="JQA66" s="137"/>
      <c r="JQB66" s="137"/>
      <c r="JQC66" s="137"/>
      <c r="JQD66" s="137"/>
      <c r="JQE66" s="137"/>
      <c r="JQF66" s="137"/>
      <c r="JQG66" s="137"/>
      <c r="JQH66" s="137"/>
      <c r="JQI66" s="137"/>
      <c r="JQJ66" s="137"/>
      <c r="JQK66" s="137"/>
      <c r="JQL66" s="137"/>
      <c r="JQM66" s="137"/>
      <c r="JQN66" s="137"/>
      <c r="JQO66" s="137"/>
      <c r="JQP66" s="137"/>
      <c r="JQQ66" s="137"/>
      <c r="JQR66" s="137"/>
      <c r="JQS66" s="137"/>
      <c r="JQT66" s="137"/>
      <c r="JQU66" s="137"/>
      <c r="JQV66" s="137"/>
      <c r="JQW66" s="137"/>
      <c r="JQX66" s="137"/>
      <c r="JQY66" s="137"/>
      <c r="JQZ66" s="137"/>
      <c r="JRA66" s="137"/>
      <c r="JRB66" s="137"/>
      <c r="JRC66" s="137"/>
      <c r="JRD66" s="137"/>
      <c r="JRE66" s="137"/>
      <c r="JRF66" s="137"/>
      <c r="JRG66" s="137"/>
      <c r="JRH66" s="137"/>
      <c r="JRI66" s="137"/>
      <c r="JRJ66" s="137"/>
      <c r="JRK66" s="137"/>
      <c r="JRL66" s="137"/>
      <c r="JRM66" s="137"/>
      <c r="JRN66" s="137"/>
      <c r="JRO66" s="137"/>
      <c r="JRP66" s="137"/>
      <c r="JRQ66" s="137"/>
      <c r="JRR66" s="137"/>
      <c r="JRS66" s="137"/>
      <c r="JRT66" s="137"/>
      <c r="JRU66" s="137"/>
      <c r="JRV66" s="137"/>
      <c r="JRW66" s="137"/>
      <c r="JRX66" s="137"/>
      <c r="JRY66" s="137"/>
      <c r="JRZ66" s="137"/>
      <c r="JSA66" s="137"/>
      <c r="JSB66" s="137"/>
      <c r="JSC66" s="137"/>
      <c r="JSD66" s="137"/>
      <c r="JSE66" s="137"/>
      <c r="JSF66" s="137"/>
      <c r="JSG66" s="137"/>
      <c r="JSH66" s="137"/>
      <c r="JSI66" s="137"/>
      <c r="JSJ66" s="137"/>
      <c r="JSK66" s="137"/>
      <c r="JSL66" s="137"/>
      <c r="JSM66" s="137"/>
      <c r="JSN66" s="137"/>
      <c r="JSO66" s="137"/>
      <c r="JSP66" s="137"/>
      <c r="JSQ66" s="137"/>
      <c r="JSR66" s="137"/>
      <c r="JSS66" s="137"/>
      <c r="JST66" s="137"/>
      <c r="JSU66" s="137"/>
      <c r="JSV66" s="137"/>
      <c r="JSW66" s="137"/>
      <c r="JSX66" s="137"/>
      <c r="JSY66" s="137"/>
      <c r="JSZ66" s="137"/>
      <c r="JTA66" s="137"/>
      <c r="JTB66" s="137"/>
      <c r="JTC66" s="137"/>
      <c r="JTD66" s="137"/>
      <c r="JTE66" s="137"/>
      <c r="JTF66" s="137"/>
      <c r="JTG66" s="137"/>
      <c r="JTH66" s="137"/>
      <c r="JTI66" s="137"/>
      <c r="JTJ66" s="137"/>
      <c r="JTK66" s="137"/>
      <c r="JTL66" s="137"/>
      <c r="JTM66" s="137"/>
      <c r="JTN66" s="137"/>
      <c r="JTO66" s="137"/>
      <c r="JTP66" s="137"/>
      <c r="JTQ66" s="137"/>
      <c r="JTR66" s="137"/>
      <c r="JTS66" s="137"/>
      <c r="JTT66" s="137"/>
      <c r="JTU66" s="137"/>
      <c r="JTV66" s="137"/>
      <c r="JTW66" s="137"/>
      <c r="JTX66" s="137"/>
      <c r="JTY66" s="137"/>
      <c r="JTZ66" s="137"/>
      <c r="JUA66" s="137"/>
      <c r="JUB66" s="137"/>
      <c r="JUC66" s="137"/>
      <c r="JUD66" s="137"/>
      <c r="JUE66" s="137"/>
      <c r="JUF66" s="137"/>
      <c r="JUG66" s="137"/>
      <c r="JUH66" s="137"/>
      <c r="JUI66" s="137"/>
      <c r="JUJ66" s="137"/>
      <c r="JUK66" s="137"/>
      <c r="JUL66" s="137"/>
      <c r="JUM66" s="137"/>
      <c r="JUN66" s="137"/>
      <c r="JUO66" s="137"/>
      <c r="JUP66" s="137"/>
      <c r="JUQ66" s="137"/>
      <c r="JUR66" s="137"/>
      <c r="JUS66" s="137"/>
      <c r="JUT66" s="137"/>
      <c r="JUU66" s="137"/>
      <c r="JUV66" s="137"/>
      <c r="JUW66" s="137"/>
      <c r="JUX66" s="137"/>
      <c r="JUY66" s="137"/>
      <c r="JUZ66" s="137"/>
      <c r="JVA66" s="137"/>
      <c r="JVB66" s="137"/>
      <c r="JVC66" s="137"/>
      <c r="JVD66" s="137"/>
      <c r="JVE66" s="137"/>
      <c r="JVF66" s="137"/>
      <c r="JVG66" s="137"/>
      <c r="JVH66" s="137"/>
      <c r="JVI66" s="137"/>
      <c r="JVJ66" s="137"/>
      <c r="JVK66" s="137"/>
      <c r="JVL66" s="137"/>
      <c r="JVM66" s="137"/>
      <c r="JVN66" s="137"/>
      <c r="JVO66" s="137"/>
      <c r="JVP66" s="137"/>
      <c r="JVQ66" s="137"/>
      <c r="JVR66" s="137"/>
      <c r="JVS66" s="137"/>
      <c r="JVT66" s="137"/>
      <c r="JVU66" s="137"/>
      <c r="JVV66" s="137"/>
      <c r="JVW66" s="137"/>
      <c r="JVX66" s="137"/>
      <c r="JVY66" s="137"/>
      <c r="JVZ66" s="137"/>
      <c r="JWA66" s="137"/>
      <c r="JWB66" s="137"/>
      <c r="JWC66" s="137"/>
      <c r="JWD66" s="137"/>
      <c r="JWE66" s="137"/>
      <c r="JWF66" s="137"/>
      <c r="JWG66" s="137"/>
      <c r="JWH66" s="137"/>
      <c r="JWI66" s="137"/>
      <c r="JWJ66" s="137"/>
      <c r="JWK66" s="137"/>
      <c r="JWL66" s="137"/>
      <c r="JWM66" s="137"/>
      <c r="JWN66" s="137"/>
      <c r="JWO66" s="137"/>
      <c r="JWP66" s="137"/>
      <c r="JWQ66" s="137"/>
      <c r="JWR66" s="137"/>
      <c r="JWS66" s="137"/>
      <c r="JWT66" s="137"/>
      <c r="JWU66" s="137"/>
      <c r="JWV66" s="137"/>
      <c r="JWW66" s="137"/>
      <c r="JWX66" s="137"/>
      <c r="JWY66" s="137"/>
      <c r="JWZ66" s="137"/>
      <c r="JXA66" s="137"/>
      <c r="JXB66" s="137"/>
      <c r="JXC66" s="137"/>
      <c r="JXD66" s="137"/>
      <c r="JXE66" s="137"/>
      <c r="JXF66" s="137"/>
      <c r="JXG66" s="137"/>
      <c r="JXH66" s="137"/>
      <c r="JXI66" s="137"/>
      <c r="JXJ66" s="137"/>
      <c r="JXK66" s="137"/>
      <c r="JXL66" s="137"/>
      <c r="JXM66" s="137"/>
      <c r="JXN66" s="137"/>
      <c r="JXO66" s="137"/>
      <c r="JXP66" s="137"/>
      <c r="JXQ66" s="137"/>
      <c r="JXR66" s="137"/>
      <c r="JXS66" s="137"/>
      <c r="JXT66" s="137"/>
      <c r="JXU66" s="137"/>
      <c r="JXV66" s="137"/>
      <c r="JXW66" s="137"/>
      <c r="JXX66" s="137"/>
      <c r="JXY66" s="137"/>
      <c r="JXZ66" s="137"/>
      <c r="JYA66" s="137"/>
      <c r="JYB66" s="137"/>
      <c r="JYC66" s="137"/>
      <c r="JYD66" s="137"/>
      <c r="JYE66" s="137"/>
      <c r="JYF66" s="137"/>
      <c r="JYG66" s="137"/>
      <c r="JYH66" s="137"/>
      <c r="JYI66" s="137"/>
      <c r="JYJ66" s="137"/>
      <c r="JYK66" s="137"/>
      <c r="JYL66" s="137"/>
      <c r="JYM66" s="137"/>
      <c r="JYN66" s="137"/>
      <c r="JYO66" s="137"/>
      <c r="JYP66" s="137"/>
      <c r="JYQ66" s="137"/>
      <c r="JYR66" s="137"/>
      <c r="JYS66" s="137"/>
      <c r="JYT66" s="137"/>
      <c r="JYU66" s="137"/>
      <c r="JYV66" s="137"/>
      <c r="JYW66" s="137"/>
      <c r="JYX66" s="137"/>
      <c r="JYY66" s="137"/>
      <c r="JYZ66" s="137"/>
      <c r="JZA66" s="137"/>
      <c r="JZB66" s="137"/>
      <c r="JZC66" s="137"/>
      <c r="JZD66" s="137"/>
      <c r="JZE66" s="137"/>
      <c r="JZF66" s="137"/>
      <c r="JZG66" s="137"/>
      <c r="JZH66" s="137"/>
      <c r="JZI66" s="137"/>
      <c r="JZJ66" s="137"/>
      <c r="JZK66" s="137"/>
      <c r="JZL66" s="137"/>
      <c r="JZM66" s="137"/>
      <c r="JZN66" s="137"/>
      <c r="JZO66" s="137"/>
      <c r="JZP66" s="137"/>
      <c r="JZQ66" s="137"/>
      <c r="JZR66" s="137"/>
      <c r="JZS66" s="137"/>
      <c r="JZT66" s="137"/>
      <c r="JZU66" s="137"/>
      <c r="JZV66" s="137"/>
      <c r="JZW66" s="137"/>
      <c r="JZX66" s="137"/>
      <c r="JZY66" s="137"/>
      <c r="JZZ66" s="137"/>
      <c r="KAA66" s="137"/>
      <c r="KAB66" s="137"/>
      <c r="KAC66" s="137"/>
      <c r="KAD66" s="137"/>
      <c r="KAE66" s="137"/>
      <c r="KAF66" s="137"/>
      <c r="KAG66" s="137"/>
      <c r="KAH66" s="137"/>
      <c r="KAI66" s="137"/>
      <c r="KAJ66" s="137"/>
      <c r="KAK66" s="137"/>
      <c r="KAL66" s="137"/>
      <c r="KAM66" s="137"/>
      <c r="KAN66" s="137"/>
      <c r="KAO66" s="137"/>
      <c r="KAP66" s="137"/>
      <c r="KAQ66" s="137"/>
      <c r="KAR66" s="137"/>
      <c r="KAS66" s="137"/>
      <c r="KAT66" s="137"/>
      <c r="KAU66" s="137"/>
      <c r="KAV66" s="137"/>
      <c r="KAW66" s="137"/>
      <c r="KAX66" s="137"/>
      <c r="KAY66" s="137"/>
      <c r="KAZ66" s="137"/>
      <c r="KBA66" s="137"/>
      <c r="KBB66" s="137"/>
      <c r="KBC66" s="137"/>
      <c r="KBD66" s="137"/>
      <c r="KBE66" s="137"/>
      <c r="KBF66" s="137"/>
      <c r="KBG66" s="137"/>
      <c r="KBH66" s="137"/>
      <c r="KBI66" s="137"/>
      <c r="KBJ66" s="137"/>
      <c r="KBK66" s="137"/>
      <c r="KBL66" s="137"/>
      <c r="KBM66" s="137"/>
      <c r="KBN66" s="137"/>
      <c r="KBO66" s="137"/>
      <c r="KBP66" s="137"/>
      <c r="KBQ66" s="137"/>
      <c r="KBR66" s="137"/>
      <c r="KBS66" s="137"/>
      <c r="KBT66" s="137"/>
      <c r="KBU66" s="137"/>
      <c r="KBV66" s="137"/>
      <c r="KBW66" s="137"/>
      <c r="KBX66" s="137"/>
      <c r="KBY66" s="137"/>
      <c r="KBZ66" s="137"/>
      <c r="KCA66" s="137"/>
      <c r="KCB66" s="137"/>
      <c r="KCC66" s="137"/>
      <c r="KCD66" s="137"/>
      <c r="KCE66" s="137"/>
      <c r="KCF66" s="137"/>
      <c r="KCG66" s="137"/>
      <c r="KCH66" s="137"/>
      <c r="KCI66" s="137"/>
      <c r="KCJ66" s="137"/>
      <c r="KCK66" s="137"/>
      <c r="KCL66" s="137"/>
      <c r="KCM66" s="137"/>
      <c r="KCN66" s="137"/>
      <c r="KCO66" s="137"/>
      <c r="KCP66" s="137"/>
      <c r="KCQ66" s="137"/>
      <c r="KCR66" s="137"/>
      <c r="KCS66" s="137"/>
      <c r="KCT66" s="137"/>
      <c r="KCU66" s="137"/>
      <c r="KCV66" s="137"/>
      <c r="KCW66" s="137"/>
      <c r="KCX66" s="137"/>
      <c r="KCY66" s="137"/>
      <c r="KCZ66" s="137"/>
      <c r="KDA66" s="137"/>
      <c r="KDB66" s="137"/>
      <c r="KDC66" s="137"/>
      <c r="KDD66" s="137"/>
      <c r="KDE66" s="137"/>
      <c r="KDF66" s="137"/>
      <c r="KDG66" s="137"/>
      <c r="KDH66" s="137"/>
      <c r="KDI66" s="137"/>
      <c r="KDJ66" s="137"/>
      <c r="KDK66" s="137"/>
      <c r="KDL66" s="137"/>
      <c r="KDM66" s="137"/>
      <c r="KDN66" s="137"/>
      <c r="KDO66" s="137"/>
      <c r="KDP66" s="137"/>
      <c r="KDQ66" s="137"/>
      <c r="KDR66" s="137"/>
      <c r="KDS66" s="137"/>
      <c r="KDT66" s="137"/>
      <c r="KDU66" s="137"/>
      <c r="KDV66" s="137"/>
      <c r="KDW66" s="137"/>
      <c r="KDX66" s="137"/>
      <c r="KDY66" s="137"/>
      <c r="KDZ66" s="137"/>
      <c r="KEA66" s="137"/>
      <c r="KEB66" s="137"/>
      <c r="KEC66" s="137"/>
      <c r="KED66" s="137"/>
      <c r="KEE66" s="137"/>
      <c r="KEF66" s="137"/>
      <c r="KEG66" s="137"/>
      <c r="KEH66" s="137"/>
      <c r="KEI66" s="137"/>
      <c r="KEJ66" s="137"/>
      <c r="KEK66" s="137"/>
      <c r="KEL66" s="137"/>
      <c r="KEM66" s="137"/>
      <c r="KEN66" s="137"/>
      <c r="KEO66" s="137"/>
      <c r="KEP66" s="137"/>
      <c r="KEQ66" s="137"/>
      <c r="KER66" s="137"/>
      <c r="KES66" s="137"/>
      <c r="KET66" s="137"/>
      <c r="KEU66" s="137"/>
      <c r="KEV66" s="137"/>
      <c r="KEW66" s="137"/>
      <c r="KEX66" s="137"/>
      <c r="KEY66" s="137"/>
      <c r="KEZ66" s="137"/>
      <c r="KFA66" s="137"/>
      <c r="KFB66" s="137"/>
      <c r="KFC66" s="137"/>
      <c r="KFD66" s="137"/>
      <c r="KFE66" s="137"/>
      <c r="KFF66" s="137"/>
      <c r="KFG66" s="137"/>
      <c r="KFH66" s="137"/>
      <c r="KFI66" s="137"/>
      <c r="KFJ66" s="137"/>
      <c r="KFK66" s="137"/>
      <c r="KFL66" s="137"/>
      <c r="KFM66" s="137"/>
      <c r="KFN66" s="137"/>
      <c r="KFO66" s="137"/>
      <c r="KFP66" s="137"/>
      <c r="KFQ66" s="137"/>
      <c r="KFR66" s="137"/>
      <c r="KFS66" s="137"/>
      <c r="KFT66" s="137"/>
      <c r="KFU66" s="137"/>
      <c r="KFV66" s="137"/>
      <c r="KFW66" s="137"/>
      <c r="KFX66" s="137"/>
      <c r="KFY66" s="137"/>
      <c r="KFZ66" s="137"/>
      <c r="KGA66" s="137"/>
      <c r="KGB66" s="137"/>
      <c r="KGC66" s="137"/>
      <c r="KGD66" s="137"/>
      <c r="KGE66" s="137"/>
      <c r="KGF66" s="137"/>
      <c r="KGG66" s="137"/>
      <c r="KGH66" s="137"/>
      <c r="KGI66" s="137"/>
      <c r="KGJ66" s="137"/>
      <c r="KGK66" s="137"/>
      <c r="KGL66" s="137"/>
      <c r="KGM66" s="137"/>
      <c r="KGN66" s="137"/>
      <c r="KGO66" s="137"/>
      <c r="KGP66" s="137"/>
      <c r="KGQ66" s="137"/>
      <c r="KGR66" s="137"/>
      <c r="KGS66" s="137"/>
      <c r="KGT66" s="137"/>
      <c r="KGU66" s="137"/>
      <c r="KGV66" s="137"/>
      <c r="KGW66" s="137"/>
      <c r="KGX66" s="137"/>
      <c r="KGY66" s="137"/>
      <c r="KGZ66" s="137"/>
      <c r="KHA66" s="137"/>
      <c r="KHB66" s="137"/>
      <c r="KHC66" s="137"/>
      <c r="KHD66" s="137"/>
      <c r="KHE66" s="137"/>
      <c r="KHF66" s="137"/>
      <c r="KHG66" s="137"/>
      <c r="KHH66" s="137"/>
      <c r="KHI66" s="137"/>
      <c r="KHJ66" s="137"/>
      <c r="KHK66" s="137"/>
      <c r="KHL66" s="137"/>
      <c r="KHM66" s="137"/>
      <c r="KHN66" s="137"/>
      <c r="KHO66" s="137"/>
      <c r="KHP66" s="137"/>
      <c r="KHQ66" s="137"/>
      <c r="KHR66" s="137"/>
      <c r="KHS66" s="137"/>
      <c r="KHT66" s="137"/>
      <c r="KHU66" s="137"/>
      <c r="KHV66" s="137"/>
      <c r="KHW66" s="137"/>
      <c r="KHX66" s="137"/>
      <c r="KHY66" s="137"/>
      <c r="KHZ66" s="137"/>
      <c r="KIA66" s="137"/>
      <c r="KIB66" s="137"/>
      <c r="KIC66" s="137"/>
      <c r="KID66" s="137"/>
      <c r="KIE66" s="137"/>
      <c r="KIF66" s="137"/>
      <c r="KIG66" s="137"/>
      <c r="KIH66" s="137"/>
      <c r="KII66" s="137"/>
      <c r="KIJ66" s="137"/>
      <c r="KIK66" s="137"/>
      <c r="KIL66" s="137"/>
      <c r="KIM66" s="137"/>
      <c r="KIN66" s="137"/>
      <c r="KIO66" s="137"/>
      <c r="KIP66" s="137"/>
      <c r="KIQ66" s="137"/>
      <c r="KIR66" s="137"/>
      <c r="KIS66" s="137"/>
      <c r="KIT66" s="137"/>
      <c r="KIU66" s="137"/>
      <c r="KIV66" s="137"/>
      <c r="KIW66" s="137"/>
      <c r="KIX66" s="137"/>
      <c r="KIY66" s="137"/>
      <c r="KIZ66" s="137"/>
      <c r="KJA66" s="137"/>
      <c r="KJB66" s="137"/>
      <c r="KJC66" s="137"/>
      <c r="KJD66" s="137"/>
      <c r="KJE66" s="137"/>
      <c r="KJF66" s="137"/>
      <c r="KJG66" s="137"/>
      <c r="KJH66" s="137"/>
      <c r="KJI66" s="137"/>
      <c r="KJJ66" s="137"/>
      <c r="KJK66" s="137"/>
      <c r="KJL66" s="137"/>
      <c r="KJM66" s="137"/>
      <c r="KJN66" s="137"/>
      <c r="KJO66" s="137"/>
      <c r="KJP66" s="137"/>
      <c r="KJQ66" s="137"/>
      <c r="KJR66" s="137"/>
      <c r="KJS66" s="137"/>
      <c r="KJT66" s="137"/>
      <c r="KJU66" s="137"/>
      <c r="KJV66" s="137"/>
      <c r="KJW66" s="137"/>
      <c r="KJX66" s="137"/>
      <c r="KJY66" s="137"/>
      <c r="KJZ66" s="137"/>
      <c r="KKA66" s="137"/>
      <c r="KKB66" s="137"/>
      <c r="KKC66" s="137"/>
      <c r="KKD66" s="137"/>
      <c r="KKE66" s="137"/>
      <c r="KKF66" s="137"/>
      <c r="KKG66" s="137"/>
      <c r="KKH66" s="137"/>
      <c r="KKI66" s="137"/>
      <c r="KKJ66" s="137"/>
      <c r="KKK66" s="137"/>
      <c r="KKL66" s="137"/>
      <c r="KKM66" s="137"/>
      <c r="KKN66" s="137"/>
      <c r="KKO66" s="137"/>
      <c r="KKP66" s="137"/>
      <c r="KKQ66" s="137"/>
      <c r="KKR66" s="137"/>
      <c r="KKS66" s="137"/>
      <c r="KKT66" s="137"/>
      <c r="KKU66" s="137"/>
      <c r="KKV66" s="137"/>
      <c r="KKW66" s="137"/>
      <c r="KKX66" s="137"/>
      <c r="KKY66" s="137"/>
      <c r="KKZ66" s="137"/>
      <c r="KLA66" s="137"/>
      <c r="KLB66" s="137"/>
      <c r="KLC66" s="137"/>
      <c r="KLD66" s="137"/>
      <c r="KLE66" s="137"/>
      <c r="KLF66" s="137"/>
      <c r="KLG66" s="137"/>
      <c r="KLH66" s="137"/>
      <c r="KLI66" s="137"/>
      <c r="KLJ66" s="137"/>
      <c r="KLK66" s="137"/>
      <c r="KLL66" s="137"/>
      <c r="KLM66" s="137"/>
      <c r="KLN66" s="137"/>
      <c r="KLO66" s="137"/>
      <c r="KLP66" s="137"/>
      <c r="KLQ66" s="137"/>
      <c r="KLR66" s="137"/>
      <c r="KLS66" s="137"/>
      <c r="KLT66" s="137"/>
      <c r="KLU66" s="137"/>
      <c r="KLV66" s="137"/>
      <c r="KLW66" s="137"/>
      <c r="KLX66" s="137"/>
      <c r="KLY66" s="137"/>
      <c r="KLZ66" s="137"/>
      <c r="KMA66" s="137"/>
      <c r="KMB66" s="137"/>
      <c r="KMC66" s="137"/>
      <c r="KMD66" s="137"/>
      <c r="KME66" s="137"/>
      <c r="KMF66" s="137"/>
      <c r="KMG66" s="137"/>
      <c r="KMH66" s="137"/>
      <c r="KMI66" s="137"/>
      <c r="KMJ66" s="137"/>
      <c r="KMK66" s="137"/>
      <c r="KML66" s="137"/>
      <c r="KMM66" s="137"/>
      <c r="KMN66" s="137"/>
      <c r="KMO66" s="137"/>
      <c r="KMP66" s="137"/>
      <c r="KMQ66" s="137"/>
      <c r="KMR66" s="137"/>
      <c r="KMS66" s="137"/>
      <c r="KMT66" s="137"/>
      <c r="KMU66" s="137"/>
      <c r="KMV66" s="137"/>
      <c r="KMW66" s="137"/>
      <c r="KMX66" s="137"/>
      <c r="KMY66" s="137"/>
      <c r="KMZ66" s="137"/>
      <c r="KNA66" s="137"/>
      <c r="KNB66" s="137"/>
      <c r="KNC66" s="137"/>
      <c r="KND66" s="137"/>
      <c r="KNE66" s="137"/>
      <c r="KNF66" s="137"/>
      <c r="KNG66" s="137"/>
      <c r="KNH66" s="137"/>
      <c r="KNI66" s="137"/>
      <c r="KNJ66" s="137"/>
      <c r="KNK66" s="137"/>
      <c r="KNL66" s="137"/>
      <c r="KNM66" s="137"/>
      <c r="KNN66" s="137"/>
      <c r="KNO66" s="137"/>
      <c r="KNP66" s="137"/>
      <c r="KNQ66" s="137"/>
      <c r="KNR66" s="137"/>
      <c r="KNS66" s="137"/>
      <c r="KNT66" s="137"/>
      <c r="KNU66" s="137"/>
      <c r="KNV66" s="137"/>
      <c r="KNW66" s="137"/>
      <c r="KNX66" s="137"/>
      <c r="KNY66" s="137"/>
      <c r="KNZ66" s="137"/>
      <c r="KOA66" s="137"/>
      <c r="KOB66" s="137"/>
      <c r="KOC66" s="137"/>
      <c r="KOD66" s="137"/>
      <c r="KOE66" s="137"/>
      <c r="KOF66" s="137"/>
      <c r="KOG66" s="137"/>
      <c r="KOH66" s="137"/>
      <c r="KOI66" s="137"/>
      <c r="KOJ66" s="137"/>
      <c r="KOK66" s="137"/>
      <c r="KOL66" s="137"/>
      <c r="KOM66" s="137"/>
      <c r="KON66" s="137"/>
      <c r="KOO66" s="137"/>
      <c r="KOP66" s="137"/>
      <c r="KOQ66" s="137"/>
      <c r="KOR66" s="137"/>
      <c r="KOS66" s="137"/>
      <c r="KOT66" s="137"/>
      <c r="KOU66" s="137"/>
      <c r="KOV66" s="137"/>
      <c r="KOW66" s="137"/>
      <c r="KOX66" s="137"/>
      <c r="KOY66" s="137"/>
      <c r="KOZ66" s="137"/>
      <c r="KPA66" s="137"/>
      <c r="KPB66" s="137"/>
      <c r="KPC66" s="137"/>
      <c r="KPD66" s="137"/>
      <c r="KPE66" s="137"/>
      <c r="KPF66" s="137"/>
      <c r="KPG66" s="137"/>
      <c r="KPH66" s="137"/>
      <c r="KPI66" s="137"/>
      <c r="KPJ66" s="137"/>
      <c r="KPK66" s="137"/>
      <c r="KPL66" s="137"/>
      <c r="KPM66" s="137"/>
      <c r="KPN66" s="137"/>
      <c r="KPO66" s="137"/>
      <c r="KPP66" s="137"/>
      <c r="KPQ66" s="137"/>
      <c r="KPR66" s="137"/>
      <c r="KPS66" s="137"/>
      <c r="KPT66" s="137"/>
      <c r="KPU66" s="137"/>
      <c r="KPV66" s="137"/>
      <c r="KPW66" s="137"/>
      <c r="KPX66" s="137"/>
      <c r="KPY66" s="137"/>
      <c r="KPZ66" s="137"/>
      <c r="KQA66" s="137"/>
      <c r="KQB66" s="137"/>
      <c r="KQC66" s="137"/>
      <c r="KQD66" s="137"/>
      <c r="KQE66" s="137"/>
      <c r="KQF66" s="137"/>
      <c r="KQG66" s="137"/>
      <c r="KQH66" s="137"/>
      <c r="KQI66" s="137"/>
      <c r="KQJ66" s="137"/>
      <c r="KQK66" s="137"/>
      <c r="KQL66" s="137"/>
      <c r="KQM66" s="137"/>
      <c r="KQN66" s="137"/>
      <c r="KQO66" s="137"/>
      <c r="KQP66" s="137"/>
      <c r="KQQ66" s="137"/>
      <c r="KQR66" s="137"/>
      <c r="KQS66" s="137"/>
      <c r="KQT66" s="137"/>
      <c r="KQU66" s="137"/>
      <c r="KQV66" s="137"/>
      <c r="KQW66" s="137"/>
      <c r="KQX66" s="137"/>
      <c r="KQY66" s="137"/>
      <c r="KQZ66" s="137"/>
      <c r="KRA66" s="137"/>
      <c r="KRB66" s="137"/>
      <c r="KRC66" s="137"/>
      <c r="KRD66" s="137"/>
      <c r="KRE66" s="137"/>
      <c r="KRF66" s="137"/>
      <c r="KRG66" s="137"/>
      <c r="KRH66" s="137"/>
      <c r="KRI66" s="137"/>
      <c r="KRJ66" s="137"/>
      <c r="KRK66" s="137"/>
      <c r="KRL66" s="137"/>
      <c r="KRM66" s="137"/>
      <c r="KRN66" s="137"/>
      <c r="KRO66" s="137"/>
      <c r="KRP66" s="137"/>
      <c r="KRQ66" s="137"/>
      <c r="KRR66" s="137"/>
      <c r="KRS66" s="137"/>
      <c r="KRT66" s="137"/>
      <c r="KRU66" s="137"/>
      <c r="KRV66" s="137"/>
      <c r="KRW66" s="137"/>
      <c r="KRX66" s="137"/>
      <c r="KRY66" s="137"/>
      <c r="KRZ66" s="137"/>
      <c r="KSA66" s="137"/>
      <c r="KSB66" s="137"/>
      <c r="KSC66" s="137"/>
      <c r="KSD66" s="137"/>
      <c r="KSE66" s="137"/>
      <c r="KSF66" s="137"/>
      <c r="KSG66" s="137"/>
      <c r="KSH66" s="137"/>
      <c r="KSI66" s="137"/>
      <c r="KSJ66" s="137"/>
      <c r="KSK66" s="137"/>
      <c r="KSL66" s="137"/>
      <c r="KSM66" s="137"/>
      <c r="KSN66" s="137"/>
      <c r="KSO66" s="137"/>
      <c r="KSP66" s="137"/>
      <c r="KSQ66" s="137"/>
      <c r="KSR66" s="137"/>
      <c r="KSS66" s="137"/>
      <c r="KST66" s="137"/>
      <c r="KSU66" s="137"/>
      <c r="KSV66" s="137"/>
      <c r="KSW66" s="137"/>
      <c r="KSX66" s="137"/>
      <c r="KSY66" s="137"/>
      <c r="KSZ66" s="137"/>
      <c r="KTA66" s="137"/>
      <c r="KTB66" s="137"/>
      <c r="KTC66" s="137"/>
      <c r="KTD66" s="137"/>
      <c r="KTE66" s="137"/>
      <c r="KTF66" s="137"/>
      <c r="KTG66" s="137"/>
      <c r="KTH66" s="137"/>
      <c r="KTI66" s="137"/>
      <c r="KTJ66" s="137"/>
      <c r="KTK66" s="137"/>
      <c r="KTL66" s="137"/>
      <c r="KTM66" s="137"/>
      <c r="KTN66" s="137"/>
      <c r="KTO66" s="137"/>
      <c r="KTP66" s="137"/>
      <c r="KTQ66" s="137"/>
      <c r="KTR66" s="137"/>
      <c r="KTS66" s="137"/>
      <c r="KTT66" s="137"/>
      <c r="KTU66" s="137"/>
      <c r="KTV66" s="137"/>
      <c r="KTW66" s="137"/>
      <c r="KTX66" s="137"/>
      <c r="KTY66" s="137"/>
      <c r="KTZ66" s="137"/>
      <c r="KUA66" s="137"/>
      <c r="KUB66" s="137"/>
      <c r="KUC66" s="137"/>
      <c r="KUD66" s="137"/>
      <c r="KUE66" s="137"/>
      <c r="KUF66" s="137"/>
      <c r="KUG66" s="137"/>
      <c r="KUH66" s="137"/>
      <c r="KUI66" s="137"/>
      <c r="KUJ66" s="137"/>
      <c r="KUK66" s="137"/>
      <c r="KUL66" s="137"/>
      <c r="KUM66" s="137"/>
      <c r="KUN66" s="137"/>
      <c r="KUO66" s="137"/>
      <c r="KUP66" s="137"/>
      <c r="KUQ66" s="137"/>
      <c r="KUR66" s="137"/>
      <c r="KUS66" s="137"/>
      <c r="KUT66" s="137"/>
      <c r="KUU66" s="137"/>
      <c r="KUV66" s="137"/>
      <c r="KUW66" s="137"/>
      <c r="KUX66" s="137"/>
      <c r="KUY66" s="137"/>
      <c r="KUZ66" s="137"/>
      <c r="KVA66" s="137"/>
      <c r="KVB66" s="137"/>
      <c r="KVC66" s="137"/>
      <c r="KVD66" s="137"/>
      <c r="KVE66" s="137"/>
      <c r="KVF66" s="137"/>
      <c r="KVG66" s="137"/>
      <c r="KVH66" s="137"/>
      <c r="KVI66" s="137"/>
      <c r="KVJ66" s="137"/>
      <c r="KVK66" s="137"/>
      <c r="KVL66" s="137"/>
      <c r="KVM66" s="137"/>
      <c r="KVN66" s="137"/>
      <c r="KVO66" s="137"/>
      <c r="KVP66" s="137"/>
      <c r="KVQ66" s="137"/>
      <c r="KVR66" s="137"/>
      <c r="KVS66" s="137"/>
      <c r="KVT66" s="137"/>
      <c r="KVU66" s="137"/>
      <c r="KVV66" s="137"/>
      <c r="KVW66" s="137"/>
      <c r="KVX66" s="137"/>
      <c r="KVY66" s="137"/>
      <c r="KVZ66" s="137"/>
      <c r="KWA66" s="137"/>
      <c r="KWB66" s="137"/>
      <c r="KWC66" s="137"/>
      <c r="KWD66" s="137"/>
      <c r="KWE66" s="137"/>
      <c r="KWF66" s="137"/>
      <c r="KWG66" s="137"/>
      <c r="KWH66" s="137"/>
      <c r="KWI66" s="137"/>
      <c r="KWJ66" s="137"/>
      <c r="KWK66" s="137"/>
      <c r="KWL66" s="137"/>
      <c r="KWM66" s="137"/>
      <c r="KWN66" s="137"/>
      <c r="KWO66" s="137"/>
      <c r="KWP66" s="137"/>
      <c r="KWQ66" s="137"/>
      <c r="KWR66" s="137"/>
      <c r="KWS66" s="137"/>
      <c r="KWT66" s="137"/>
      <c r="KWU66" s="137"/>
      <c r="KWV66" s="137"/>
      <c r="KWW66" s="137"/>
      <c r="KWX66" s="137"/>
      <c r="KWY66" s="137"/>
      <c r="KWZ66" s="137"/>
      <c r="KXA66" s="137"/>
      <c r="KXB66" s="137"/>
      <c r="KXC66" s="137"/>
      <c r="KXD66" s="137"/>
      <c r="KXE66" s="137"/>
      <c r="KXF66" s="137"/>
      <c r="KXG66" s="137"/>
      <c r="KXH66" s="137"/>
      <c r="KXI66" s="137"/>
      <c r="KXJ66" s="137"/>
      <c r="KXK66" s="137"/>
      <c r="KXL66" s="137"/>
      <c r="KXM66" s="137"/>
      <c r="KXN66" s="137"/>
      <c r="KXO66" s="137"/>
      <c r="KXP66" s="137"/>
      <c r="KXQ66" s="137"/>
      <c r="KXR66" s="137"/>
      <c r="KXS66" s="137"/>
      <c r="KXT66" s="137"/>
      <c r="KXU66" s="137"/>
      <c r="KXV66" s="137"/>
      <c r="KXW66" s="137"/>
      <c r="KXX66" s="137"/>
      <c r="KXY66" s="137"/>
      <c r="KXZ66" s="137"/>
      <c r="KYA66" s="137"/>
      <c r="KYB66" s="137"/>
      <c r="KYC66" s="137"/>
      <c r="KYD66" s="137"/>
      <c r="KYE66" s="137"/>
      <c r="KYF66" s="137"/>
      <c r="KYG66" s="137"/>
      <c r="KYH66" s="137"/>
      <c r="KYI66" s="137"/>
      <c r="KYJ66" s="137"/>
      <c r="KYK66" s="137"/>
      <c r="KYL66" s="137"/>
      <c r="KYM66" s="137"/>
      <c r="KYN66" s="137"/>
      <c r="KYO66" s="137"/>
      <c r="KYP66" s="137"/>
      <c r="KYQ66" s="137"/>
      <c r="KYR66" s="137"/>
      <c r="KYS66" s="137"/>
      <c r="KYT66" s="137"/>
      <c r="KYU66" s="137"/>
      <c r="KYV66" s="137"/>
      <c r="KYW66" s="137"/>
      <c r="KYX66" s="137"/>
      <c r="KYY66" s="137"/>
      <c r="KYZ66" s="137"/>
      <c r="KZA66" s="137"/>
      <c r="KZB66" s="137"/>
      <c r="KZC66" s="137"/>
      <c r="KZD66" s="137"/>
      <c r="KZE66" s="137"/>
      <c r="KZF66" s="137"/>
      <c r="KZG66" s="137"/>
      <c r="KZH66" s="137"/>
      <c r="KZI66" s="137"/>
      <c r="KZJ66" s="137"/>
      <c r="KZK66" s="137"/>
      <c r="KZL66" s="137"/>
      <c r="KZM66" s="137"/>
      <c r="KZN66" s="137"/>
      <c r="KZO66" s="137"/>
      <c r="KZP66" s="137"/>
      <c r="KZQ66" s="137"/>
      <c r="KZR66" s="137"/>
      <c r="KZS66" s="137"/>
      <c r="KZT66" s="137"/>
      <c r="KZU66" s="137"/>
      <c r="KZV66" s="137"/>
      <c r="KZW66" s="137"/>
      <c r="KZX66" s="137"/>
      <c r="KZY66" s="137"/>
      <c r="KZZ66" s="137"/>
      <c r="LAA66" s="137"/>
      <c r="LAB66" s="137"/>
      <c r="LAC66" s="137"/>
      <c r="LAD66" s="137"/>
      <c r="LAE66" s="137"/>
      <c r="LAF66" s="137"/>
      <c r="LAG66" s="137"/>
      <c r="LAH66" s="137"/>
      <c r="LAI66" s="137"/>
      <c r="LAJ66" s="137"/>
      <c r="LAK66" s="137"/>
      <c r="LAL66" s="137"/>
      <c r="LAM66" s="137"/>
      <c r="LAN66" s="137"/>
      <c r="LAO66" s="137"/>
      <c r="LAP66" s="137"/>
      <c r="LAQ66" s="137"/>
      <c r="LAR66" s="137"/>
      <c r="LAS66" s="137"/>
      <c r="LAT66" s="137"/>
      <c r="LAU66" s="137"/>
      <c r="LAV66" s="137"/>
      <c r="LAW66" s="137"/>
      <c r="LAX66" s="137"/>
      <c r="LAY66" s="137"/>
      <c r="LAZ66" s="137"/>
      <c r="LBA66" s="137"/>
      <c r="LBB66" s="137"/>
      <c r="LBC66" s="137"/>
      <c r="LBD66" s="137"/>
      <c r="LBE66" s="137"/>
      <c r="LBF66" s="137"/>
      <c r="LBG66" s="137"/>
      <c r="LBH66" s="137"/>
      <c r="LBI66" s="137"/>
      <c r="LBJ66" s="137"/>
      <c r="LBK66" s="137"/>
      <c r="LBL66" s="137"/>
      <c r="LBM66" s="137"/>
      <c r="LBN66" s="137"/>
      <c r="LBO66" s="137"/>
      <c r="LBP66" s="137"/>
      <c r="LBQ66" s="137"/>
      <c r="LBR66" s="137"/>
      <c r="LBS66" s="137"/>
      <c r="LBT66" s="137"/>
      <c r="LBU66" s="137"/>
      <c r="LBV66" s="137"/>
      <c r="LBW66" s="137"/>
      <c r="LBX66" s="137"/>
      <c r="LBY66" s="137"/>
      <c r="LBZ66" s="137"/>
      <c r="LCA66" s="137"/>
      <c r="LCB66" s="137"/>
      <c r="LCC66" s="137"/>
      <c r="LCD66" s="137"/>
      <c r="LCE66" s="137"/>
      <c r="LCF66" s="137"/>
      <c r="LCG66" s="137"/>
      <c r="LCH66" s="137"/>
      <c r="LCI66" s="137"/>
      <c r="LCJ66" s="137"/>
      <c r="LCK66" s="137"/>
      <c r="LCL66" s="137"/>
      <c r="LCM66" s="137"/>
      <c r="LCN66" s="137"/>
      <c r="LCO66" s="137"/>
      <c r="LCP66" s="137"/>
      <c r="LCQ66" s="137"/>
      <c r="LCR66" s="137"/>
      <c r="LCS66" s="137"/>
      <c r="LCT66" s="137"/>
      <c r="LCU66" s="137"/>
      <c r="LCV66" s="137"/>
      <c r="LCW66" s="137"/>
      <c r="LCX66" s="137"/>
      <c r="LCY66" s="137"/>
      <c r="LCZ66" s="137"/>
      <c r="LDA66" s="137"/>
      <c r="LDB66" s="137"/>
      <c r="LDC66" s="137"/>
      <c r="LDD66" s="137"/>
      <c r="LDE66" s="137"/>
      <c r="LDF66" s="137"/>
      <c r="LDG66" s="137"/>
      <c r="LDH66" s="137"/>
      <c r="LDI66" s="137"/>
      <c r="LDJ66" s="137"/>
      <c r="LDK66" s="137"/>
      <c r="LDL66" s="137"/>
      <c r="LDM66" s="137"/>
      <c r="LDN66" s="137"/>
      <c r="LDO66" s="137"/>
      <c r="LDP66" s="137"/>
      <c r="LDQ66" s="137"/>
      <c r="LDR66" s="137"/>
      <c r="LDS66" s="137"/>
      <c r="LDT66" s="137"/>
      <c r="LDU66" s="137"/>
      <c r="LDV66" s="137"/>
      <c r="LDW66" s="137"/>
      <c r="LDX66" s="137"/>
      <c r="LDY66" s="137"/>
      <c r="LDZ66" s="137"/>
      <c r="LEA66" s="137"/>
      <c r="LEB66" s="137"/>
      <c r="LEC66" s="137"/>
      <c r="LED66" s="137"/>
      <c r="LEE66" s="137"/>
      <c r="LEF66" s="137"/>
      <c r="LEG66" s="137"/>
      <c r="LEH66" s="137"/>
      <c r="LEI66" s="137"/>
      <c r="LEJ66" s="137"/>
      <c r="LEK66" s="137"/>
      <c r="LEL66" s="137"/>
      <c r="LEM66" s="137"/>
      <c r="LEN66" s="137"/>
      <c r="LEO66" s="137"/>
      <c r="LEP66" s="137"/>
      <c r="LEQ66" s="137"/>
      <c r="LER66" s="137"/>
      <c r="LES66" s="137"/>
      <c r="LET66" s="137"/>
      <c r="LEU66" s="137"/>
      <c r="LEV66" s="137"/>
      <c r="LEW66" s="137"/>
      <c r="LEX66" s="137"/>
      <c r="LEY66" s="137"/>
      <c r="LEZ66" s="137"/>
      <c r="LFA66" s="137"/>
      <c r="LFB66" s="137"/>
      <c r="LFC66" s="137"/>
      <c r="LFD66" s="137"/>
      <c r="LFE66" s="137"/>
      <c r="LFF66" s="137"/>
      <c r="LFG66" s="137"/>
      <c r="LFH66" s="137"/>
      <c r="LFI66" s="137"/>
      <c r="LFJ66" s="137"/>
      <c r="LFK66" s="137"/>
      <c r="LFL66" s="137"/>
      <c r="LFM66" s="137"/>
      <c r="LFN66" s="137"/>
      <c r="LFO66" s="137"/>
      <c r="LFP66" s="137"/>
      <c r="LFQ66" s="137"/>
      <c r="LFR66" s="137"/>
      <c r="LFS66" s="137"/>
      <c r="LFT66" s="137"/>
      <c r="LFU66" s="137"/>
      <c r="LFV66" s="137"/>
      <c r="LFW66" s="137"/>
      <c r="LFX66" s="137"/>
      <c r="LFY66" s="137"/>
      <c r="LFZ66" s="137"/>
      <c r="LGA66" s="137"/>
      <c r="LGB66" s="137"/>
      <c r="LGC66" s="137"/>
      <c r="LGD66" s="137"/>
      <c r="LGE66" s="137"/>
      <c r="LGF66" s="137"/>
      <c r="LGG66" s="137"/>
      <c r="LGH66" s="137"/>
      <c r="LGI66" s="137"/>
      <c r="LGJ66" s="137"/>
      <c r="LGK66" s="137"/>
      <c r="LGL66" s="137"/>
      <c r="LGM66" s="137"/>
      <c r="LGN66" s="137"/>
      <c r="LGO66" s="137"/>
      <c r="LGP66" s="137"/>
      <c r="LGQ66" s="137"/>
      <c r="LGR66" s="137"/>
      <c r="LGS66" s="137"/>
      <c r="LGT66" s="137"/>
      <c r="LGU66" s="137"/>
      <c r="LGV66" s="137"/>
      <c r="LGW66" s="137"/>
      <c r="LGX66" s="137"/>
      <c r="LGY66" s="137"/>
      <c r="LGZ66" s="137"/>
      <c r="LHA66" s="137"/>
      <c r="LHB66" s="137"/>
      <c r="LHC66" s="137"/>
      <c r="LHD66" s="137"/>
      <c r="LHE66" s="137"/>
      <c r="LHF66" s="137"/>
      <c r="LHG66" s="137"/>
      <c r="LHH66" s="137"/>
      <c r="LHI66" s="137"/>
      <c r="LHJ66" s="137"/>
      <c r="LHK66" s="137"/>
      <c r="LHL66" s="137"/>
      <c r="LHM66" s="137"/>
      <c r="LHN66" s="137"/>
      <c r="LHO66" s="137"/>
      <c r="LHP66" s="137"/>
      <c r="LHQ66" s="137"/>
      <c r="LHR66" s="137"/>
      <c r="LHS66" s="137"/>
      <c r="LHT66" s="137"/>
      <c r="LHU66" s="137"/>
      <c r="LHV66" s="137"/>
      <c r="LHW66" s="137"/>
      <c r="LHX66" s="137"/>
      <c r="LHY66" s="137"/>
      <c r="LHZ66" s="137"/>
      <c r="LIA66" s="137"/>
      <c r="LIB66" s="137"/>
      <c r="LIC66" s="137"/>
      <c r="LID66" s="137"/>
      <c r="LIE66" s="137"/>
      <c r="LIF66" s="137"/>
      <c r="LIG66" s="137"/>
      <c r="LIH66" s="137"/>
      <c r="LII66" s="137"/>
      <c r="LIJ66" s="137"/>
      <c r="LIK66" s="137"/>
      <c r="LIL66" s="137"/>
      <c r="LIM66" s="137"/>
      <c r="LIN66" s="137"/>
      <c r="LIO66" s="137"/>
      <c r="LIP66" s="137"/>
      <c r="LIQ66" s="137"/>
      <c r="LIR66" s="137"/>
      <c r="LIS66" s="137"/>
      <c r="LIT66" s="137"/>
      <c r="LIU66" s="137"/>
      <c r="LIV66" s="137"/>
      <c r="LIW66" s="137"/>
      <c r="LIX66" s="137"/>
      <c r="LIY66" s="137"/>
      <c r="LIZ66" s="137"/>
      <c r="LJA66" s="137"/>
      <c r="LJB66" s="137"/>
      <c r="LJC66" s="137"/>
      <c r="LJD66" s="137"/>
      <c r="LJE66" s="137"/>
      <c r="LJF66" s="137"/>
      <c r="LJG66" s="137"/>
      <c r="LJH66" s="137"/>
      <c r="LJI66" s="137"/>
      <c r="LJJ66" s="137"/>
      <c r="LJK66" s="137"/>
      <c r="LJL66" s="137"/>
      <c r="LJM66" s="137"/>
      <c r="LJN66" s="137"/>
      <c r="LJO66" s="137"/>
      <c r="LJP66" s="137"/>
      <c r="LJQ66" s="137"/>
      <c r="LJR66" s="137"/>
      <c r="LJS66" s="137"/>
      <c r="LJT66" s="137"/>
      <c r="LJU66" s="137"/>
      <c r="LJV66" s="137"/>
      <c r="LJW66" s="137"/>
      <c r="LJX66" s="137"/>
      <c r="LJY66" s="137"/>
      <c r="LJZ66" s="137"/>
      <c r="LKA66" s="137"/>
      <c r="LKB66" s="137"/>
      <c r="LKC66" s="137"/>
      <c r="LKD66" s="137"/>
      <c r="LKE66" s="137"/>
      <c r="LKF66" s="137"/>
      <c r="LKG66" s="137"/>
      <c r="LKH66" s="137"/>
      <c r="LKI66" s="137"/>
      <c r="LKJ66" s="137"/>
      <c r="LKK66" s="137"/>
      <c r="LKL66" s="137"/>
      <c r="LKM66" s="137"/>
      <c r="LKN66" s="137"/>
      <c r="LKO66" s="137"/>
      <c r="LKP66" s="137"/>
      <c r="LKQ66" s="137"/>
      <c r="LKR66" s="137"/>
      <c r="LKS66" s="137"/>
      <c r="LKT66" s="137"/>
      <c r="LKU66" s="137"/>
      <c r="LKV66" s="137"/>
      <c r="LKW66" s="137"/>
      <c r="LKX66" s="137"/>
      <c r="LKY66" s="137"/>
      <c r="LKZ66" s="137"/>
      <c r="LLA66" s="137"/>
      <c r="LLB66" s="137"/>
      <c r="LLC66" s="137"/>
      <c r="LLD66" s="137"/>
      <c r="LLE66" s="137"/>
      <c r="LLF66" s="137"/>
      <c r="LLG66" s="137"/>
      <c r="LLH66" s="137"/>
      <c r="LLI66" s="137"/>
      <c r="LLJ66" s="137"/>
      <c r="LLK66" s="137"/>
      <c r="LLL66" s="137"/>
      <c r="LLM66" s="137"/>
      <c r="LLN66" s="137"/>
      <c r="LLO66" s="137"/>
      <c r="LLP66" s="137"/>
      <c r="LLQ66" s="137"/>
      <c r="LLR66" s="137"/>
      <c r="LLS66" s="137"/>
      <c r="LLT66" s="137"/>
      <c r="LLU66" s="137"/>
      <c r="LLV66" s="137"/>
      <c r="LLW66" s="137"/>
      <c r="LLX66" s="137"/>
      <c r="LLY66" s="137"/>
      <c r="LLZ66" s="137"/>
      <c r="LMA66" s="137"/>
      <c r="LMB66" s="137"/>
      <c r="LMC66" s="137"/>
      <c r="LMD66" s="137"/>
      <c r="LME66" s="137"/>
      <c r="LMF66" s="137"/>
      <c r="LMG66" s="137"/>
      <c r="LMH66" s="137"/>
      <c r="LMI66" s="137"/>
      <c r="LMJ66" s="137"/>
      <c r="LMK66" s="137"/>
      <c r="LML66" s="137"/>
      <c r="LMM66" s="137"/>
      <c r="LMN66" s="137"/>
      <c r="LMO66" s="137"/>
      <c r="LMP66" s="137"/>
      <c r="LMQ66" s="137"/>
      <c r="LMR66" s="137"/>
      <c r="LMS66" s="137"/>
      <c r="LMT66" s="137"/>
      <c r="LMU66" s="137"/>
      <c r="LMV66" s="137"/>
      <c r="LMW66" s="137"/>
      <c r="LMX66" s="137"/>
      <c r="LMY66" s="137"/>
      <c r="LMZ66" s="137"/>
      <c r="LNA66" s="137"/>
      <c r="LNB66" s="137"/>
      <c r="LNC66" s="137"/>
      <c r="LND66" s="137"/>
      <c r="LNE66" s="137"/>
      <c r="LNF66" s="137"/>
      <c r="LNG66" s="137"/>
      <c r="LNH66" s="137"/>
      <c r="LNI66" s="137"/>
      <c r="LNJ66" s="137"/>
      <c r="LNK66" s="137"/>
      <c r="LNL66" s="137"/>
      <c r="LNM66" s="137"/>
      <c r="LNN66" s="137"/>
      <c r="LNO66" s="137"/>
      <c r="LNP66" s="137"/>
      <c r="LNQ66" s="137"/>
      <c r="LNR66" s="137"/>
      <c r="LNS66" s="137"/>
      <c r="LNT66" s="137"/>
      <c r="LNU66" s="137"/>
      <c r="LNV66" s="137"/>
      <c r="LNW66" s="137"/>
      <c r="LNX66" s="137"/>
      <c r="LNY66" s="137"/>
      <c r="LNZ66" s="137"/>
      <c r="LOA66" s="137"/>
      <c r="LOB66" s="137"/>
      <c r="LOC66" s="137"/>
      <c r="LOD66" s="137"/>
      <c r="LOE66" s="137"/>
      <c r="LOF66" s="137"/>
      <c r="LOG66" s="137"/>
      <c r="LOH66" s="137"/>
      <c r="LOI66" s="137"/>
      <c r="LOJ66" s="137"/>
      <c r="LOK66" s="137"/>
      <c r="LOL66" s="137"/>
      <c r="LOM66" s="137"/>
      <c r="LON66" s="137"/>
      <c r="LOO66" s="137"/>
      <c r="LOP66" s="137"/>
      <c r="LOQ66" s="137"/>
      <c r="LOR66" s="137"/>
      <c r="LOS66" s="137"/>
      <c r="LOT66" s="137"/>
      <c r="LOU66" s="137"/>
      <c r="LOV66" s="137"/>
      <c r="LOW66" s="137"/>
      <c r="LOX66" s="137"/>
      <c r="LOY66" s="137"/>
      <c r="LOZ66" s="137"/>
      <c r="LPA66" s="137"/>
      <c r="LPB66" s="137"/>
      <c r="LPC66" s="137"/>
      <c r="LPD66" s="137"/>
      <c r="LPE66" s="137"/>
      <c r="LPF66" s="137"/>
      <c r="LPG66" s="137"/>
      <c r="LPH66" s="137"/>
      <c r="LPI66" s="137"/>
      <c r="LPJ66" s="137"/>
      <c r="LPK66" s="137"/>
      <c r="LPL66" s="137"/>
      <c r="LPM66" s="137"/>
      <c r="LPN66" s="137"/>
      <c r="LPO66" s="137"/>
      <c r="LPP66" s="137"/>
      <c r="LPQ66" s="137"/>
      <c r="LPR66" s="137"/>
      <c r="LPS66" s="137"/>
      <c r="LPT66" s="137"/>
      <c r="LPU66" s="137"/>
      <c r="LPV66" s="137"/>
      <c r="LPW66" s="137"/>
      <c r="LPX66" s="137"/>
      <c r="LPY66" s="137"/>
      <c r="LPZ66" s="137"/>
      <c r="LQA66" s="137"/>
      <c r="LQB66" s="137"/>
      <c r="LQC66" s="137"/>
      <c r="LQD66" s="137"/>
      <c r="LQE66" s="137"/>
      <c r="LQF66" s="137"/>
      <c r="LQG66" s="137"/>
      <c r="LQH66" s="137"/>
      <c r="LQI66" s="137"/>
      <c r="LQJ66" s="137"/>
      <c r="LQK66" s="137"/>
      <c r="LQL66" s="137"/>
      <c r="LQM66" s="137"/>
      <c r="LQN66" s="137"/>
      <c r="LQO66" s="137"/>
      <c r="LQP66" s="137"/>
      <c r="LQQ66" s="137"/>
      <c r="LQR66" s="137"/>
      <c r="LQS66" s="137"/>
      <c r="LQT66" s="137"/>
      <c r="LQU66" s="137"/>
      <c r="LQV66" s="137"/>
      <c r="LQW66" s="137"/>
      <c r="LQX66" s="137"/>
      <c r="LQY66" s="137"/>
      <c r="LQZ66" s="137"/>
      <c r="LRA66" s="137"/>
      <c r="LRB66" s="137"/>
      <c r="LRC66" s="137"/>
      <c r="LRD66" s="137"/>
      <c r="LRE66" s="137"/>
      <c r="LRF66" s="137"/>
      <c r="LRG66" s="137"/>
      <c r="LRH66" s="137"/>
      <c r="LRI66" s="137"/>
      <c r="LRJ66" s="137"/>
      <c r="LRK66" s="137"/>
      <c r="LRL66" s="137"/>
      <c r="LRM66" s="137"/>
      <c r="LRN66" s="137"/>
      <c r="LRO66" s="137"/>
      <c r="LRP66" s="137"/>
      <c r="LRQ66" s="137"/>
      <c r="LRR66" s="137"/>
      <c r="LRS66" s="137"/>
      <c r="LRT66" s="137"/>
      <c r="LRU66" s="137"/>
      <c r="LRV66" s="137"/>
      <c r="LRW66" s="137"/>
      <c r="LRX66" s="137"/>
      <c r="LRY66" s="137"/>
      <c r="LRZ66" s="137"/>
      <c r="LSA66" s="137"/>
      <c r="LSB66" s="137"/>
      <c r="LSC66" s="137"/>
      <c r="LSD66" s="137"/>
      <c r="LSE66" s="137"/>
      <c r="LSF66" s="137"/>
      <c r="LSG66" s="137"/>
      <c r="LSH66" s="137"/>
      <c r="LSI66" s="137"/>
      <c r="LSJ66" s="137"/>
      <c r="LSK66" s="137"/>
      <c r="LSL66" s="137"/>
      <c r="LSM66" s="137"/>
      <c r="LSN66" s="137"/>
      <c r="LSO66" s="137"/>
      <c r="LSP66" s="137"/>
      <c r="LSQ66" s="137"/>
      <c r="LSR66" s="137"/>
      <c r="LSS66" s="137"/>
      <c r="LST66" s="137"/>
      <c r="LSU66" s="137"/>
      <c r="LSV66" s="137"/>
      <c r="LSW66" s="137"/>
      <c r="LSX66" s="137"/>
      <c r="LSY66" s="137"/>
      <c r="LSZ66" s="137"/>
      <c r="LTA66" s="137"/>
      <c r="LTB66" s="137"/>
      <c r="LTC66" s="137"/>
      <c r="LTD66" s="137"/>
      <c r="LTE66" s="137"/>
      <c r="LTF66" s="137"/>
      <c r="LTG66" s="137"/>
      <c r="LTH66" s="137"/>
      <c r="LTI66" s="137"/>
      <c r="LTJ66" s="137"/>
      <c r="LTK66" s="137"/>
      <c r="LTL66" s="137"/>
      <c r="LTM66" s="137"/>
      <c r="LTN66" s="137"/>
      <c r="LTO66" s="137"/>
      <c r="LTP66" s="137"/>
      <c r="LTQ66" s="137"/>
      <c r="LTR66" s="137"/>
      <c r="LTS66" s="137"/>
      <c r="LTT66" s="137"/>
      <c r="LTU66" s="137"/>
      <c r="LTV66" s="137"/>
      <c r="LTW66" s="137"/>
      <c r="LTX66" s="137"/>
      <c r="LTY66" s="137"/>
      <c r="LTZ66" s="137"/>
      <c r="LUA66" s="137"/>
      <c r="LUB66" s="137"/>
      <c r="LUC66" s="137"/>
      <c r="LUD66" s="137"/>
      <c r="LUE66" s="137"/>
      <c r="LUF66" s="137"/>
      <c r="LUG66" s="137"/>
      <c r="LUH66" s="137"/>
      <c r="LUI66" s="137"/>
      <c r="LUJ66" s="137"/>
      <c r="LUK66" s="137"/>
      <c r="LUL66" s="137"/>
      <c r="LUM66" s="137"/>
      <c r="LUN66" s="137"/>
      <c r="LUO66" s="137"/>
      <c r="LUP66" s="137"/>
      <c r="LUQ66" s="137"/>
      <c r="LUR66" s="137"/>
      <c r="LUS66" s="137"/>
      <c r="LUT66" s="137"/>
      <c r="LUU66" s="137"/>
      <c r="LUV66" s="137"/>
      <c r="LUW66" s="137"/>
      <c r="LUX66" s="137"/>
      <c r="LUY66" s="137"/>
      <c r="LUZ66" s="137"/>
      <c r="LVA66" s="137"/>
      <c r="LVB66" s="137"/>
      <c r="LVC66" s="137"/>
      <c r="LVD66" s="137"/>
      <c r="LVE66" s="137"/>
      <c r="LVF66" s="137"/>
      <c r="LVG66" s="137"/>
      <c r="LVH66" s="137"/>
      <c r="LVI66" s="137"/>
      <c r="LVJ66" s="137"/>
      <c r="LVK66" s="137"/>
      <c r="LVL66" s="137"/>
      <c r="LVM66" s="137"/>
      <c r="LVN66" s="137"/>
      <c r="LVO66" s="137"/>
      <c r="LVP66" s="137"/>
      <c r="LVQ66" s="137"/>
      <c r="LVR66" s="137"/>
      <c r="LVS66" s="137"/>
      <c r="LVT66" s="137"/>
      <c r="LVU66" s="137"/>
      <c r="LVV66" s="137"/>
      <c r="LVW66" s="137"/>
      <c r="LVX66" s="137"/>
      <c r="LVY66" s="137"/>
      <c r="LVZ66" s="137"/>
      <c r="LWA66" s="137"/>
      <c r="LWB66" s="137"/>
      <c r="LWC66" s="137"/>
      <c r="LWD66" s="137"/>
      <c r="LWE66" s="137"/>
      <c r="LWF66" s="137"/>
      <c r="LWG66" s="137"/>
      <c r="LWH66" s="137"/>
      <c r="LWI66" s="137"/>
      <c r="LWJ66" s="137"/>
      <c r="LWK66" s="137"/>
      <c r="LWL66" s="137"/>
      <c r="LWM66" s="137"/>
      <c r="LWN66" s="137"/>
      <c r="LWO66" s="137"/>
      <c r="LWP66" s="137"/>
      <c r="LWQ66" s="137"/>
      <c r="LWR66" s="137"/>
      <c r="LWS66" s="137"/>
      <c r="LWT66" s="137"/>
      <c r="LWU66" s="137"/>
      <c r="LWV66" s="137"/>
      <c r="LWW66" s="137"/>
      <c r="LWX66" s="137"/>
      <c r="LWY66" s="137"/>
      <c r="LWZ66" s="137"/>
      <c r="LXA66" s="137"/>
      <c r="LXB66" s="137"/>
      <c r="LXC66" s="137"/>
      <c r="LXD66" s="137"/>
      <c r="LXE66" s="137"/>
      <c r="LXF66" s="137"/>
      <c r="LXG66" s="137"/>
      <c r="LXH66" s="137"/>
      <c r="LXI66" s="137"/>
      <c r="LXJ66" s="137"/>
      <c r="LXK66" s="137"/>
      <c r="LXL66" s="137"/>
      <c r="LXM66" s="137"/>
      <c r="LXN66" s="137"/>
      <c r="LXO66" s="137"/>
      <c r="LXP66" s="137"/>
      <c r="LXQ66" s="137"/>
      <c r="LXR66" s="137"/>
      <c r="LXS66" s="137"/>
      <c r="LXT66" s="137"/>
      <c r="LXU66" s="137"/>
      <c r="LXV66" s="137"/>
      <c r="LXW66" s="137"/>
      <c r="LXX66" s="137"/>
      <c r="LXY66" s="137"/>
      <c r="LXZ66" s="137"/>
      <c r="LYA66" s="137"/>
      <c r="LYB66" s="137"/>
      <c r="LYC66" s="137"/>
      <c r="LYD66" s="137"/>
      <c r="LYE66" s="137"/>
      <c r="LYF66" s="137"/>
      <c r="LYG66" s="137"/>
      <c r="LYH66" s="137"/>
      <c r="LYI66" s="137"/>
      <c r="LYJ66" s="137"/>
      <c r="LYK66" s="137"/>
      <c r="LYL66" s="137"/>
      <c r="LYM66" s="137"/>
      <c r="LYN66" s="137"/>
      <c r="LYO66" s="137"/>
      <c r="LYP66" s="137"/>
      <c r="LYQ66" s="137"/>
      <c r="LYR66" s="137"/>
      <c r="LYS66" s="137"/>
      <c r="LYT66" s="137"/>
      <c r="LYU66" s="137"/>
      <c r="LYV66" s="137"/>
      <c r="LYW66" s="137"/>
      <c r="LYX66" s="137"/>
      <c r="LYY66" s="137"/>
      <c r="LYZ66" s="137"/>
      <c r="LZA66" s="137"/>
      <c r="LZB66" s="137"/>
      <c r="LZC66" s="137"/>
      <c r="LZD66" s="137"/>
      <c r="LZE66" s="137"/>
      <c r="LZF66" s="137"/>
      <c r="LZG66" s="137"/>
      <c r="LZH66" s="137"/>
      <c r="LZI66" s="137"/>
      <c r="LZJ66" s="137"/>
      <c r="LZK66" s="137"/>
      <c r="LZL66" s="137"/>
      <c r="LZM66" s="137"/>
      <c r="LZN66" s="137"/>
      <c r="LZO66" s="137"/>
      <c r="LZP66" s="137"/>
      <c r="LZQ66" s="137"/>
      <c r="LZR66" s="137"/>
      <c r="LZS66" s="137"/>
      <c r="LZT66" s="137"/>
      <c r="LZU66" s="137"/>
      <c r="LZV66" s="137"/>
      <c r="LZW66" s="137"/>
      <c r="LZX66" s="137"/>
      <c r="LZY66" s="137"/>
      <c r="LZZ66" s="137"/>
      <c r="MAA66" s="137"/>
      <c r="MAB66" s="137"/>
      <c r="MAC66" s="137"/>
      <c r="MAD66" s="137"/>
      <c r="MAE66" s="137"/>
      <c r="MAF66" s="137"/>
      <c r="MAG66" s="137"/>
      <c r="MAH66" s="137"/>
      <c r="MAI66" s="137"/>
      <c r="MAJ66" s="137"/>
      <c r="MAK66" s="137"/>
      <c r="MAL66" s="137"/>
      <c r="MAM66" s="137"/>
      <c r="MAN66" s="137"/>
      <c r="MAO66" s="137"/>
      <c r="MAP66" s="137"/>
      <c r="MAQ66" s="137"/>
      <c r="MAR66" s="137"/>
      <c r="MAS66" s="137"/>
      <c r="MAT66" s="137"/>
      <c r="MAU66" s="137"/>
      <c r="MAV66" s="137"/>
      <c r="MAW66" s="137"/>
      <c r="MAX66" s="137"/>
      <c r="MAY66" s="137"/>
      <c r="MAZ66" s="137"/>
      <c r="MBA66" s="137"/>
      <c r="MBB66" s="137"/>
      <c r="MBC66" s="137"/>
      <c r="MBD66" s="137"/>
      <c r="MBE66" s="137"/>
      <c r="MBF66" s="137"/>
      <c r="MBG66" s="137"/>
      <c r="MBH66" s="137"/>
      <c r="MBI66" s="137"/>
      <c r="MBJ66" s="137"/>
      <c r="MBK66" s="137"/>
      <c r="MBL66" s="137"/>
      <c r="MBM66" s="137"/>
      <c r="MBN66" s="137"/>
      <c r="MBO66" s="137"/>
      <c r="MBP66" s="137"/>
      <c r="MBQ66" s="137"/>
      <c r="MBR66" s="137"/>
      <c r="MBS66" s="137"/>
      <c r="MBT66" s="137"/>
      <c r="MBU66" s="137"/>
      <c r="MBV66" s="137"/>
      <c r="MBW66" s="137"/>
      <c r="MBX66" s="137"/>
      <c r="MBY66" s="137"/>
      <c r="MBZ66" s="137"/>
      <c r="MCA66" s="137"/>
      <c r="MCB66" s="137"/>
      <c r="MCC66" s="137"/>
      <c r="MCD66" s="137"/>
      <c r="MCE66" s="137"/>
      <c r="MCF66" s="137"/>
      <c r="MCG66" s="137"/>
      <c r="MCH66" s="137"/>
      <c r="MCI66" s="137"/>
      <c r="MCJ66" s="137"/>
      <c r="MCK66" s="137"/>
      <c r="MCL66" s="137"/>
      <c r="MCM66" s="137"/>
      <c r="MCN66" s="137"/>
      <c r="MCO66" s="137"/>
      <c r="MCP66" s="137"/>
      <c r="MCQ66" s="137"/>
      <c r="MCR66" s="137"/>
      <c r="MCS66" s="137"/>
      <c r="MCT66" s="137"/>
      <c r="MCU66" s="137"/>
      <c r="MCV66" s="137"/>
      <c r="MCW66" s="137"/>
      <c r="MCX66" s="137"/>
      <c r="MCY66" s="137"/>
      <c r="MCZ66" s="137"/>
      <c r="MDA66" s="137"/>
      <c r="MDB66" s="137"/>
      <c r="MDC66" s="137"/>
      <c r="MDD66" s="137"/>
      <c r="MDE66" s="137"/>
      <c r="MDF66" s="137"/>
      <c r="MDG66" s="137"/>
      <c r="MDH66" s="137"/>
      <c r="MDI66" s="137"/>
      <c r="MDJ66" s="137"/>
      <c r="MDK66" s="137"/>
      <c r="MDL66" s="137"/>
      <c r="MDM66" s="137"/>
      <c r="MDN66" s="137"/>
      <c r="MDO66" s="137"/>
      <c r="MDP66" s="137"/>
      <c r="MDQ66" s="137"/>
      <c r="MDR66" s="137"/>
      <c r="MDS66" s="137"/>
      <c r="MDT66" s="137"/>
      <c r="MDU66" s="137"/>
      <c r="MDV66" s="137"/>
      <c r="MDW66" s="137"/>
      <c r="MDX66" s="137"/>
      <c r="MDY66" s="137"/>
      <c r="MDZ66" s="137"/>
      <c r="MEA66" s="137"/>
      <c r="MEB66" s="137"/>
      <c r="MEC66" s="137"/>
      <c r="MED66" s="137"/>
      <c r="MEE66" s="137"/>
      <c r="MEF66" s="137"/>
      <c r="MEG66" s="137"/>
      <c r="MEH66" s="137"/>
      <c r="MEI66" s="137"/>
      <c r="MEJ66" s="137"/>
      <c r="MEK66" s="137"/>
      <c r="MEL66" s="137"/>
      <c r="MEM66" s="137"/>
      <c r="MEN66" s="137"/>
      <c r="MEO66" s="137"/>
      <c r="MEP66" s="137"/>
      <c r="MEQ66" s="137"/>
      <c r="MER66" s="137"/>
      <c r="MES66" s="137"/>
      <c r="MET66" s="137"/>
      <c r="MEU66" s="137"/>
      <c r="MEV66" s="137"/>
      <c r="MEW66" s="137"/>
      <c r="MEX66" s="137"/>
      <c r="MEY66" s="137"/>
      <c r="MEZ66" s="137"/>
      <c r="MFA66" s="137"/>
      <c r="MFB66" s="137"/>
      <c r="MFC66" s="137"/>
      <c r="MFD66" s="137"/>
      <c r="MFE66" s="137"/>
      <c r="MFF66" s="137"/>
      <c r="MFG66" s="137"/>
      <c r="MFH66" s="137"/>
      <c r="MFI66" s="137"/>
      <c r="MFJ66" s="137"/>
      <c r="MFK66" s="137"/>
      <c r="MFL66" s="137"/>
      <c r="MFM66" s="137"/>
      <c r="MFN66" s="137"/>
      <c r="MFO66" s="137"/>
      <c r="MFP66" s="137"/>
      <c r="MFQ66" s="137"/>
      <c r="MFR66" s="137"/>
      <c r="MFS66" s="137"/>
      <c r="MFT66" s="137"/>
      <c r="MFU66" s="137"/>
      <c r="MFV66" s="137"/>
      <c r="MFW66" s="137"/>
      <c r="MFX66" s="137"/>
      <c r="MFY66" s="137"/>
      <c r="MFZ66" s="137"/>
      <c r="MGA66" s="137"/>
      <c r="MGB66" s="137"/>
      <c r="MGC66" s="137"/>
      <c r="MGD66" s="137"/>
      <c r="MGE66" s="137"/>
      <c r="MGF66" s="137"/>
      <c r="MGG66" s="137"/>
      <c r="MGH66" s="137"/>
      <c r="MGI66" s="137"/>
      <c r="MGJ66" s="137"/>
      <c r="MGK66" s="137"/>
      <c r="MGL66" s="137"/>
      <c r="MGM66" s="137"/>
      <c r="MGN66" s="137"/>
      <c r="MGO66" s="137"/>
      <c r="MGP66" s="137"/>
      <c r="MGQ66" s="137"/>
      <c r="MGR66" s="137"/>
      <c r="MGS66" s="137"/>
      <c r="MGT66" s="137"/>
      <c r="MGU66" s="137"/>
      <c r="MGV66" s="137"/>
      <c r="MGW66" s="137"/>
      <c r="MGX66" s="137"/>
      <c r="MGY66" s="137"/>
      <c r="MGZ66" s="137"/>
      <c r="MHA66" s="137"/>
      <c r="MHB66" s="137"/>
      <c r="MHC66" s="137"/>
      <c r="MHD66" s="137"/>
      <c r="MHE66" s="137"/>
      <c r="MHF66" s="137"/>
      <c r="MHG66" s="137"/>
      <c r="MHH66" s="137"/>
      <c r="MHI66" s="137"/>
      <c r="MHJ66" s="137"/>
      <c r="MHK66" s="137"/>
      <c r="MHL66" s="137"/>
      <c r="MHM66" s="137"/>
      <c r="MHN66" s="137"/>
      <c r="MHO66" s="137"/>
      <c r="MHP66" s="137"/>
      <c r="MHQ66" s="137"/>
      <c r="MHR66" s="137"/>
      <c r="MHS66" s="137"/>
      <c r="MHT66" s="137"/>
      <c r="MHU66" s="137"/>
      <c r="MHV66" s="137"/>
      <c r="MHW66" s="137"/>
      <c r="MHX66" s="137"/>
      <c r="MHY66" s="137"/>
      <c r="MHZ66" s="137"/>
      <c r="MIA66" s="137"/>
      <c r="MIB66" s="137"/>
      <c r="MIC66" s="137"/>
      <c r="MID66" s="137"/>
      <c r="MIE66" s="137"/>
      <c r="MIF66" s="137"/>
      <c r="MIG66" s="137"/>
      <c r="MIH66" s="137"/>
      <c r="MII66" s="137"/>
      <c r="MIJ66" s="137"/>
      <c r="MIK66" s="137"/>
      <c r="MIL66" s="137"/>
      <c r="MIM66" s="137"/>
      <c r="MIN66" s="137"/>
      <c r="MIO66" s="137"/>
      <c r="MIP66" s="137"/>
      <c r="MIQ66" s="137"/>
      <c r="MIR66" s="137"/>
      <c r="MIS66" s="137"/>
      <c r="MIT66" s="137"/>
      <c r="MIU66" s="137"/>
      <c r="MIV66" s="137"/>
      <c r="MIW66" s="137"/>
      <c r="MIX66" s="137"/>
      <c r="MIY66" s="137"/>
      <c r="MIZ66" s="137"/>
      <c r="MJA66" s="137"/>
      <c r="MJB66" s="137"/>
      <c r="MJC66" s="137"/>
      <c r="MJD66" s="137"/>
      <c r="MJE66" s="137"/>
      <c r="MJF66" s="137"/>
      <c r="MJG66" s="137"/>
      <c r="MJH66" s="137"/>
      <c r="MJI66" s="137"/>
      <c r="MJJ66" s="137"/>
      <c r="MJK66" s="137"/>
      <c r="MJL66" s="137"/>
      <c r="MJM66" s="137"/>
      <c r="MJN66" s="137"/>
      <c r="MJO66" s="137"/>
      <c r="MJP66" s="137"/>
      <c r="MJQ66" s="137"/>
      <c r="MJR66" s="137"/>
      <c r="MJS66" s="137"/>
      <c r="MJT66" s="137"/>
      <c r="MJU66" s="137"/>
      <c r="MJV66" s="137"/>
      <c r="MJW66" s="137"/>
      <c r="MJX66" s="137"/>
      <c r="MJY66" s="137"/>
      <c r="MJZ66" s="137"/>
      <c r="MKA66" s="137"/>
      <c r="MKB66" s="137"/>
      <c r="MKC66" s="137"/>
      <c r="MKD66" s="137"/>
      <c r="MKE66" s="137"/>
      <c r="MKF66" s="137"/>
      <c r="MKG66" s="137"/>
      <c r="MKH66" s="137"/>
      <c r="MKI66" s="137"/>
      <c r="MKJ66" s="137"/>
      <c r="MKK66" s="137"/>
      <c r="MKL66" s="137"/>
      <c r="MKM66" s="137"/>
      <c r="MKN66" s="137"/>
      <c r="MKO66" s="137"/>
      <c r="MKP66" s="137"/>
      <c r="MKQ66" s="137"/>
      <c r="MKR66" s="137"/>
      <c r="MKS66" s="137"/>
      <c r="MKT66" s="137"/>
      <c r="MKU66" s="137"/>
      <c r="MKV66" s="137"/>
      <c r="MKW66" s="137"/>
      <c r="MKX66" s="137"/>
      <c r="MKY66" s="137"/>
      <c r="MKZ66" s="137"/>
      <c r="MLA66" s="137"/>
      <c r="MLB66" s="137"/>
      <c r="MLC66" s="137"/>
      <c r="MLD66" s="137"/>
      <c r="MLE66" s="137"/>
      <c r="MLF66" s="137"/>
      <c r="MLG66" s="137"/>
      <c r="MLH66" s="137"/>
      <c r="MLI66" s="137"/>
      <c r="MLJ66" s="137"/>
      <c r="MLK66" s="137"/>
      <c r="MLL66" s="137"/>
      <c r="MLM66" s="137"/>
      <c r="MLN66" s="137"/>
      <c r="MLO66" s="137"/>
      <c r="MLP66" s="137"/>
      <c r="MLQ66" s="137"/>
      <c r="MLR66" s="137"/>
      <c r="MLS66" s="137"/>
      <c r="MLT66" s="137"/>
      <c r="MLU66" s="137"/>
      <c r="MLV66" s="137"/>
      <c r="MLW66" s="137"/>
      <c r="MLX66" s="137"/>
      <c r="MLY66" s="137"/>
      <c r="MLZ66" s="137"/>
      <c r="MMA66" s="137"/>
      <c r="MMB66" s="137"/>
      <c r="MMC66" s="137"/>
      <c r="MMD66" s="137"/>
      <c r="MME66" s="137"/>
      <c r="MMF66" s="137"/>
      <c r="MMG66" s="137"/>
      <c r="MMH66" s="137"/>
      <c r="MMI66" s="137"/>
      <c r="MMJ66" s="137"/>
      <c r="MMK66" s="137"/>
      <c r="MML66" s="137"/>
      <c r="MMM66" s="137"/>
      <c r="MMN66" s="137"/>
      <c r="MMO66" s="137"/>
      <c r="MMP66" s="137"/>
      <c r="MMQ66" s="137"/>
      <c r="MMR66" s="137"/>
      <c r="MMS66" s="137"/>
      <c r="MMT66" s="137"/>
      <c r="MMU66" s="137"/>
      <c r="MMV66" s="137"/>
      <c r="MMW66" s="137"/>
      <c r="MMX66" s="137"/>
      <c r="MMY66" s="137"/>
      <c r="MMZ66" s="137"/>
      <c r="MNA66" s="137"/>
      <c r="MNB66" s="137"/>
      <c r="MNC66" s="137"/>
      <c r="MND66" s="137"/>
      <c r="MNE66" s="137"/>
      <c r="MNF66" s="137"/>
      <c r="MNG66" s="137"/>
      <c r="MNH66" s="137"/>
      <c r="MNI66" s="137"/>
      <c r="MNJ66" s="137"/>
      <c r="MNK66" s="137"/>
      <c r="MNL66" s="137"/>
      <c r="MNM66" s="137"/>
      <c r="MNN66" s="137"/>
      <c r="MNO66" s="137"/>
      <c r="MNP66" s="137"/>
      <c r="MNQ66" s="137"/>
      <c r="MNR66" s="137"/>
      <c r="MNS66" s="137"/>
      <c r="MNT66" s="137"/>
      <c r="MNU66" s="137"/>
      <c r="MNV66" s="137"/>
      <c r="MNW66" s="137"/>
      <c r="MNX66" s="137"/>
      <c r="MNY66" s="137"/>
      <c r="MNZ66" s="137"/>
      <c r="MOA66" s="137"/>
      <c r="MOB66" s="137"/>
      <c r="MOC66" s="137"/>
      <c r="MOD66" s="137"/>
      <c r="MOE66" s="137"/>
      <c r="MOF66" s="137"/>
      <c r="MOG66" s="137"/>
      <c r="MOH66" s="137"/>
      <c r="MOI66" s="137"/>
      <c r="MOJ66" s="137"/>
      <c r="MOK66" s="137"/>
      <c r="MOL66" s="137"/>
      <c r="MOM66" s="137"/>
      <c r="MON66" s="137"/>
      <c r="MOO66" s="137"/>
      <c r="MOP66" s="137"/>
      <c r="MOQ66" s="137"/>
      <c r="MOR66" s="137"/>
      <c r="MOS66" s="137"/>
      <c r="MOT66" s="137"/>
      <c r="MOU66" s="137"/>
      <c r="MOV66" s="137"/>
      <c r="MOW66" s="137"/>
      <c r="MOX66" s="137"/>
      <c r="MOY66" s="137"/>
      <c r="MOZ66" s="137"/>
      <c r="MPA66" s="137"/>
      <c r="MPB66" s="137"/>
      <c r="MPC66" s="137"/>
      <c r="MPD66" s="137"/>
      <c r="MPE66" s="137"/>
      <c r="MPF66" s="137"/>
      <c r="MPG66" s="137"/>
      <c r="MPH66" s="137"/>
      <c r="MPI66" s="137"/>
      <c r="MPJ66" s="137"/>
      <c r="MPK66" s="137"/>
      <c r="MPL66" s="137"/>
      <c r="MPM66" s="137"/>
      <c r="MPN66" s="137"/>
      <c r="MPO66" s="137"/>
      <c r="MPP66" s="137"/>
      <c r="MPQ66" s="137"/>
      <c r="MPR66" s="137"/>
      <c r="MPS66" s="137"/>
      <c r="MPT66" s="137"/>
      <c r="MPU66" s="137"/>
      <c r="MPV66" s="137"/>
      <c r="MPW66" s="137"/>
      <c r="MPX66" s="137"/>
      <c r="MPY66" s="137"/>
      <c r="MPZ66" s="137"/>
      <c r="MQA66" s="137"/>
      <c r="MQB66" s="137"/>
      <c r="MQC66" s="137"/>
      <c r="MQD66" s="137"/>
      <c r="MQE66" s="137"/>
      <c r="MQF66" s="137"/>
      <c r="MQG66" s="137"/>
      <c r="MQH66" s="137"/>
      <c r="MQI66" s="137"/>
      <c r="MQJ66" s="137"/>
      <c r="MQK66" s="137"/>
      <c r="MQL66" s="137"/>
      <c r="MQM66" s="137"/>
      <c r="MQN66" s="137"/>
      <c r="MQO66" s="137"/>
      <c r="MQP66" s="137"/>
      <c r="MQQ66" s="137"/>
      <c r="MQR66" s="137"/>
      <c r="MQS66" s="137"/>
      <c r="MQT66" s="137"/>
      <c r="MQU66" s="137"/>
      <c r="MQV66" s="137"/>
      <c r="MQW66" s="137"/>
      <c r="MQX66" s="137"/>
      <c r="MQY66" s="137"/>
      <c r="MQZ66" s="137"/>
      <c r="MRA66" s="137"/>
      <c r="MRB66" s="137"/>
      <c r="MRC66" s="137"/>
      <c r="MRD66" s="137"/>
      <c r="MRE66" s="137"/>
      <c r="MRF66" s="137"/>
      <c r="MRG66" s="137"/>
      <c r="MRH66" s="137"/>
      <c r="MRI66" s="137"/>
      <c r="MRJ66" s="137"/>
      <c r="MRK66" s="137"/>
      <c r="MRL66" s="137"/>
      <c r="MRM66" s="137"/>
      <c r="MRN66" s="137"/>
      <c r="MRO66" s="137"/>
      <c r="MRP66" s="137"/>
      <c r="MRQ66" s="137"/>
      <c r="MRR66" s="137"/>
      <c r="MRS66" s="137"/>
      <c r="MRT66" s="137"/>
      <c r="MRU66" s="137"/>
      <c r="MRV66" s="137"/>
      <c r="MRW66" s="137"/>
      <c r="MRX66" s="137"/>
      <c r="MRY66" s="137"/>
      <c r="MRZ66" s="137"/>
      <c r="MSA66" s="137"/>
      <c r="MSB66" s="137"/>
      <c r="MSC66" s="137"/>
      <c r="MSD66" s="137"/>
      <c r="MSE66" s="137"/>
      <c r="MSF66" s="137"/>
      <c r="MSG66" s="137"/>
      <c r="MSH66" s="137"/>
      <c r="MSI66" s="137"/>
      <c r="MSJ66" s="137"/>
      <c r="MSK66" s="137"/>
      <c r="MSL66" s="137"/>
      <c r="MSM66" s="137"/>
      <c r="MSN66" s="137"/>
      <c r="MSO66" s="137"/>
      <c r="MSP66" s="137"/>
      <c r="MSQ66" s="137"/>
      <c r="MSR66" s="137"/>
      <c r="MSS66" s="137"/>
      <c r="MST66" s="137"/>
      <c r="MSU66" s="137"/>
      <c r="MSV66" s="137"/>
      <c r="MSW66" s="137"/>
      <c r="MSX66" s="137"/>
      <c r="MSY66" s="137"/>
      <c r="MSZ66" s="137"/>
      <c r="MTA66" s="137"/>
      <c r="MTB66" s="137"/>
      <c r="MTC66" s="137"/>
      <c r="MTD66" s="137"/>
      <c r="MTE66" s="137"/>
      <c r="MTF66" s="137"/>
      <c r="MTG66" s="137"/>
      <c r="MTH66" s="137"/>
      <c r="MTI66" s="137"/>
      <c r="MTJ66" s="137"/>
      <c r="MTK66" s="137"/>
      <c r="MTL66" s="137"/>
      <c r="MTM66" s="137"/>
      <c r="MTN66" s="137"/>
      <c r="MTO66" s="137"/>
      <c r="MTP66" s="137"/>
      <c r="MTQ66" s="137"/>
      <c r="MTR66" s="137"/>
      <c r="MTS66" s="137"/>
      <c r="MTT66" s="137"/>
      <c r="MTU66" s="137"/>
      <c r="MTV66" s="137"/>
      <c r="MTW66" s="137"/>
      <c r="MTX66" s="137"/>
      <c r="MTY66" s="137"/>
      <c r="MTZ66" s="137"/>
      <c r="MUA66" s="137"/>
      <c r="MUB66" s="137"/>
      <c r="MUC66" s="137"/>
      <c r="MUD66" s="137"/>
      <c r="MUE66" s="137"/>
      <c r="MUF66" s="137"/>
      <c r="MUG66" s="137"/>
      <c r="MUH66" s="137"/>
      <c r="MUI66" s="137"/>
      <c r="MUJ66" s="137"/>
      <c r="MUK66" s="137"/>
      <c r="MUL66" s="137"/>
      <c r="MUM66" s="137"/>
      <c r="MUN66" s="137"/>
      <c r="MUO66" s="137"/>
      <c r="MUP66" s="137"/>
      <c r="MUQ66" s="137"/>
      <c r="MUR66" s="137"/>
      <c r="MUS66" s="137"/>
      <c r="MUT66" s="137"/>
      <c r="MUU66" s="137"/>
      <c r="MUV66" s="137"/>
      <c r="MUW66" s="137"/>
      <c r="MUX66" s="137"/>
      <c r="MUY66" s="137"/>
      <c r="MUZ66" s="137"/>
      <c r="MVA66" s="137"/>
      <c r="MVB66" s="137"/>
      <c r="MVC66" s="137"/>
      <c r="MVD66" s="137"/>
      <c r="MVE66" s="137"/>
      <c r="MVF66" s="137"/>
      <c r="MVG66" s="137"/>
      <c r="MVH66" s="137"/>
      <c r="MVI66" s="137"/>
      <c r="MVJ66" s="137"/>
      <c r="MVK66" s="137"/>
      <c r="MVL66" s="137"/>
      <c r="MVM66" s="137"/>
      <c r="MVN66" s="137"/>
      <c r="MVO66" s="137"/>
      <c r="MVP66" s="137"/>
      <c r="MVQ66" s="137"/>
      <c r="MVR66" s="137"/>
      <c r="MVS66" s="137"/>
      <c r="MVT66" s="137"/>
      <c r="MVU66" s="137"/>
      <c r="MVV66" s="137"/>
      <c r="MVW66" s="137"/>
      <c r="MVX66" s="137"/>
      <c r="MVY66" s="137"/>
      <c r="MVZ66" s="137"/>
      <c r="MWA66" s="137"/>
      <c r="MWB66" s="137"/>
      <c r="MWC66" s="137"/>
      <c r="MWD66" s="137"/>
      <c r="MWE66" s="137"/>
      <c r="MWF66" s="137"/>
      <c r="MWG66" s="137"/>
      <c r="MWH66" s="137"/>
      <c r="MWI66" s="137"/>
      <c r="MWJ66" s="137"/>
      <c r="MWK66" s="137"/>
      <c r="MWL66" s="137"/>
      <c r="MWM66" s="137"/>
      <c r="MWN66" s="137"/>
      <c r="MWO66" s="137"/>
      <c r="MWP66" s="137"/>
      <c r="MWQ66" s="137"/>
      <c r="MWR66" s="137"/>
      <c r="MWS66" s="137"/>
      <c r="MWT66" s="137"/>
      <c r="MWU66" s="137"/>
      <c r="MWV66" s="137"/>
      <c r="MWW66" s="137"/>
      <c r="MWX66" s="137"/>
      <c r="MWY66" s="137"/>
      <c r="MWZ66" s="137"/>
      <c r="MXA66" s="137"/>
      <c r="MXB66" s="137"/>
      <c r="MXC66" s="137"/>
      <c r="MXD66" s="137"/>
      <c r="MXE66" s="137"/>
      <c r="MXF66" s="137"/>
      <c r="MXG66" s="137"/>
      <c r="MXH66" s="137"/>
      <c r="MXI66" s="137"/>
      <c r="MXJ66" s="137"/>
      <c r="MXK66" s="137"/>
      <c r="MXL66" s="137"/>
      <c r="MXM66" s="137"/>
      <c r="MXN66" s="137"/>
      <c r="MXO66" s="137"/>
      <c r="MXP66" s="137"/>
      <c r="MXQ66" s="137"/>
      <c r="MXR66" s="137"/>
      <c r="MXS66" s="137"/>
      <c r="MXT66" s="137"/>
      <c r="MXU66" s="137"/>
      <c r="MXV66" s="137"/>
      <c r="MXW66" s="137"/>
      <c r="MXX66" s="137"/>
      <c r="MXY66" s="137"/>
      <c r="MXZ66" s="137"/>
      <c r="MYA66" s="137"/>
      <c r="MYB66" s="137"/>
      <c r="MYC66" s="137"/>
      <c r="MYD66" s="137"/>
      <c r="MYE66" s="137"/>
      <c r="MYF66" s="137"/>
      <c r="MYG66" s="137"/>
      <c r="MYH66" s="137"/>
      <c r="MYI66" s="137"/>
      <c r="MYJ66" s="137"/>
      <c r="MYK66" s="137"/>
      <c r="MYL66" s="137"/>
      <c r="MYM66" s="137"/>
      <c r="MYN66" s="137"/>
      <c r="MYO66" s="137"/>
      <c r="MYP66" s="137"/>
      <c r="MYQ66" s="137"/>
      <c r="MYR66" s="137"/>
      <c r="MYS66" s="137"/>
      <c r="MYT66" s="137"/>
      <c r="MYU66" s="137"/>
      <c r="MYV66" s="137"/>
      <c r="MYW66" s="137"/>
      <c r="MYX66" s="137"/>
      <c r="MYY66" s="137"/>
      <c r="MYZ66" s="137"/>
      <c r="MZA66" s="137"/>
      <c r="MZB66" s="137"/>
      <c r="MZC66" s="137"/>
      <c r="MZD66" s="137"/>
      <c r="MZE66" s="137"/>
      <c r="MZF66" s="137"/>
      <c r="MZG66" s="137"/>
      <c r="MZH66" s="137"/>
      <c r="MZI66" s="137"/>
      <c r="MZJ66" s="137"/>
      <c r="MZK66" s="137"/>
      <c r="MZL66" s="137"/>
      <c r="MZM66" s="137"/>
      <c r="MZN66" s="137"/>
      <c r="MZO66" s="137"/>
      <c r="MZP66" s="137"/>
      <c r="MZQ66" s="137"/>
      <c r="MZR66" s="137"/>
      <c r="MZS66" s="137"/>
      <c r="MZT66" s="137"/>
      <c r="MZU66" s="137"/>
      <c r="MZV66" s="137"/>
      <c r="MZW66" s="137"/>
      <c r="MZX66" s="137"/>
      <c r="MZY66" s="137"/>
      <c r="MZZ66" s="137"/>
      <c r="NAA66" s="137"/>
      <c r="NAB66" s="137"/>
      <c r="NAC66" s="137"/>
      <c r="NAD66" s="137"/>
      <c r="NAE66" s="137"/>
      <c r="NAF66" s="137"/>
      <c r="NAG66" s="137"/>
      <c r="NAH66" s="137"/>
      <c r="NAI66" s="137"/>
      <c r="NAJ66" s="137"/>
      <c r="NAK66" s="137"/>
      <c r="NAL66" s="137"/>
      <c r="NAM66" s="137"/>
      <c r="NAN66" s="137"/>
      <c r="NAO66" s="137"/>
      <c r="NAP66" s="137"/>
      <c r="NAQ66" s="137"/>
      <c r="NAR66" s="137"/>
      <c r="NAS66" s="137"/>
      <c r="NAT66" s="137"/>
      <c r="NAU66" s="137"/>
      <c r="NAV66" s="137"/>
      <c r="NAW66" s="137"/>
      <c r="NAX66" s="137"/>
      <c r="NAY66" s="137"/>
      <c r="NAZ66" s="137"/>
      <c r="NBA66" s="137"/>
      <c r="NBB66" s="137"/>
      <c r="NBC66" s="137"/>
      <c r="NBD66" s="137"/>
      <c r="NBE66" s="137"/>
      <c r="NBF66" s="137"/>
      <c r="NBG66" s="137"/>
      <c r="NBH66" s="137"/>
      <c r="NBI66" s="137"/>
      <c r="NBJ66" s="137"/>
      <c r="NBK66" s="137"/>
      <c r="NBL66" s="137"/>
      <c r="NBM66" s="137"/>
      <c r="NBN66" s="137"/>
      <c r="NBO66" s="137"/>
      <c r="NBP66" s="137"/>
      <c r="NBQ66" s="137"/>
      <c r="NBR66" s="137"/>
      <c r="NBS66" s="137"/>
      <c r="NBT66" s="137"/>
      <c r="NBU66" s="137"/>
      <c r="NBV66" s="137"/>
      <c r="NBW66" s="137"/>
      <c r="NBX66" s="137"/>
      <c r="NBY66" s="137"/>
      <c r="NBZ66" s="137"/>
      <c r="NCA66" s="137"/>
      <c r="NCB66" s="137"/>
      <c r="NCC66" s="137"/>
      <c r="NCD66" s="137"/>
      <c r="NCE66" s="137"/>
      <c r="NCF66" s="137"/>
      <c r="NCG66" s="137"/>
      <c r="NCH66" s="137"/>
      <c r="NCI66" s="137"/>
      <c r="NCJ66" s="137"/>
      <c r="NCK66" s="137"/>
      <c r="NCL66" s="137"/>
      <c r="NCM66" s="137"/>
      <c r="NCN66" s="137"/>
      <c r="NCO66" s="137"/>
      <c r="NCP66" s="137"/>
      <c r="NCQ66" s="137"/>
      <c r="NCR66" s="137"/>
      <c r="NCS66" s="137"/>
      <c r="NCT66" s="137"/>
      <c r="NCU66" s="137"/>
      <c r="NCV66" s="137"/>
      <c r="NCW66" s="137"/>
      <c r="NCX66" s="137"/>
      <c r="NCY66" s="137"/>
      <c r="NCZ66" s="137"/>
      <c r="NDA66" s="137"/>
      <c r="NDB66" s="137"/>
      <c r="NDC66" s="137"/>
      <c r="NDD66" s="137"/>
      <c r="NDE66" s="137"/>
      <c r="NDF66" s="137"/>
      <c r="NDG66" s="137"/>
      <c r="NDH66" s="137"/>
      <c r="NDI66" s="137"/>
      <c r="NDJ66" s="137"/>
      <c r="NDK66" s="137"/>
      <c r="NDL66" s="137"/>
      <c r="NDM66" s="137"/>
      <c r="NDN66" s="137"/>
      <c r="NDO66" s="137"/>
      <c r="NDP66" s="137"/>
      <c r="NDQ66" s="137"/>
      <c r="NDR66" s="137"/>
      <c r="NDS66" s="137"/>
      <c r="NDT66" s="137"/>
      <c r="NDU66" s="137"/>
      <c r="NDV66" s="137"/>
      <c r="NDW66" s="137"/>
      <c r="NDX66" s="137"/>
      <c r="NDY66" s="137"/>
      <c r="NDZ66" s="137"/>
      <c r="NEA66" s="137"/>
      <c r="NEB66" s="137"/>
      <c r="NEC66" s="137"/>
      <c r="NED66" s="137"/>
      <c r="NEE66" s="137"/>
      <c r="NEF66" s="137"/>
      <c r="NEG66" s="137"/>
      <c r="NEH66" s="137"/>
      <c r="NEI66" s="137"/>
      <c r="NEJ66" s="137"/>
      <c r="NEK66" s="137"/>
      <c r="NEL66" s="137"/>
      <c r="NEM66" s="137"/>
      <c r="NEN66" s="137"/>
      <c r="NEO66" s="137"/>
      <c r="NEP66" s="137"/>
      <c r="NEQ66" s="137"/>
      <c r="NER66" s="137"/>
      <c r="NES66" s="137"/>
      <c r="NET66" s="137"/>
      <c r="NEU66" s="137"/>
      <c r="NEV66" s="137"/>
      <c r="NEW66" s="137"/>
      <c r="NEX66" s="137"/>
      <c r="NEY66" s="137"/>
      <c r="NEZ66" s="137"/>
      <c r="NFA66" s="137"/>
      <c r="NFB66" s="137"/>
      <c r="NFC66" s="137"/>
      <c r="NFD66" s="137"/>
      <c r="NFE66" s="137"/>
      <c r="NFF66" s="137"/>
      <c r="NFG66" s="137"/>
      <c r="NFH66" s="137"/>
      <c r="NFI66" s="137"/>
      <c r="NFJ66" s="137"/>
      <c r="NFK66" s="137"/>
      <c r="NFL66" s="137"/>
      <c r="NFM66" s="137"/>
      <c r="NFN66" s="137"/>
      <c r="NFO66" s="137"/>
      <c r="NFP66" s="137"/>
      <c r="NFQ66" s="137"/>
      <c r="NFR66" s="137"/>
      <c r="NFS66" s="137"/>
      <c r="NFT66" s="137"/>
      <c r="NFU66" s="137"/>
      <c r="NFV66" s="137"/>
      <c r="NFW66" s="137"/>
      <c r="NFX66" s="137"/>
      <c r="NFY66" s="137"/>
      <c r="NFZ66" s="137"/>
      <c r="NGA66" s="137"/>
      <c r="NGB66" s="137"/>
      <c r="NGC66" s="137"/>
      <c r="NGD66" s="137"/>
      <c r="NGE66" s="137"/>
      <c r="NGF66" s="137"/>
      <c r="NGG66" s="137"/>
      <c r="NGH66" s="137"/>
      <c r="NGI66" s="137"/>
      <c r="NGJ66" s="137"/>
      <c r="NGK66" s="137"/>
      <c r="NGL66" s="137"/>
      <c r="NGM66" s="137"/>
      <c r="NGN66" s="137"/>
      <c r="NGO66" s="137"/>
      <c r="NGP66" s="137"/>
      <c r="NGQ66" s="137"/>
      <c r="NGR66" s="137"/>
      <c r="NGS66" s="137"/>
      <c r="NGT66" s="137"/>
      <c r="NGU66" s="137"/>
      <c r="NGV66" s="137"/>
      <c r="NGW66" s="137"/>
      <c r="NGX66" s="137"/>
      <c r="NGY66" s="137"/>
      <c r="NGZ66" s="137"/>
      <c r="NHA66" s="137"/>
      <c r="NHB66" s="137"/>
      <c r="NHC66" s="137"/>
      <c r="NHD66" s="137"/>
      <c r="NHE66" s="137"/>
      <c r="NHF66" s="137"/>
      <c r="NHG66" s="137"/>
      <c r="NHH66" s="137"/>
      <c r="NHI66" s="137"/>
      <c r="NHJ66" s="137"/>
      <c r="NHK66" s="137"/>
      <c r="NHL66" s="137"/>
      <c r="NHM66" s="137"/>
      <c r="NHN66" s="137"/>
      <c r="NHO66" s="137"/>
      <c r="NHP66" s="137"/>
      <c r="NHQ66" s="137"/>
      <c r="NHR66" s="137"/>
      <c r="NHS66" s="137"/>
      <c r="NHT66" s="137"/>
      <c r="NHU66" s="137"/>
      <c r="NHV66" s="137"/>
      <c r="NHW66" s="137"/>
      <c r="NHX66" s="137"/>
      <c r="NHY66" s="137"/>
      <c r="NHZ66" s="137"/>
      <c r="NIA66" s="137"/>
      <c r="NIB66" s="137"/>
      <c r="NIC66" s="137"/>
      <c r="NID66" s="137"/>
      <c r="NIE66" s="137"/>
      <c r="NIF66" s="137"/>
      <c r="NIG66" s="137"/>
      <c r="NIH66" s="137"/>
      <c r="NII66" s="137"/>
      <c r="NIJ66" s="137"/>
      <c r="NIK66" s="137"/>
      <c r="NIL66" s="137"/>
      <c r="NIM66" s="137"/>
      <c r="NIN66" s="137"/>
      <c r="NIO66" s="137"/>
      <c r="NIP66" s="137"/>
      <c r="NIQ66" s="137"/>
      <c r="NIR66" s="137"/>
      <c r="NIS66" s="137"/>
      <c r="NIT66" s="137"/>
      <c r="NIU66" s="137"/>
      <c r="NIV66" s="137"/>
      <c r="NIW66" s="137"/>
      <c r="NIX66" s="137"/>
      <c r="NIY66" s="137"/>
      <c r="NIZ66" s="137"/>
      <c r="NJA66" s="137"/>
      <c r="NJB66" s="137"/>
      <c r="NJC66" s="137"/>
      <c r="NJD66" s="137"/>
      <c r="NJE66" s="137"/>
      <c r="NJF66" s="137"/>
      <c r="NJG66" s="137"/>
      <c r="NJH66" s="137"/>
      <c r="NJI66" s="137"/>
      <c r="NJJ66" s="137"/>
      <c r="NJK66" s="137"/>
      <c r="NJL66" s="137"/>
      <c r="NJM66" s="137"/>
      <c r="NJN66" s="137"/>
      <c r="NJO66" s="137"/>
      <c r="NJP66" s="137"/>
      <c r="NJQ66" s="137"/>
      <c r="NJR66" s="137"/>
      <c r="NJS66" s="137"/>
      <c r="NJT66" s="137"/>
      <c r="NJU66" s="137"/>
      <c r="NJV66" s="137"/>
      <c r="NJW66" s="137"/>
      <c r="NJX66" s="137"/>
      <c r="NJY66" s="137"/>
      <c r="NJZ66" s="137"/>
      <c r="NKA66" s="137"/>
      <c r="NKB66" s="137"/>
      <c r="NKC66" s="137"/>
      <c r="NKD66" s="137"/>
      <c r="NKE66" s="137"/>
      <c r="NKF66" s="137"/>
      <c r="NKG66" s="137"/>
      <c r="NKH66" s="137"/>
      <c r="NKI66" s="137"/>
      <c r="NKJ66" s="137"/>
      <c r="NKK66" s="137"/>
      <c r="NKL66" s="137"/>
      <c r="NKM66" s="137"/>
      <c r="NKN66" s="137"/>
      <c r="NKO66" s="137"/>
      <c r="NKP66" s="137"/>
      <c r="NKQ66" s="137"/>
      <c r="NKR66" s="137"/>
      <c r="NKS66" s="137"/>
      <c r="NKT66" s="137"/>
      <c r="NKU66" s="137"/>
      <c r="NKV66" s="137"/>
      <c r="NKW66" s="137"/>
      <c r="NKX66" s="137"/>
      <c r="NKY66" s="137"/>
      <c r="NKZ66" s="137"/>
      <c r="NLA66" s="137"/>
      <c r="NLB66" s="137"/>
      <c r="NLC66" s="137"/>
      <c r="NLD66" s="137"/>
      <c r="NLE66" s="137"/>
      <c r="NLF66" s="137"/>
      <c r="NLG66" s="137"/>
      <c r="NLH66" s="137"/>
      <c r="NLI66" s="137"/>
      <c r="NLJ66" s="137"/>
      <c r="NLK66" s="137"/>
      <c r="NLL66" s="137"/>
      <c r="NLM66" s="137"/>
      <c r="NLN66" s="137"/>
      <c r="NLO66" s="137"/>
      <c r="NLP66" s="137"/>
      <c r="NLQ66" s="137"/>
      <c r="NLR66" s="137"/>
      <c r="NLS66" s="137"/>
      <c r="NLT66" s="137"/>
      <c r="NLU66" s="137"/>
      <c r="NLV66" s="137"/>
      <c r="NLW66" s="137"/>
      <c r="NLX66" s="137"/>
      <c r="NLY66" s="137"/>
      <c r="NLZ66" s="137"/>
      <c r="NMA66" s="137"/>
      <c r="NMB66" s="137"/>
      <c r="NMC66" s="137"/>
      <c r="NMD66" s="137"/>
      <c r="NME66" s="137"/>
      <c r="NMF66" s="137"/>
      <c r="NMG66" s="137"/>
      <c r="NMH66" s="137"/>
      <c r="NMI66" s="137"/>
      <c r="NMJ66" s="137"/>
      <c r="NMK66" s="137"/>
      <c r="NML66" s="137"/>
      <c r="NMM66" s="137"/>
      <c r="NMN66" s="137"/>
      <c r="NMO66" s="137"/>
      <c r="NMP66" s="137"/>
      <c r="NMQ66" s="137"/>
      <c r="NMR66" s="137"/>
      <c r="NMS66" s="137"/>
      <c r="NMT66" s="137"/>
      <c r="NMU66" s="137"/>
      <c r="NMV66" s="137"/>
      <c r="NMW66" s="137"/>
      <c r="NMX66" s="137"/>
      <c r="NMY66" s="137"/>
      <c r="NMZ66" s="137"/>
      <c r="NNA66" s="137"/>
      <c r="NNB66" s="137"/>
      <c r="NNC66" s="137"/>
      <c r="NND66" s="137"/>
      <c r="NNE66" s="137"/>
      <c r="NNF66" s="137"/>
      <c r="NNG66" s="137"/>
      <c r="NNH66" s="137"/>
      <c r="NNI66" s="137"/>
      <c r="NNJ66" s="137"/>
      <c r="NNK66" s="137"/>
      <c r="NNL66" s="137"/>
      <c r="NNM66" s="137"/>
      <c r="NNN66" s="137"/>
      <c r="NNO66" s="137"/>
      <c r="NNP66" s="137"/>
      <c r="NNQ66" s="137"/>
      <c r="NNR66" s="137"/>
      <c r="NNS66" s="137"/>
      <c r="NNT66" s="137"/>
      <c r="NNU66" s="137"/>
      <c r="NNV66" s="137"/>
      <c r="NNW66" s="137"/>
      <c r="NNX66" s="137"/>
      <c r="NNY66" s="137"/>
      <c r="NNZ66" s="137"/>
      <c r="NOA66" s="137"/>
      <c r="NOB66" s="137"/>
      <c r="NOC66" s="137"/>
      <c r="NOD66" s="137"/>
      <c r="NOE66" s="137"/>
      <c r="NOF66" s="137"/>
      <c r="NOG66" s="137"/>
      <c r="NOH66" s="137"/>
      <c r="NOI66" s="137"/>
      <c r="NOJ66" s="137"/>
      <c r="NOK66" s="137"/>
      <c r="NOL66" s="137"/>
      <c r="NOM66" s="137"/>
      <c r="NON66" s="137"/>
      <c r="NOO66" s="137"/>
      <c r="NOP66" s="137"/>
      <c r="NOQ66" s="137"/>
      <c r="NOR66" s="137"/>
      <c r="NOS66" s="137"/>
      <c r="NOT66" s="137"/>
      <c r="NOU66" s="137"/>
      <c r="NOV66" s="137"/>
      <c r="NOW66" s="137"/>
      <c r="NOX66" s="137"/>
      <c r="NOY66" s="137"/>
      <c r="NOZ66" s="137"/>
      <c r="NPA66" s="137"/>
      <c r="NPB66" s="137"/>
      <c r="NPC66" s="137"/>
      <c r="NPD66" s="137"/>
      <c r="NPE66" s="137"/>
      <c r="NPF66" s="137"/>
      <c r="NPG66" s="137"/>
      <c r="NPH66" s="137"/>
      <c r="NPI66" s="137"/>
      <c r="NPJ66" s="137"/>
      <c r="NPK66" s="137"/>
      <c r="NPL66" s="137"/>
      <c r="NPM66" s="137"/>
      <c r="NPN66" s="137"/>
      <c r="NPO66" s="137"/>
      <c r="NPP66" s="137"/>
      <c r="NPQ66" s="137"/>
      <c r="NPR66" s="137"/>
      <c r="NPS66" s="137"/>
      <c r="NPT66" s="137"/>
      <c r="NPU66" s="137"/>
      <c r="NPV66" s="137"/>
      <c r="NPW66" s="137"/>
      <c r="NPX66" s="137"/>
      <c r="NPY66" s="137"/>
      <c r="NPZ66" s="137"/>
      <c r="NQA66" s="137"/>
      <c r="NQB66" s="137"/>
      <c r="NQC66" s="137"/>
      <c r="NQD66" s="137"/>
      <c r="NQE66" s="137"/>
      <c r="NQF66" s="137"/>
      <c r="NQG66" s="137"/>
      <c r="NQH66" s="137"/>
      <c r="NQI66" s="137"/>
      <c r="NQJ66" s="137"/>
      <c r="NQK66" s="137"/>
      <c r="NQL66" s="137"/>
      <c r="NQM66" s="137"/>
      <c r="NQN66" s="137"/>
      <c r="NQO66" s="137"/>
      <c r="NQP66" s="137"/>
      <c r="NQQ66" s="137"/>
      <c r="NQR66" s="137"/>
      <c r="NQS66" s="137"/>
      <c r="NQT66" s="137"/>
      <c r="NQU66" s="137"/>
      <c r="NQV66" s="137"/>
      <c r="NQW66" s="137"/>
      <c r="NQX66" s="137"/>
      <c r="NQY66" s="137"/>
      <c r="NQZ66" s="137"/>
      <c r="NRA66" s="137"/>
      <c r="NRB66" s="137"/>
      <c r="NRC66" s="137"/>
      <c r="NRD66" s="137"/>
      <c r="NRE66" s="137"/>
      <c r="NRF66" s="137"/>
      <c r="NRG66" s="137"/>
      <c r="NRH66" s="137"/>
      <c r="NRI66" s="137"/>
      <c r="NRJ66" s="137"/>
      <c r="NRK66" s="137"/>
      <c r="NRL66" s="137"/>
      <c r="NRM66" s="137"/>
      <c r="NRN66" s="137"/>
      <c r="NRO66" s="137"/>
      <c r="NRP66" s="137"/>
      <c r="NRQ66" s="137"/>
      <c r="NRR66" s="137"/>
      <c r="NRS66" s="137"/>
      <c r="NRT66" s="137"/>
      <c r="NRU66" s="137"/>
      <c r="NRV66" s="137"/>
      <c r="NRW66" s="137"/>
      <c r="NRX66" s="137"/>
      <c r="NRY66" s="137"/>
      <c r="NRZ66" s="137"/>
      <c r="NSA66" s="137"/>
      <c r="NSB66" s="137"/>
      <c r="NSC66" s="137"/>
      <c r="NSD66" s="137"/>
      <c r="NSE66" s="137"/>
      <c r="NSF66" s="137"/>
      <c r="NSG66" s="137"/>
      <c r="NSH66" s="137"/>
      <c r="NSI66" s="137"/>
      <c r="NSJ66" s="137"/>
      <c r="NSK66" s="137"/>
      <c r="NSL66" s="137"/>
      <c r="NSM66" s="137"/>
      <c r="NSN66" s="137"/>
      <c r="NSO66" s="137"/>
      <c r="NSP66" s="137"/>
      <c r="NSQ66" s="137"/>
      <c r="NSR66" s="137"/>
      <c r="NSS66" s="137"/>
      <c r="NST66" s="137"/>
      <c r="NSU66" s="137"/>
      <c r="NSV66" s="137"/>
      <c r="NSW66" s="137"/>
      <c r="NSX66" s="137"/>
      <c r="NSY66" s="137"/>
      <c r="NSZ66" s="137"/>
      <c r="NTA66" s="137"/>
      <c r="NTB66" s="137"/>
      <c r="NTC66" s="137"/>
      <c r="NTD66" s="137"/>
      <c r="NTE66" s="137"/>
      <c r="NTF66" s="137"/>
      <c r="NTG66" s="137"/>
      <c r="NTH66" s="137"/>
      <c r="NTI66" s="137"/>
      <c r="NTJ66" s="137"/>
      <c r="NTK66" s="137"/>
      <c r="NTL66" s="137"/>
      <c r="NTM66" s="137"/>
      <c r="NTN66" s="137"/>
      <c r="NTO66" s="137"/>
      <c r="NTP66" s="137"/>
      <c r="NTQ66" s="137"/>
      <c r="NTR66" s="137"/>
      <c r="NTS66" s="137"/>
      <c r="NTT66" s="137"/>
      <c r="NTU66" s="137"/>
      <c r="NTV66" s="137"/>
      <c r="NTW66" s="137"/>
      <c r="NTX66" s="137"/>
      <c r="NTY66" s="137"/>
      <c r="NTZ66" s="137"/>
      <c r="NUA66" s="137"/>
      <c r="NUB66" s="137"/>
      <c r="NUC66" s="137"/>
      <c r="NUD66" s="137"/>
      <c r="NUE66" s="137"/>
      <c r="NUF66" s="137"/>
      <c r="NUG66" s="137"/>
      <c r="NUH66" s="137"/>
      <c r="NUI66" s="137"/>
      <c r="NUJ66" s="137"/>
      <c r="NUK66" s="137"/>
      <c r="NUL66" s="137"/>
      <c r="NUM66" s="137"/>
      <c r="NUN66" s="137"/>
      <c r="NUO66" s="137"/>
      <c r="NUP66" s="137"/>
      <c r="NUQ66" s="137"/>
      <c r="NUR66" s="137"/>
      <c r="NUS66" s="137"/>
      <c r="NUT66" s="137"/>
      <c r="NUU66" s="137"/>
      <c r="NUV66" s="137"/>
      <c r="NUW66" s="137"/>
      <c r="NUX66" s="137"/>
      <c r="NUY66" s="137"/>
      <c r="NUZ66" s="137"/>
      <c r="NVA66" s="137"/>
      <c r="NVB66" s="137"/>
      <c r="NVC66" s="137"/>
      <c r="NVD66" s="137"/>
      <c r="NVE66" s="137"/>
      <c r="NVF66" s="137"/>
      <c r="NVG66" s="137"/>
      <c r="NVH66" s="137"/>
      <c r="NVI66" s="137"/>
      <c r="NVJ66" s="137"/>
      <c r="NVK66" s="137"/>
      <c r="NVL66" s="137"/>
      <c r="NVM66" s="137"/>
      <c r="NVN66" s="137"/>
      <c r="NVO66" s="137"/>
      <c r="NVP66" s="137"/>
      <c r="NVQ66" s="137"/>
      <c r="NVR66" s="137"/>
      <c r="NVS66" s="137"/>
      <c r="NVT66" s="137"/>
      <c r="NVU66" s="137"/>
      <c r="NVV66" s="137"/>
      <c r="NVW66" s="137"/>
      <c r="NVX66" s="137"/>
      <c r="NVY66" s="137"/>
      <c r="NVZ66" s="137"/>
      <c r="NWA66" s="137"/>
      <c r="NWB66" s="137"/>
      <c r="NWC66" s="137"/>
      <c r="NWD66" s="137"/>
      <c r="NWE66" s="137"/>
      <c r="NWF66" s="137"/>
      <c r="NWG66" s="137"/>
      <c r="NWH66" s="137"/>
      <c r="NWI66" s="137"/>
      <c r="NWJ66" s="137"/>
      <c r="NWK66" s="137"/>
      <c r="NWL66" s="137"/>
      <c r="NWM66" s="137"/>
      <c r="NWN66" s="137"/>
      <c r="NWO66" s="137"/>
      <c r="NWP66" s="137"/>
      <c r="NWQ66" s="137"/>
      <c r="NWR66" s="137"/>
      <c r="NWS66" s="137"/>
      <c r="NWT66" s="137"/>
      <c r="NWU66" s="137"/>
      <c r="NWV66" s="137"/>
      <c r="NWW66" s="137"/>
      <c r="NWX66" s="137"/>
      <c r="NWY66" s="137"/>
      <c r="NWZ66" s="137"/>
      <c r="NXA66" s="137"/>
      <c r="NXB66" s="137"/>
      <c r="NXC66" s="137"/>
      <c r="NXD66" s="137"/>
      <c r="NXE66" s="137"/>
      <c r="NXF66" s="137"/>
      <c r="NXG66" s="137"/>
      <c r="NXH66" s="137"/>
      <c r="NXI66" s="137"/>
      <c r="NXJ66" s="137"/>
      <c r="NXK66" s="137"/>
      <c r="NXL66" s="137"/>
      <c r="NXM66" s="137"/>
      <c r="NXN66" s="137"/>
      <c r="NXO66" s="137"/>
      <c r="NXP66" s="137"/>
      <c r="NXQ66" s="137"/>
      <c r="NXR66" s="137"/>
      <c r="NXS66" s="137"/>
      <c r="NXT66" s="137"/>
      <c r="NXU66" s="137"/>
      <c r="NXV66" s="137"/>
      <c r="NXW66" s="137"/>
      <c r="NXX66" s="137"/>
      <c r="NXY66" s="137"/>
      <c r="NXZ66" s="137"/>
      <c r="NYA66" s="137"/>
      <c r="NYB66" s="137"/>
      <c r="NYC66" s="137"/>
      <c r="NYD66" s="137"/>
      <c r="NYE66" s="137"/>
      <c r="NYF66" s="137"/>
      <c r="NYG66" s="137"/>
      <c r="NYH66" s="137"/>
      <c r="NYI66" s="137"/>
      <c r="NYJ66" s="137"/>
      <c r="NYK66" s="137"/>
      <c r="NYL66" s="137"/>
      <c r="NYM66" s="137"/>
      <c r="NYN66" s="137"/>
      <c r="NYO66" s="137"/>
      <c r="NYP66" s="137"/>
      <c r="NYQ66" s="137"/>
      <c r="NYR66" s="137"/>
      <c r="NYS66" s="137"/>
      <c r="NYT66" s="137"/>
      <c r="NYU66" s="137"/>
      <c r="NYV66" s="137"/>
      <c r="NYW66" s="137"/>
      <c r="NYX66" s="137"/>
      <c r="NYY66" s="137"/>
      <c r="NYZ66" s="137"/>
      <c r="NZA66" s="137"/>
      <c r="NZB66" s="137"/>
      <c r="NZC66" s="137"/>
      <c r="NZD66" s="137"/>
      <c r="NZE66" s="137"/>
      <c r="NZF66" s="137"/>
      <c r="NZG66" s="137"/>
      <c r="NZH66" s="137"/>
      <c r="NZI66" s="137"/>
      <c r="NZJ66" s="137"/>
      <c r="NZK66" s="137"/>
      <c r="NZL66" s="137"/>
      <c r="NZM66" s="137"/>
      <c r="NZN66" s="137"/>
      <c r="NZO66" s="137"/>
      <c r="NZP66" s="137"/>
      <c r="NZQ66" s="137"/>
      <c r="NZR66" s="137"/>
      <c r="NZS66" s="137"/>
      <c r="NZT66" s="137"/>
      <c r="NZU66" s="137"/>
      <c r="NZV66" s="137"/>
      <c r="NZW66" s="137"/>
      <c r="NZX66" s="137"/>
      <c r="NZY66" s="137"/>
      <c r="NZZ66" s="137"/>
      <c r="OAA66" s="137"/>
      <c r="OAB66" s="137"/>
      <c r="OAC66" s="137"/>
      <c r="OAD66" s="137"/>
      <c r="OAE66" s="137"/>
      <c r="OAF66" s="137"/>
      <c r="OAG66" s="137"/>
      <c r="OAH66" s="137"/>
      <c r="OAI66" s="137"/>
      <c r="OAJ66" s="137"/>
      <c r="OAK66" s="137"/>
      <c r="OAL66" s="137"/>
      <c r="OAM66" s="137"/>
      <c r="OAN66" s="137"/>
      <c r="OAO66" s="137"/>
      <c r="OAP66" s="137"/>
      <c r="OAQ66" s="137"/>
      <c r="OAR66" s="137"/>
      <c r="OAS66" s="137"/>
      <c r="OAT66" s="137"/>
      <c r="OAU66" s="137"/>
      <c r="OAV66" s="137"/>
      <c r="OAW66" s="137"/>
      <c r="OAX66" s="137"/>
      <c r="OAY66" s="137"/>
      <c r="OAZ66" s="137"/>
      <c r="OBA66" s="137"/>
      <c r="OBB66" s="137"/>
      <c r="OBC66" s="137"/>
      <c r="OBD66" s="137"/>
      <c r="OBE66" s="137"/>
      <c r="OBF66" s="137"/>
      <c r="OBG66" s="137"/>
      <c r="OBH66" s="137"/>
      <c r="OBI66" s="137"/>
      <c r="OBJ66" s="137"/>
      <c r="OBK66" s="137"/>
      <c r="OBL66" s="137"/>
      <c r="OBM66" s="137"/>
      <c r="OBN66" s="137"/>
      <c r="OBO66" s="137"/>
      <c r="OBP66" s="137"/>
      <c r="OBQ66" s="137"/>
      <c r="OBR66" s="137"/>
      <c r="OBS66" s="137"/>
      <c r="OBT66" s="137"/>
      <c r="OBU66" s="137"/>
      <c r="OBV66" s="137"/>
      <c r="OBW66" s="137"/>
      <c r="OBX66" s="137"/>
      <c r="OBY66" s="137"/>
      <c r="OBZ66" s="137"/>
      <c r="OCA66" s="137"/>
      <c r="OCB66" s="137"/>
      <c r="OCC66" s="137"/>
      <c r="OCD66" s="137"/>
      <c r="OCE66" s="137"/>
      <c r="OCF66" s="137"/>
      <c r="OCG66" s="137"/>
      <c r="OCH66" s="137"/>
      <c r="OCI66" s="137"/>
      <c r="OCJ66" s="137"/>
      <c r="OCK66" s="137"/>
      <c r="OCL66" s="137"/>
      <c r="OCM66" s="137"/>
      <c r="OCN66" s="137"/>
      <c r="OCO66" s="137"/>
      <c r="OCP66" s="137"/>
      <c r="OCQ66" s="137"/>
      <c r="OCR66" s="137"/>
      <c r="OCS66" s="137"/>
      <c r="OCT66" s="137"/>
      <c r="OCU66" s="137"/>
      <c r="OCV66" s="137"/>
      <c r="OCW66" s="137"/>
      <c r="OCX66" s="137"/>
      <c r="OCY66" s="137"/>
      <c r="OCZ66" s="137"/>
      <c r="ODA66" s="137"/>
      <c r="ODB66" s="137"/>
      <c r="ODC66" s="137"/>
      <c r="ODD66" s="137"/>
      <c r="ODE66" s="137"/>
      <c r="ODF66" s="137"/>
      <c r="ODG66" s="137"/>
      <c r="ODH66" s="137"/>
      <c r="ODI66" s="137"/>
      <c r="ODJ66" s="137"/>
      <c r="ODK66" s="137"/>
      <c r="ODL66" s="137"/>
      <c r="ODM66" s="137"/>
      <c r="ODN66" s="137"/>
      <c r="ODO66" s="137"/>
      <c r="ODP66" s="137"/>
      <c r="ODQ66" s="137"/>
      <c r="ODR66" s="137"/>
      <c r="ODS66" s="137"/>
      <c r="ODT66" s="137"/>
      <c r="ODU66" s="137"/>
      <c r="ODV66" s="137"/>
      <c r="ODW66" s="137"/>
      <c r="ODX66" s="137"/>
      <c r="ODY66" s="137"/>
      <c r="ODZ66" s="137"/>
      <c r="OEA66" s="137"/>
      <c r="OEB66" s="137"/>
      <c r="OEC66" s="137"/>
      <c r="OED66" s="137"/>
      <c r="OEE66" s="137"/>
      <c r="OEF66" s="137"/>
      <c r="OEG66" s="137"/>
      <c r="OEH66" s="137"/>
      <c r="OEI66" s="137"/>
      <c r="OEJ66" s="137"/>
      <c r="OEK66" s="137"/>
      <c r="OEL66" s="137"/>
      <c r="OEM66" s="137"/>
      <c r="OEN66" s="137"/>
      <c r="OEO66" s="137"/>
      <c r="OEP66" s="137"/>
      <c r="OEQ66" s="137"/>
      <c r="OER66" s="137"/>
      <c r="OES66" s="137"/>
      <c r="OET66" s="137"/>
      <c r="OEU66" s="137"/>
      <c r="OEV66" s="137"/>
      <c r="OEW66" s="137"/>
      <c r="OEX66" s="137"/>
      <c r="OEY66" s="137"/>
      <c r="OEZ66" s="137"/>
      <c r="OFA66" s="137"/>
      <c r="OFB66" s="137"/>
      <c r="OFC66" s="137"/>
      <c r="OFD66" s="137"/>
      <c r="OFE66" s="137"/>
      <c r="OFF66" s="137"/>
      <c r="OFG66" s="137"/>
      <c r="OFH66" s="137"/>
      <c r="OFI66" s="137"/>
      <c r="OFJ66" s="137"/>
      <c r="OFK66" s="137"/>
      <c r="OFL66" s="137"/>
      <c r="OFM66" s="137"/>
      <c r="OFN66" s="137"/>
      <c r="OFO66" s="137"/>
      <c r="OFP66" s="137"/>
      <c r="OFQ66" s="137"/>
      <c r="OFR66" s="137"/>
      <c r="OFS66" s="137"/>
      <c r="OFT66" s="137"/>
      <c r="OFU66" s="137"/>
      <c r="OFV66" s="137"/>
      <c r="OFW66" s="137"/>
      <c r="OFX66" s="137"/>
      <c r="OFY66" s="137"/>
      <c r="OFZ66" s="137"/>
      <c r="OGA66" s="137"/>
      <c r="OGB66" s="137"/>
      <c r="OGC66" s="137"/>
      <c r="OGD66" s="137"/>
      <c r="OGE66" s="137"/>
      <c r="OGF66" s="137"/>
      <c r="OGG66" s="137"/>
      <c r="OGH66" s="137"/>
      <c r="OGI66" s="137"/>
      <c r="OGJ66" s="137"/>
      <c r="OGK66" s="137"/>
      <c r="OGL66" s="137"/>
      <c r="OGM66" s="137"/>
      <c r="OGN66" s="137"/>
      <c r="OGO66" s="137"/>
      <c r="OGP66" s="137"/>
      <c r="OGQ66" s="137"/>
      <c r="OGR66" s="137"/>
      <c r="OGS66" s="137"/>
      <c r="OGT66" s="137"/>
      <c r="OGU66" s="137"/>
      <c r="OGV66" s="137"/>
      <c r="OGW66" s="137"/>
      <c r="OGX66" s="137"/>
      <c r="OGY66" s="137"/>
      <c r="OGZ66" s="137"/>
      <c r="OHA66" s="137"/>
      <c r="OHB66" s="137"/>
      <c r="OHC66" s="137"/>
      <c r="OHD66" s="137"/>
      <c r="OHE66" s="137"/>
      <c r="OHF66" s="137"/>
      <c r="OHG66" s="137"/>
      <c r="OHH66" s="137"/>
      <c r="OHI66" s="137"/>
      <c r="OHJ66" s="137"/>
      <c r="OHK66" s="137"/>
      <c r="OHL66" s="137"/>
      <c r="OHM66" s="137"/>
      <c r="OHN66" s="137"/>
      <c r="OHO66" s="137"/>
      <c r="OHP66" s="137"/>
      <c r="OHQ66" s="137"/>
      <c r="OHR66" s="137"/>
      <c r="OHS66" s="137"/>
      <c r="OHT66" s="137"/>
      <c r="OHU66" s="137"/>
      <c r="OHV66" s="137"/>
      <c r="OHW66" s="137"/>
      <c r="OHX66" s="137"/>
      <c r="OHY66" s="137"/>
      <c r="OHZ66" s="137"/>
      <c r="OIA66" s="137"/>
      <c r="OIB66" s="137"/>
      <c r="OIC66" s="137"/>
      <c r="OID66" s="137"/>
      <c r="OIE66" s="137"/>
      <c r="OIF66" s="137"/>
      <c r="OIG66" s="137"/>
      <c r="OIH66" s="137"/>
      <c r="OII66" s="137"/>
      <c r="OIJ66" s="137"/>
      <c r="OIK66" s="137"/>
      <c r="OIL66" s="137"/>
      <c r="OIM66" s="137"/>
      <c r="OIN66" s="137"/>
      <c r="OIO66" s="137"/>
      <c r="OIP66" s="137"/>
      <c r="OIQ66" s="137"/>
      <c r="OIR66" s="137"/>
      <c r="OIS66" s="137"/>
      <c r="OIT66" s="137"/>
      <c r="OIU66" s="137"/>
      <c r="OIV66" s="137"/>
      <c r="OIW66" s="137"/>
      <c r="OIX66" s="137"/>
      <c r="OIY66" s="137"/>
      <c r="OIZ66" s="137"/>
      <c r="OJA66" s="137"/>
      <c r="OJB66" s="137"/>
      <c r="OJC66" s="137"/>
      <c r="OJD66" s="137"/>
      <c r="OJE66" s="137"/>
      <c r="OJF66" s="137"/>
      <c r="OJG66" s="137"/>
      <c r="OJH66" s="137"/>
      <c r="OJI66" s="137"/>
      <c r="OJJ66" s="137"/>
      <c r="OJK66" s="137"/>
      <c r="OJL66" s="137"/>
      <c r="OJM66" s="137"/>
      <c r="OJN66" s="137"/>
      <c r="OJO66" s="137"/>
      <c r="OJP66" s="137"/>
      <c r="OJQ66" s="137"/>
      <c r="OJR66" s="137"/>
      <c r="OJS66" s="137"/>
      <c r="OJT66" s="137"/>
      <c r="OJU66" s="137"/>
      <c r="OJV66" s="137"/>
      <c r="OJW66" s="137"/>
      <c r="OJX66" s="137"/>
      <c r="OJY66" s="137"/>
      <c r="OJZ66" s="137"/>
      <c r="OKA66" s="137"/>
      <c r="OKB66" s="137"/>
      <c r="OKC66" s="137"/>
      <c r="OKD66" s="137"/>
      <c r="OKE66" s="137"/>
      <c r="OKF66" s="137"/>
      <c r="OKG66" s="137"/>
      <c r="OKH66" s="137"/>
      <c r="OKI66" s="137"/>
      <c r="OKJ66" s="137"/>
      <c r="OKK66" s="137"/>
      <c r="OKL66" s="137"/>
      <c r="OKM66" s="137"/>
      <c r="OKN66" s="137"/>
      <c r="OKO66" s="137"/>
      <c r="OKP66" s="137"/>
      <c r="OKQ66" s="137"/>
      <c r="OKR66" s="137"/>
      <c r="OKS66" s="137"/>
      <c r="OKT66" s="137"/>
      <c r="OKU66" s="137"/>
      <c r="OKV66" s="137"/>
      <c r="OKW66" s="137"/>
      <c r="OKX66" s="137"/>
      <c r="OKY66" s="137"/>
      <c r="OKZ66" s="137"/>
      <c r="OLA66" s="137"/>
      <c r="OLB66" s="137"/>
      <c r="OLC66" s="137"/>
      <c r="OLD66" s="137"/>
      <c r="OLE66" s="137"/>
      <c r="OLF66" s="137"/>
      <c r="OLG66" s="137"/>
      <c r="OLH66" s="137"/>
      <c r="OLI66" s="137"/>
      <c r="OLJ66" s="137"/>
      <c r="OLK66" s="137"/>
      <c r="OLL66" s="137"/>
      <c r="OLM66" s="137"/>
      <c r="OLN66" s="137"/>
      <c r="OLO66" s="137"/>
      <c r="OLP66" s="137"/>
      <c r="OLQ66" s="137"/>
      <c r="OLR66" s="137"/>
      <c r="OLS66" s="137"/>
      <c r="OLT66" s="137"/>
      <c r="OLU66" s="137"/>
      <c r="OLV66" s="137"/>
      <c r="OLW66" s="137"/>
      <c r="OLX66" s="137"/>
      <c r="OLY66" s="137"/>
      <c r="OLZ66" s="137"/>
      <c r="OMA66" s="137"/>
      <c r="OMB66" s="137"/>
      <c r="OMC66" s="137"/>
      <c r="OMD66" s="137"/>
      <c r="OME66" s="137"/>
      <c r="OMF66" s="137"/>
      <c r="OMG66" s="137"/>
      <c r="OMH66" s="137"/>
      <c r="OMI66" s="137"/>
      <c r="OMJ66" s="137"/>
      <c r="OMK66" s="137"/>
      <c r="OML66" s="137"/>
      <c r="OMM66" s="137"/>
      <c r="OMN66" s="137"/>
      <c r="OMO66" s="137"/>
      <c r="OMP66" s="137"/>
      <c r="OMQ66" s="137"/>
      <c r="OMR66" s="137"/>
      <c r="OMS66" s="137"/>
      <c r="OMT66" s="137"/>
      <c r="OMU66" s="137"/>
      <c r="OMV66" s="137"/>
      <c r="OMW66" s="137"/>
      <c r="OMX66" s="137"/>
      <c r="OMY66" s="137"/>
      <c r="OMZ66" s="137"/>
      <c r="ONA66" s="137"/>
      <c r="ONB66" s="137"/>
      <c r="ONC66" s="137"/>
      <c r="OND66" s="137"/>
      <c r="ONE66" s="137"/>
      <c r="ONF66" s="137"/>
      <c r="ONG66" s="137"/>
      <c r="ONH66" s="137"/>
      <c r="ONI66" s="137"/>
      <c r="ONJ66" s="137"/>
      <c r="ONK66" s="137"/>
      <c r="ONL66" s="137"/>
      <c r="ONM66" s="137"/>
      <c r="ONN66" s="137"/>
      <c r="ONO66" s="137"/>
      <c r="ONP66" s="137"/>
      <c r="ONQ66" s="137"/>
      <c r="ONR66" s="137"/>
      <c r="ONS66" s="137"/>
      <c r="ONT66" s="137"/>
      <c r="ONU66" s="137"/>
      <c r="ONV66" s="137"/>
      <c r="ONW66" s="137"/>
      <c r="ONX66" s="137"/>
      <c r="ONY66" s="137"/>
      <c r="ONZ66" s="137"/>
      <c r="OOA66" s="137"/>
      <c r="OOB66" s="137"/>
      <c r="OOC66" s="137"/>
      <c r="OOD66" s="137"/>
      <c r="OOE66" s="137"/>
      <c r="OOF66" s="137"/>
      <c r="OOG66" s="137"/>
      <c r="OOH66" s="137"/>
      <c r="OOI66" s="137"/>
      <c r="OOJ66" s="137"/>
      <c r="OOK66" s="137"/>
      <c r="OOL66" s="137"/>
      <c r="OOM66" s="137"/>
      <c r="OON66" s="137"/>
      <c r="OOO66" s="137"/>
      <c r="OOP66" s="137"/>
      <c r="OOQ66" s="137"/>
      <c r="OOR66" s="137"/>
      <c r="OOS66" s="137"/>
      <c r="OOT66" s="137"/>
      <c r="OOU66" s="137"/>
      <c r="OOV66" s="137"/>
      <c r="OOW66" s="137"/>
      <c r="OOX66" s="137"/>
      <c r="OOY66" s="137"/>
      <c r="OOZ66" s="137"/>
      <c r="OPA66" s="137"/>
      <c r="OPB66" s="137"/>
      <c r="OPC66" s="137"/>
      <c r="OPD66" s="137"/>
      <c r="OPE66" s="137"/>
      <c r="OPF66" s="137"/>
      <c r="OPG66" s="137"/>
      <c r="OPH66" s="137"/>
      <c r="OPI66" s="137"/>
      <c r="OPJ66" s="137"/>
      <c r="OPK66" s="137"/>
      <c r="OPL66" s="137"/>
      <c r="OPM66" s="137"/>
      <c r="OPN66" s="137"/>
      <c r="OPO66" s="137"/>
      <c r="OPP66" s="137"/>
      <c r="OPQ66" s="137"/>
      <c r="OPR66" s="137"/>
      <c r="OPS66" s="137"/>
      <c r="OPT66" s="137"/>
      <c r="OPU66" s="137"/>
      <c r="OPV66" s="137"/>
      <c r="OPW66" s="137"/>
      <c r="OPX66" s="137"/>
      <c r="OPY66" s="137"/>
      <c r="OPZ66" s="137"/>
      <c r="OQA66" s="137"/>
      <c r="OQB66" s="137"/>
      <c r="OQC66" s="137"/>
      <c r="OQD66" s="137"/>
      <c r="OQE66" s="137"/>
      <c r="OQF66" s="137"/>
      <c r="OQG66" s="137"/>
      <c r="OQH66" s="137"/>
      <c r="OQI66" s="137"/>
      <c r="OQJ66" s="137"/>
      <c r="OQK66" s="137"/>
      <c r="OQL66" s="137"/>
      <c r="OQM66" s="137"/>
      <c r="OQN66" s="137"/>
      <c r="OQO66" s="137"/>
      <c r="OQP66" s="137"/>
      <c r="OQQ66" s="137"/>
      <c r="OQR66" s="137"/>
      <c r="OQS66" s="137"/>
      <c r="OQT66" s="137"/>
      <c r="OQU66" s="137"/>
      <c r="OQV66" s="137"/>
      <c r="OQW66" s="137"/>
      <c r="OQX66" s="137"/>
      <c r="OQY66" s="137"/>
      <c r="OQZ66" s="137"/>
      <c r="ORA66" s="137"/>
      <c r="ORB66" s="137"/>
      <c r="ORC66" s="137"/>
      <c r="ORD66" s="137"/>
      <c r="ORE66" s="137"/>
      <c r="ORF66" s="137"/>
      <c r="ORG66" s="137"/>
      <c r="ORH66" s="137"/>
      <c r="ORI66" s="137"/>
      <c r="ORJ66" s="137"/>
      <c r="ORK66" s="137"/>
      <c r="ORL66" s="137"/>
      <c r="ORM66" s="137"/>
      <c r="ORN66" s="137"/>
      <c r="ORO66" s="137"/>
      <c r="ORP66" s="137"/>
      <c r="ORQ66" s="137"/>
      <c r="ORR66" s="137"/>
      <c r="ORS66" s="137"/>
      <c r="ORT66" s="137"/>
      <c r="ORU66" s="137"/>
      <c r="ORV66" s="137"/>
      <c r="ORW66" s="137"/>
      <c r="ORX66" s="137"/>
      <c r="ORY66" s="137"/>
      <c r="ORZ66" s="137"/>
      <c r="OSA66" s="137"/>
      <c r="OSB66" s="137"/>
      <c r="OSC66" s="137"/>
      <c r="OSD66" s="137"/>
      <c r="OSE66" s="137"/>
      <c r="OSF66" s="137"/>
      <c r="OSG66" s="137"/>
      <c r="OSH66" s="137"/>
      <c r="OSI66" s="137"/>
      <c r="OSJ66" s="137"/>
      <c r="OSK66" s="137"/>
      <c r="OSL66" s="137"/>
      <c r="OSM66" s="137"/>
      <c r="OSN66" s="137"/>
      <c r="OSO66" s="137"/>
      <c r="OSP66" s="137"/>
      <c r="OSQ66" s="137"/>
      <c r="OSR66" s="137"/>
      <c r="OSS66" s="137"/>
      <c r="OST66" s="137"/>
      <c r="OSU66" s="137"/>
      <c r="OSV66" s="137"/>
      <c r="OSW66" s="137"/>
      <c r="OSX66" s="137"/>
      <c r="OSY66" s="137"/>
      <c r="OSZ66" s="137"/>
      <c r="OTA66" s="137"/>
      <c r="OTB66" s="137"/>
      <c r="OTC66" s="137"/>
      <c r="OTD66" s="137"/>
      <c r="OTE66" s="137"/>
      <c r="OTF66" s="137"/>
      <c r="OTG66" s="137"/>
      <c r="OTH66" s="137"/>
      <c r="OTI66" s="137"/>
      <c r="OTJ66" s="137"/>
      <c r="OTK66" s="137"/>
      <c r="OTL66" s="137"/>
      <c r="OTM66" s="137"/>
      <c r="OTN66" s="137"/>
      <c r="OTO66" s="137"/>
      <c r="OTP66" s="137"/>
      <c r="OTQ66" s="137"/>
      <c r="OTR66" s="137"/>
      <c r="OTS66" s="137"/>
      <c r="OTT66" s="137"/>
      <c r="OTU66" s="137"/>
      <c r="OTV66" s="137"/>
      <c r="OTW66" s="137"/>
      <c r="OTX66" s="137"/>
      <c r="OTY66" s="137"/>
      <c r="OTZ66" s="137"/>
      <c r="OUA66" s="137"/>
      <c r="OUB66" s="137"/>
      <c r="OUC66" s="137"/>
      <c r="OUD66" s="137"/>
      <c r="OUE66" s="137"/>
      <c r="OUF66" s="137"/>
      <c r="OUG66" s="137"/>
      <c r="OUH66" s="137"/>
      <c r="OUI66" s="137"/>
      <c r="OUJ66" s="137"/>
      <c r="OUK66" s="137"/>
      <c r="OUL66" s="137"/>
      <c r="OUM66" s="137"/>
      <c r="OUN66" s="137"/>
      <c r="OUO66" s="137"/>
      <c r="OUP66" s="137"/>
      <c r="OUQ66" s="137"/>
      <c r="OUR66" s="137"/>
      <c r="OUS66" s="137"/>
      <c r="OUT66" s="137"/>
      <c r="OUU66" s="137"/>
      <c r="OUV66" s="137"/>
      <c r="OUW66" s="137"/>
      <c r="OUX66" s="137"/>
      <c r="OUY66" s="137"/>
      <c r="OUZ66" s="137"/>
      <c r="OVA66" s="137"/>
      <c r="OVB66" s="137"/>
      <c r="OVC66" s="137"/>
      <c r="OVD66" s="137"/>
      <c r="OVE66" s="137"/>
      <c r="OVF66" s="137"/>
      <c r="OVG66" s="137"/>
      <c r="OVH66" s="137"/>
      <c r="OVI66" s="137"/>
      <c r="OVJ66" s="137"/>
      <c r="OVK66" s="137"/>
      <c r="OVL66" s="137"/>
      <c r="OVM66" s="137"/>
      <c r="OVN66" s="137"/>
      <c r="OVO66" s="137"/>
      <c r="OVP66" s="137"/>
      <c r="OVQ66" s="137"/>
      <c r="OVR66" s="137"/>
      <c r="OVS66" s="137"/>
      <c r="OVT66" s="137"/>
      <c r="OVU66" s="137"/>
      <c r="OVV66" s="137"/>
      <c r="OVW66" s="137"/>
      <c r="OVX66" s="137"/>
      <c r="OVY66" s="137"/>
      <c r="OVZ66" s="137"/>
      <c r="OWA66" s="137"/>
      <c r="OWB66" s="137"/>
      <c r="OWC66" s="137"/>
      <c r="OWD66" s="137"/>
      <c r="OWE66" s="137"/>
      <c r="OWF66" s="137"/>
      <c r="OWG66" s="137"/>
      <c r="OWH66" s="137"/>
      <c r="OWI66" s="137"/>
      <c r="OWJ66" s="137"/>
      <c r="OWK66" s="137"/>
      <c r="OWL66" s="137"/>
      <c r="OWM66" s="137"/>
      <c r="OWN66" s="137"/>
      <c r="OWO66" s="137"/>
      <c r="OWP66" s="137"/>
      <c r="OWQ66" s="137"/>
      <c r="OWR66" s="137"/>
      <c r="OWS66" s="137"/>
      <c r="OWT66" s="137"/>
      <c r="OWU66" s="137"/>
      <c r="OWV66" s="137"/>
      <c r="OWW66" s="137"/>
      <c r="OWX66" s="137"/>
      <c r="OWY66" s="137"/>
      <c r="OWZ66" s="137"/>
      <c r="OXA66" s="137"/>
      <c r="OXB66" s="137"/>
      <c r="OXC66" s="137"/>
      <c r="OXD66" s="137"/>
      <c r="OXE66" s="137"/>
      <c r="OXF66" s="137"/>
      <c r="OXG66" s="137"/>
      <c r="OXH66" s="137"/>
      <c r="OXI66" s="137"/>
      <c r="OXJ66" s="137"/>
      <c r="OXK66" s="137"/>
      <c r="OXL66" s="137"/>
      <c r="OXM66" s="137"/>
      <c r="OXN66" s="137"/>
      <c r="OXO66" s="137"/>
      <c r="OXP66" s="137"/>
      <c r="OXQ66" s="137"/>
      <c r="OXR66" s="137"/>
      <c r="OXS66" s="137"/>
      <c r="OXT66" s="137"/>
      <c r="OXU66" s="137"/>
      <c r="OXV66" s="137"/>
      <c r="OXW66" s="137"/>
      <c r="OXX66" s="137"/>
      <c r="OXY66" s="137"/>
      <c r="OXZ66" s="137"/>
      <c r="OYA66" s="137"/>
      <c r="OYB66" s="137"/>
      <c r="OYC66" s="137"/>
      <c r="OYD66" s="137"/>
      <c r="OYE66" s="137"/>
      <c r="OYF66" s="137"/>
      <c r="OYG66" s="137"/>
      <c r="OYH66" s="137"/>
      <c r="OYI66" s="137"/>
      <c r="OYJ66" s="137"/>
      <c r="OYK66" s="137"/>
      <c r="OYL66" s="137"/>
      <c r="OYM66" s="137"/>
      <c r="OYN66" s="137"/>
      <c r="OYO66" s="137"/>
      <c r="OYP66" s="137"/>
      <c r="OYQ66" s="137"/>
      <c r="OYR66" s="137"/>
      <c r="OYS66" s="137"/>
      <c r="OYT66" s="137"/>
      <c r="OYU66" s="137"/>
      <c r="OYV66" s="137"/>
      <c r="OYW66" s="137"/>
      <c r="OYX66" s="137"/>
      <c r="OYY66" s="137"/>
      <c r="OYZ66" s="137"/>
      <c r="OZA66" s="137"/>
      <c r="OZB66" s="137"/>
      <c r="OZC66" s="137"/>
      <c r="OZD66" s="137"/>
      <c r="OZE66" s="137"/>
      <c r="OZF66" s="137"/>
      <c r="OZG66" s="137"/>
      <c r="OZH66" s="137"/>
      <c r="OZI66" s="137"/>
      <c r="OZJ66" s="137"/>
      <c r="OZK66" s="137"/>
      <c r="OZL66" s="137"/>
      <c r="OZM66" s="137"/>
      <c r="OZN66" s="137"/>
      <c r="OZO66" s="137"/>
      <c r="OZP66" s="137"/>
      <c r="OZQ66" s="137"/>
      <c r="OZR66" s="137"/>
      <c r="OZS66" s="137"/>
      <c r="OZT66" s="137"/>
      <c r="OZU66" s="137"/>
      <c r="OZV66" s="137"/>
      <c r="OZW66" s="137"/>
      <c r="OZX66" s="137"/>
      <c r="OZY66" s="137"/>
      <c r="OZZ66" s="137"/>
      <c r="PAA66" s="137"/>
      <c r="PAB66" s="137"/>
      <c r="PAC66" s="137"/>
      <c r="PAD66" s="137"/>
      <c r="PAE66" s="137"/>
      <c r="PAF66" s="137"/>
      <c r="PAG66" s="137"/>
      <c r="PAH66" s="137"/>
      <c r="PAI66" s="137"/>
      <c r="PAJ66" s="137"/>
      <c r="PAK66" s="137"/>
      <c r="PAL66" s="137"/>
      <c r="PAM66" s="137"/>
      <c r="PAN66" s="137"/>
      <c r="PAO66" s="137"/>
      <c r="PAP66" s="137"/>
      <c r="PAQ66" s="137"/>
      <c r="PAR66" s="137"/>
      <c r="PAS66" s="137"/>
      <c r="PAT66" s="137"/>
      <c r="PAU66" s="137"/>
      <c r="PAV66" s="137"/>
      <c r="PAW66" s="137"/>
      <c r="PAX66" s="137"/>
      <c r="PAY66" s="137"/>
      <c r="PAZ66" s="137"/>
      <c r="PBA66" s="137"/>
      <c r="PBB66" s="137"/>
      <c r="PBC66" s="137"/>
      <c r="PBD66" s="137"/>
      <c r="PBE66" s="137"/>
      <c r="PBF66" s="137"/>
      <c r="PBG66" s="137"/>
      <c r="PBH66" s="137"/>
      <c r="PBI66" s="137"/>
      <c r="PBJ66" s="137"/>
      <c r="PBK66" s="137"/>
      <c r="PBL66" s="137"/>
      <c r="PBM66" s="137"/>
      <c r="PBN66" s="137"/>
      <c r="PBO66" s="137"/>
      <c r="PBP66" s="137"/>
      <c r="PBQ66" s="137"/>
      <c r="PBR66" s="137"/>
      <c r="PBS66" s="137"/>
      <c r="PBT66" s="137"/>
      <c r="PBU66" s="137"/>
      <c r="PBV66" s="137"/>
      <c r="PBW66" s="137"/>
      <c r="PBX66" s="137"/>
      <c r="PBY66" s="137"/>
      <c r="PBZ66" s="137"/>
      <c r="PCA66" s="137"/>
      <c r="PCB66" s="137"/>
      <c r="PCC66" s="137"/>
      <c r="PCD66" s="137"/>
      <c r="PCE66" s="137"/>
      <c r="PCF66" s="137"/>
      <c r="PCG66" s="137"/>
      <c r="PCH66" s="137"/>
      <c r="PCI66" s="137"/>
      <c r="PCJ66" s="137"/>
      <c r="PCK66" s="137"/>
      <c r="PCL66" s="137"/>
      <c r="PCM66" s="137"/>
      <c r="PCN66" s="137"/>
      <c r="PCO66" s="137"/>
      <c r="PCP66" s="137"/>
      <c r="PCQ66" s="137"/>
      <c r="PCR66" s="137"/>
      <c r="PCS66" s="137"/>
      <c r="PCT66" s="137"/>
      <c r="PCU66" s="137"/>
      <c r="PCV66" s="137"/>
      <c r="PCW66" s="137"/>
      <c r="PCX66" s="137"/>
      <c r="PCY66" s="137"/>
      <c r="PCZ66" s="137"/>
      <c r="PDA66" s="137"/>
      <c r="PDB66" s="137"/>
      <c r="PDC66" s="137"/>
      <c r="PDD66" s="137"/>
      <c r="PDE66" s="137"/>
      <c r="PDF66" s="137"/>
      <c r="PDG66" s="137"/>
      <c r="PDH66" s="137"/>
      <c r="PDI66" s="137"/>
      <c r="PDJ66" s="137"/>
      <c r="PDK66" s="137"/>
      <c r="PDL66" s="137"/>
      <c r="PDM66" s="137"/>
      <c r="PDN66" s="137"/>
      <c r="PDO66" s="137"/>
      <c r="PDP66" s="137"/>
      <c r="PDQ66" s="137"/>
      <c r="PDR66" s="137"/>
      <c r="PDS66" s="137"/>
      <c r="PDT66" s="137"/>
      <c r="PDU66" s="137"/>
      <c r="PDV66" s="137"/>
      <c r="PDW66" s="137"/>
      <c r="PDX66" s="137"/>
      <c r="PDY66" s="137"/>
      <c r="PDZ66" s="137"/>
      <c r="PEA66" s="137"/>
      <c r="PEB66" s="137"/>
      <c r="PEC66" s="137"/>
      <c r="PED66" s="137"/>
      <c r="PEE66" s="137"/>
      <c r="PEF66" s="137"/>
      <c r="PEG66" s="137"/>
      <c r="PEH66" s="137"/>
      <c r="PEI66" s="137"/>
      <c r="PEJ66" s="137"/>
      <c r="PEK66" s="137"/>
      <c r="PEL66" s="137"/>
      <c r="PEM66" s="137"/>
      <c r="PEN66" s="137"/>
      <c r="PEO66" s="137"/>
      <c r="PEP66" s="137"/>
      <c r="PEQ66" s="137"/>
      <c r="PER66" s="137"/>
      <c r="PES66" s="137"/>
      <c r="PET66" s="137"/>
      <c r="PEU66" s="137"/>
      <c r="PEV66" s="137"/>
      <c r="PEW66" s="137"/>
      <c r="PEX66" s="137"/>
      <c r="PEY66" s="137"/>
      <c r="PEZ66" s="137"/>
      <c r="PFA66" s="137"/>
      <c r="PFB66" s="137"/>
      <c r="PFC66" s="137"/>
      <c r="PFD66" s="137"/>
      <c r="PFE66" s="137"/>
      <c r="PFF66" s="137"/>
      <c r="PFG66" s="137"/>
      <c r="PFH66" s="137"/>
      <c r="PFI66" s="137"/>
      <c r="PFJ66" s="137"/>
      <c r="PFK66" s="137"/>
      <c r="PFL66" s="137"/>
      <c r="PFM66" s="137"/>
      <c r="PFN66" s="137"/>
      <c r="PFO66" s="137"/>
      <c r="PFP66" s="137"/>
      <c r="PFQ66" s="137"/>
      <c r="PFR66" s="137"/>
      <c r="PFS66" s="137"/>
      <c r="PFT66" s="137"/>
      <c r="PFU66" s="137"/>
      <c r="PFV66" s="137"/>
      <c r="PFW66" s="137"/>
      <c r="PFX66" s="137"/>
      <c r="PFY66" s="137"/>
      <c r="PFZ66" s="137"/>
      <c r="PGA66" s="137"/>
      <c r="PGB66" s="137"/>
      <c r="PGC66" s="137"/>
      <c r="PGD66" s="137"/>
      <c r="PGE66" s="137"/>
      <c r="PGF66" s="137"/>
      <c r="PGG66" s="137"/>
      <c r="PGH66" s="137"/>
      <c r="PGI66" s="137"/>
      <c r="PGJ66" s="137"/>
      <c r="PGK66" s="137"/>
      <c r="PGL66" s="137"/>
      <c r="PGM66" s="137"/>
      <c r="PGN66" s="137"/>
      <c r="PGO66" s="137"/>
      <c r="PGP66" s="137"/>
      <c r="PGQ66" s="137"/>
      <c r="PGR66" s="137"/>
      <c r="PGS66" s="137"/>
      <c r="PGT66" s="137"/>
      <c r="PGU66" s="137"/>
      <c r="PGV66" s="137"/>
      <c r="PGW66" s="137"/>
      <c r="PGX66" s="137"/>
      <c r="PGY66" s="137"/>
      <c r="PGZ66" s="137"/>
      <c r="PHA66" s="137"/>
      <c r="PHB66" s="137"/>
      <c r="PHC66" s="137"/>
      <c r="PHD66" s="137"/>
      <c r="PHE66" s="137"/>
      <c r="PHF66" s="137"/>
      <c r="PHG66" s="137"/>
      <c r="PHH66" s="137"/>
      <c r="PHI66" s="137"/>
      <c r="PHJ66" s="137"/>
      <c r="PHK66" s="137"/>
      <c r="PHL66" s="137"/>
      <c r="PHM66" s="137"/>
      <c r="PHN66" s="137"/>
      <c r="PHO66" s="137"/>
      <c r="PHP66" s="137"/>
      <c r="PHQ66" s="137"/>
      <c r="PHR66" s="137"/>
      <c r="PHS66" s="137"/>
      <c r="PHT66" s="137"/>
      <c r="PHU66" s="137"/>
      <c r="PHV66" s="137"/>
      <c r="PHW66" s="137"/>
      <c r="PHX66" s="137"/>
      <c r="PHY66" s="137"/>
      <c r="PHZ66" s="137"/>
      <c r="PIA66" s="137"/>
      <c r="PIB66" s="137"/>
      <c r="PIC66" s="137"/>
      <c r="PID66" s="137"/>
      <c r="PIE66" s="137"/>
      <c r="PIF66" s="137"/>
      <c r="PIG66" s="137"/>
      <c r="PIH66" s="137"/>
      <c r="PII66" s="137"/>
      <c r="PIJ66" s="137"/>
      <c r="PIK66" s="137"/>
      <c r="PIL66" s="137"/>
      <c r="PIM66" s="137"/>
      <c r="PIN66" s="137"/>
      <c r="PIO66" s="137"/>
      <c r="PIP66" s="137"/>
      <c r="PIQ66" s="137"/>
      <c r="PIR66" s="137"/>
      <c r="PIS66" s="137"/>
      <c r="PIT66" s="137"/>
      <c r="PIU66" s="137"/>
      <c r="PIV66" s="137"/>
      <c r="PIW66" s="137"/>
      <c r="PIX66" s="137"/>
      <c r="PIY66" s="137"/>
      <c r="PIZ66" s="137"/>
      <c r="PJA66" s="137"/>
      <c r="PJB66" s="137"/>
      <c r="PJC66" s="137"/>
      <c r="PJD66" s="137"/>
      <c r="PJE66" s="137"/>
      <c r="PJF66" s="137"/>
      <c r="PJG66" s="137"/>
      <c r="PJH66" s="137"/>
      <c r="PJI66" s="137"/>
      <c r="PJJ66" s="137"/>
      <c r="PJK66" s="137"/>
      <c r="PJL66" s="137"/>
      <c r="PJM66" s="137"/>
      <c r="PJN66" s="137"/>
      <c r="PJO66" s="137"/>
      <c r="PJP66" s="137"/>
      <c r="PJQ66" s="137"/>
      <c r="PJR66" s="137"/>
      <c r="PJS66" s="137"/>
      <c r="PJT66" s="137"/>
      <c r="PJU66" s="137"/>
      <c r="PJV66" s="137"/>
      <c r="PJW66" s="137"/>
      <c r="PJX66" s="137"/>
      <c r="PJY66" s="137"/>
      <c r="PJZ66" s="137"/>
      <c r="PKA66" s="137"/>
      <c r="PKB66" s="137"/>
      <c r="PKC66" s="137"/>
      <c r="PKD66" s="137"/>
      <c r="PKE66" s="137"/>
      <c r="PKF66" s="137"/>
      <c r="PKG66" s="137"/>
      <c r="PKH66" s="137"/>
      <c r="PKI66" s="137"/>
      <c r="PKJ66" s="137"/>
      <c r="PKK66" s="137"/>
      <c r="PKL66" s="137"/>
      <c r="PKM66" s="137"/>
      <c r="PKN66" s="137"/>
      <c r="PKO66" s="137"/>
      <c r="PKP66" s="137"/>
      <c r="PKQ66" s="137"/>
      <c r="PKR66" s="137"/>
      <c r="PKS66" s="137"/>
      <c r="PKT66" s="137"/>
      <c r="PKU66" s="137"/>
      <c r="PKV66" s="137"/>
      <c r="PKW66" s="137"/>
      <c r="PKX66" s="137"/>
      <c r="PKY66" s="137"/>
      <c r="PKZ66" s="137"/>
      <c r="PLA66" s="137"/>
      <c r="PLB66" s="137"/>
      <c r="PLC66" s="137"/>
      <c r="PLD66" s="137"/>
      <c r="PLE66" s="137"/>
      <c r="PLF66" s="137"/>
      <c r="PLG66" s="137"/>
      <c r="PLH66" s="137"/>
      <c r="PLI66" s="137"/>
      <c r="PLJ66" s="137"/>
      <c r="PLK66" s="137"/>
      <c r="PLL66" s="137"/>
      <c r="PLM66" s="137"/>
      <c r="PLN66" s="137"/>
      <c r="PLO66" s="137"/>
      <c r="PLP66" s="137"/>
      <c r="PLQ66" s="137"/>
      <c r="PLR66" s="137"/>
      <c r="PLS66" s="137"/>
      <c r="PLT66" s="137"/>
      <c r="PLU66" s="137"/>
      <c r="PLV66" s="137"/>
      <c r="PLW66" s="137"/>
      <c r="PLX66" s="137"/>
      <c r="PLY66" s="137"/>
      <c r="PLZ66" s="137"/>
      <c r="PMA66" s="137"/>
      <c r="PMB66" s="137"/>
      <c r="PMC66" s="137"/>
      <c r="PMD66" s="137"/>
      <c r="PME66" s="137"/>
      <c r="PMF66" s="137"/>
      <c r="PMG66" s="137"/>
      <c r="PMH66" s="137"/>
      <c r="PMI66" s="137"/>
      <c r="PMJ66" s="137"/>
      <c r="PMK66" s="137"/>
      <c r="PML66" s="137"/>
      <c r="PMM66" s="137"/>
      <c r="PMN66" s="137"/>
      <c r="PMO66" s="137"/>
      <c r="PMP66" s="137"/>
      <c r="PMQ66" s="137"/>
      <c r="PMR66" s="137"/>
      <c r="PMS66" s="137"/>
      <c r="PMT66" s="137"/>
      <c r="PMU66" s="137"/>
      <c r="PMV66" s="137"/>
      <c r="PMW66" s="137"/>
      <c r="PMX66" s="137"/>
      <c r="PMY66" s="137"/>
      <c r="PMZ66" s="137"/>
      <c r="PNA66" s="137"/>
      <c r="PNB66" s="137"/>
      <c r="PNC66" s="137"/>
      <c r="PND66" s="137"/>
      <c r="PNE66" s="137"/>
      <c r="PNF66" s="137"/>
      <c r="PNG66" s="137"/>
      <c r="PNH66" s="137"/>
      <c r="PNI66" s="137"/>
      <c r="PNJ66" s="137"/>
      <c r="PNK66" s="137"/>
      <c r="PNL66" s="137"/>
      <c r="PNM66" s="137"/>
      <c r="PNN66" s="137"/>
      <c r="PNO66" s="137"/>
      <c r="PNP66" s="137"/>
      <c r="PNQ66" s="137"/>
      <c r="PNR66" s="137"/>
      <c r="PNS66" s="137"/>
      <c r="PNT66" s="137"/>
      <c r="PNU66" s="137"/>
      <c r="PNV66" s="137"/>
      <c r="PNW66" s="137"/>
      <c r="PNX66" s="137"/>
      <c r="PNY66" s="137"/>
      <c r="PNZ66" s="137"/>
      <c r="POA66" s="137"/>
      <c r="POB66" s="137"/>
      <c r="POC66" s="137"/>
      <c r="POD66" s="137"/>
      <c r="POE66" s="137"/>
      <c r="POF66" s="137"/>
      <c r="POG66" s="137"/>
      <c r="POH66" s="137"/>
      <c r="POI66" s="137"/>
      <c r="POJ66" s="137"/>
      <c r="POK66" s="137"/>
      <c r="POL66" s="137"/>
      <c r="POM66" s="137"/>
      <c r="PON66" s="137"/>
      <c r="POO66" s="137"/>
      <c r="POP66" s="137"/>
      <c r="POQ66" s="137"/>
      <c r="POR66" s="137"/>
      <c r="POS66" s="137"/>
      <c r="POT66" s="137"/>
      <c r="POU66" s="137"/>
      <c r="POV66" s="137"/>
      <c r="POW66" s="137"/>
      <c r="POX66" s="137"/>
      <c r="POY66" s="137"/>
      <c r="POZ66" s="137"/>
      <c r="PPA66" s="137"/>
      <c r="PPB66" s="137"/>
      <c r="PPC66" s="137"/>
      <c r="PPD66" s="137"/>
      <c r="PPE66" s="137"/>
      <c r="PPF66" s="137"/>
      <c r="PPG66" s="137"/>
      <c r="PPH66" s="137"/>
      <c r="PPI66" s="137"/>
      <c r="PPJ66" s="137"/>
      <c r="PPK66" s="137"/>
      <c r="PPL66" s="137"/>
      <c r="PPM66" s="137"/>
      <c r="PPN66" s="137"/>
      <c r="PPO66" s="137"/>
      <c r="PPP66" s="137"/>
      <c r="PPQ66" s="137"/>
      <c r="PPR66" s="137"/>
      <c r="PPS66" s="137"/>
      <c r="PPT66" s="137"/>
      <c r="PPU66" s="137"/>
      <c r="PPV66" s="137"/>
      <c r="PPW66" s="137"/>
      <c r="PPX66" s="137"/>
      <c r="PPY66" s="137"/>
      <c r="PPZ66" s="137"/>
      <c r="PQA66" s="137"/>
      <c r="PQB66" s="137"/>
      <c r="PQC66" s="137"/>
      <c r="PQD66" s="137"/>
      <c r="PQE66" s="137"/>
      <c r="PQF66" s="137"/>
      <c r="PQG66" s="137"/>
      <c r="PQH66" s="137"/>
      <c r="PQI66" s="137"/>
      <c r="PQJ66" s="137"/>
      <c r="PQK66" s="137"/>
      <c r="PQL66" s="137"/>
      <c r="PQM66" s="137"/>
      <c r="PQN66" s="137"/>
      <c r="PQO66" s="137"/>
      <c r="PQP66" s="137"/>
      <c r="PQQ66" s="137"/>
      <c r="PQR66" s="137"/>
      <c r="PQS66" s="137"/>
      <c r="PQT66" s="137"/>
      <c r="PQU66" s="137"/>
      <c r="PQV66" s="137"/>
      <c r="PQW66" s="137"/>
      <c r="PQX66" s="137"/>
      <c r="PQY66" s="137"/>
      <c r="PQZ66" s="137"/>
      <c r="PRA66" s="137"/>
      <c r="PRB66" s="137"/>
      <c r="PRC66" s="137"/>
      <c r="PRD66" s="137"/>
      <c r="PRE66" s="137"/>
      <c r="PRF66" s="137"/>
      <c r="PRG66" s="137"/>
      <c r="PRH66" s="137"/>
      <c r="PRI66" s="137"/>
      <c r="PRJ66" s="137"/>
      <c r="PRK66" s="137"/>
      <c r="PRL66" s="137"/>
      <c r="PRM66" s="137"/>
      <c r="PRN66" s="137"/>
      <c r="PRO66" s="137"/>
      <c r="PRP66" s="137"/>
      <c r="PRQ66" s="137"/>
      <c r="PRR66" s="137"/>
      <c r="PRS66" s="137"/>
      <c r="PRT66" s="137"/>
      <c r="PRU66" s="137"/>
      <c r="PRV66" s="137"/>
      <c r="PRW66" s="137"/>
      <c r="PRX66" s="137"/>
      <c r="PRY66" s="137"/>
      <c r="PRZ66" s="137"/>
      <c r="PSA66" s="137"/>
      <c r="PSB66" s="137"/>
      <c r="PSC66" s="137"/>
      <c r="PSD66" s="137"/>
      <c r="PSE66" s="137"/>
      <c r="PSF66" s="137"/>
      <c r="PSG66" s="137"/>
      <c r="PSH66" s="137"/>
      <c r="PSI66" s="137"/>
      <c r="PSJ66" s="137"/>
      <c r="PSK66" s="137"/>
      <c r="PSL66" s="137"/>
      <c r="PSM66" s="137"/>
      <c r="PSN66" s="137"/>
      <c r="PSO66" s="137"/>
      <c r="PSP66" s="137"/>
      <c r="PSQ66" s="137"/>
      <c r="PSR66" s="137"/>
      <c r="PSS66" s="137"/>
      <c r="PST66" s="137"/>
      <c r="PSU66" s="137"/>
      <c r="PSV66" s="137"/>
      <c r="PSW66" s="137"/>
      <c r="PSX66" s="137"/>
      <c r="PSY66" s="137"/>
      <c r="PSZ66" s="137"/>
      <c r="PTA66" s="137"/>
      <c r="PTB66" s="137"/>
      <c r="PTC66" s="137"/>
      <c r="PTD66" s="137"/>
      <c r="PTE66" s="137"/>
      <c r="PTF66" s="137"/>
      <c r="PTG66" s="137"/>
      <c r="PTH66" s="137"/>
      <c r="PTI66" s="137"/>
      <c r="PTJ66" s="137"/>
      <c r="PTK66" s="137"/>
      <c r="PTL66" s="137"/>
      <c r="PTM66" s="137"/>
      <c r="PTN66" s="137"/>
      <c r="PTO66" s="137"/>
      <c r="PTP66" s="137"/>
      <c r="PTQ66" s="137"/>
      <c r="PTR66" s="137"/>
      <c r="PTS66" s="137"/>
      <c r="PTT66" s="137"/>
      <c r="PTU66" s="137"/>
      <c r="PTV66" s="137"/>
      <c r="PTW66" s="137"/>
      <c r="PTX66" s="137"/>
      <c r="PTY66" s="137"/>
      <c r="PTZ66" s="137"/>
      <c r="PUA66" s="137"/>
      <c r="PUB66" s="137"/>
      <c r="PUC66" s="137"/>
      <c r="PUD66" s="137"/>
      <c r="PUE66" s="137"/>
      <c r="PUF66" s="137"/>
      <c r="PUG66" s="137"/>
      <c r="PUH66" s="137"/>
      <c r="PUI66" s="137"/>
      <c r="PUJ66" s="137"/>
      <c r="PUK66" s="137"/>
      <c r="PUL66" s="137"/>
      <c r="PUM66" s="137"/>
      <c r="PUN66" s="137"/>
      <c r="PUO66" s="137"/>
      <c r="PUP66" s="137"/>
      <c r="PUQ66" s="137"/>
      <c r="PUR66" s="137"/>
      <c r="PUS66" s="137"/>
      <c r="PUT66" s="137"/>
      <c r="PUU66" s="137"/>
      <c r="PUV66" s="137"/>
      <c r="PUW66" s="137"/>
      <c r="PUX66" s="137"/>
      <c r="PUY66" s="137"/>
      <c r="PUZ66" s="137"/>
      <c r="PVA66" s="137"/>
      <c r="PVB66" s="137"/>
      <c r="PVC66" s="137"/>
      <c r="PVD66" s="137"/>
      <c r="PVE66" s="137"/>
      <c r="PVF66" s="137"/>
      <c r="PVG66" s="137"/>
      <c r="PVH66" s="137"/>
      <c r="PVI66" s="137"/>
      <c r="PVJ66" s="137"/>
      <c r="PVK66" s="137"/>
      <c r="PVL66" s="137"/>
      <c r="PVM66" s="137"/>
      <c r="PVN66" s="137"/>
      <c r="PVO66" s="137"/>
      <c r="PVP66" s="137"/>
      <c r="PVQ66" s="137"/>
      <c r="PVR66" s="137"/>
      <c r="PVS66" s="137"/>
      <c r="PVT66" s="137"/>
      <c r="PVU66" s="137"/>
      <c r="PVV66" s="137"/>
      <c r="PVW66" s="137"/>
      <c r="PVX66" s="137"/>
      <c r="PVY66" s="137"/>
      <c r="PVZ66" s="137"/>
      <c r="PWA66" s="137"/>
      <c r="PWB66" s="137"/>
      <c r="PWC66" s="137"/>
      <c r="PWD66" s="137"/>
      <c r="PWE66" s="137"/>
      <c r="PWF66" s="137"/>
      <c r="PWG66" s="137"/>
      <c r="PWH66" s="137"/>
      <c r="PWI66" s="137"/>
      <c r="PWJ66" s="137"/>
      <c r="PWK66" s="137"/>
      <c r="PWL66" s="137"/>
      <c r="PWM66" s="137"/>
      <c r="PWN66" s="137"/>
      <c r="PWO66" s="137"/>
      <c r="PWP66" s="137"/>
      <c r="PWQ66" s="137"/>
      <c r="PWR66" s="137"/>
      <c r="PWS66" s="137"/>
      <c r="PWT66" s="137"/>
      <c r="PWU66" s="137"/>
      <c r="PWV66" s="137"/>
      <c r="PWW66" s="137"/>
      <c r="PWX66" s="137"/>
      <c r="PWY66" s="137"/>
      <c r="PWZ66" s="137"/>
      <c r="PXA66" s="137"/>
      <c r="PXB66" s="137"/>
      <c r="PXC66" s="137"/>
      <c r="PXD66" s="137"/>
      <c r="PXE66" s="137"/>
      <c r="PXF66" s="137"/>
      <c r="PXG66" s="137"/>
      <c r="PXH66" s="137"/>
      <c r="PXI66" s="137"/>
      <c r="PXJ66" s="137"/>
      <c r="PXK66" s="137"/>
      <c r="PXL66" s="137"/>
      <c r="PXM66" s="137"/>
      <c r="PXN66" s="137"/>
      <c r="PXO66" s="137"/>
      <c r="PXP66" s="137"/>
      <c r="PXQ66" s="137"/>
      <c r="PXR66" s="137"/>
      <c r="PXS66" s="137"/>
      <c r="PXT66" s="137"/>
      <c r="PXU66" s="137"/>
      <c r="PXV66" s="137"/>
      <c r="PXW66" s="137"/>
      <c r="PXX66" s="137"/>
      <c r="PXY66" s="137"/>
      <c r="PXZ66" s="137"/>
      <c r="PYA66" s="137"/>
      <c r="PYB66" s="137"/>
      <c r="PYC66" s="137"/>
      <c r="PYD66" s="137"/>
      <c r="PYE66" s="137"/>
      <c r="PYF66" s="137"/>
      <c r="PYG66" s="137"/>
      <c r="PYH66" s="137"/>
      <c r="PYI66" s="137"/>
      <c r="PYJ66" s="137"/>
      <c r="PYK66" s="137"/>
      <c r="PYL66" s="137"/>
      <c r="PYM66" s="137"/>
      <c r="PYN66" s="137"/>
      <c r="PYO66" s="137"/>
      <c r="PYP66" s="137"/>
      <c r="PYQ66" s="137"/>
      <c r="PYR66" s="137"/>
      <c r="PYS66" s="137"/>
      <c r="PYT66" s="137"/>
      <c r="PYU66" s="137"/>
      <c r="PYV66" s="137"/>
      <c r="PYW66" s="137"/>
      <c r="PYX66" s="137"/>
      <c r="PYY66" s="137"/>
      <c r="PYZ66" s="137"/>
      <c r="PZA66" s="137"/>
      <c r="PZB66" s="137"/>
      <c r="PZC66" s="137"/>
      <c r="PZD66" s="137"/>
      <c r="PZE66" s="137"/>
      <c r="PZF66" s="137"/>
      <c r="PZG66" s="137"/>
      <c r="PZH66" s="137"/>
      <c r="PZI66" s="137"/>
      <c r="PZJ66" s="137"/>
      <c r="PZK66" s="137"/>
      <c r="PZL66" s="137"/>
      <c r="PZM66" s="137"/>
      <c r="PZN66" s="137"/>
      <c r="PZO66" s="137"/>
      <c r="PZP66" s="137"/>
      <c r="PZQ66" s="137"/>
      <c r="PZR66" s="137"/>
      <c r="PZS66" s="137"/>
      <c r="PZT66" s="137"/>
      <c r="PZU66" s="137"/>
      <c r="PZV66" s="137"/>
      <c r="PZW66" s="137"/>
      <c r="PZX66" s="137"/>
      <c r="PZY66" s="137"/>
      <c r="PZZ66" s="137"/>
      <c r="QAA66" s="137"/>
      <c r="QAB66" s="137"/>
      <c r="QAC66" s="137"/>
      <c r="QAD66" s="137"/>
      <c r="QAE66" s="137"/>
      <c r="QAF66" s="137"/>
      <c r="QAG66" s="137"/>
      <c r="QAH66" s="137"/>
      <c r="QAI66" s="137"/>
      <c r="QAJ66" s="137"/>
      <c r="QAK66" s="137"/>
      <c r="QAL66" s="137"/>
      <c r="QAM66" s="137"/>
      <c r="QAN66" s="137"/>
      <c r="QAO66" s="137"/>
      <c r="QAP66" s="137"/>
      <c r="QAQ66" s="137"/>
      <c r="QAR66" s="137"/>
      <c r="QAS66" s="137"/>
      <c r="QAT66" s="137"/>
      <c r="QAU66" s="137"/>
      <c r="QAV66" s="137"/>
      <c r="QAW66" s="137"/>
      <c r="QAX66" s="137"/>
      <c r="QAY66" s="137"/>
      <c r="QAZ66" s="137"/>
      <c r="QBA66" s="137"/>
      <c r="QBB66" s="137"/>
      <c r="QBC66" s="137"/>
      <c r="QBD66" s="137"/>
      <c r="QBE66" s="137"/>
      <c r="QBF66" s="137"/>
      <c r="QBG66" s="137"/>
      <c r="QBH66" s="137"/>
      <c r="QBI66" s="137"/>
      <c r="QBJ66" s="137"/>
      <c r="QBK66" s="137"/>
      <c r="QBL66" s="137"/>
      <c r="QBM66" s="137"/>
      <c r="QBN66" s="137"/>
      <c r="QBO66" s="137"/>
      <c r="QBP66" s="137"/>
      <c r="QBQ66" s="137"/>
      <c r="QBR66" s="137"/>
      <c r="QBS66" s="137"/>
      <c r="QBT66" s="137"/>
      <c r="QBU66" s="137"/>
      <c r="QBV66" s="137"/>
      <c r="QBW66" s="137"/>
      <c r="QBX66" s="137"/>
      <c r="QBY66" s="137"/>
      <c r="QBZ66" s="137"/>
      <c r="QCA66" s="137"/>
      <c r="QCB66" s="137"/>
      <c r="QCC66" s="137"/>
      <c r="QCD66" s="137"/>
      <c r="QCE66" s="137"/>
      <c r="QCF66" s="137"/>
      <c r="QCG66" s="137"/>
      <c r="QCH66" s="137"/>
      <c r="QCI66" s="137"/>
      <c r="QCJ66" s="137"/>
      <c r="QCK66" s="137"/>
      <c r="QCL66" s="137"/>
      <c r="QCM66" s="137"/>
      <c r="QCN66" s="137"/>
      <c r="QCO66" s="137"/>
      <c r="QCP66" s="137"/>
      <c r="QCQ66" s="137"/>
      <c r="QCR66" s="137"/>
      <c r="QCS66" s="137"/>
      <c r="QCT66" s="137"/>
      <c r="QCU66" s="137"/>
      <c r="QCV66" s="137"/>
      <c r="QCW66" s="137"/>
      <c r="QCX66" s="137"/>
      <c r="QCY66" s="137"/>
      <c r="QCZ66" s="137"/>
      <c r="QDA66" s="137"/>
      <c r="QDB66" s="137"/>
      <c r="QDC66" s="137"/>
      <c r="QDD66" s="137"/>
      <c r="QDE66" s="137"/>
      <c r="QDF66" s="137"/>
      <c r="QDG66" s="137"/>
      <c r="QDH66" s="137"/>
      <c r="QDI66" s="137"/>
      <c r="QDJ66" s="137"/>
      <c r="QDK66" s="137"/>
      <c r="QDL66" s="137"/>
      <c r="QDM66" s="137"/>
      <c r="QDN66" s="137"/>
      <c r="QDO66" s="137"/>
      <c r="QDP66" s="137"/>
      <c r="QDQ66" s="137"/>
      <c r="QDR66" s="137"/>
      <c r="QDS66" s="137"/>
      <c r="QDT66" s="137"/>
      <c r="QDU66" s="137"/>
      <c r="QDV66" s="137"/>
      <c r="QDW66" s="137"/>
      <c r="QDX66" s="137"/>
      <c r="QDY66" s="137"/>
      <c r="QDZ66" s="137"/>
      <c r="QEA66" s="137"/>
      <c r="QEB66" s="137"/>
      <c r="QEC66" s="137"/>
      <c r="QED66" s="137"/>
      <c r="QEE66" s="137"/>
      <c r="QEF66" s="137"/>
      <c r="QEG66" s="137"/>
      <c r="QEH66" s="137"/>
      <c r="QEI66" s="137"/>
      <c r="QEJ66" s="137"/>
      <c r="QEK66" s="137"/>
      <c r="QEL66" s="137"/>
      <c r="QEM66" s="137"/>
      <c r="QEN66" s="137"/>
      <c r="QEO66" s="137"/>
      <c r="QEP66" s="137"/>
      <c r="QEQ66" s="137"/>
      <c r="QER66" s="137"/>
      <c r="QES66" s="137"/>
      <c r="QET66" s="137"/>
      <c r="QEU66" s="137"/>
      <c r="QEV66" s="137"/>
      <c r="QEW66" s="137"/>
      <c r="QEX66" s="137"/>
      <c r="QEY66" s="137"/>
      <c r="QEZ66" s="137"/>
      <c r="QFA66" s="137"/>
      <c r="QFB66" s="137"/>
      <c r="QFC66" s="137"/>
      <c r="QFD66" s="137"/>
      <c r="QFE66" s="137"/>
      <c r="QFF66" s="137"/>
      <c r="QFG66" s="137"/>
      <c r="QFH66" s="137"/>
      <c r="QFI66" s="137"/>
      <c r="QFJ66" s="137"/>
      <c r="QFK66" s="137"/>
      <c r="QFL66" s="137"/>
      <c r="QFM66" s="137"/>
      <c r="QFN66" s="137"/>
      <c r="QFO66" s="137"/>
      <c r="QFP66" s="137"/>
      <c r="QFQ66" s="137"/>
      <c r="QFR66" s="137"/>
      <c r="QFS66" s="137"/>
      <c r="QFT66" s="137"/>
      <c r="QFU66" s="137"/>
      <c r="QFV66" s="137"/>
      <c r="QFW66" s="137"/>
      <c r="QFX66" s="137"/>
      <c r="QFY66" s="137"/>
      <c r="QFZ66" s="137"/>
      <c r="QGA66" s="137"/>
      <c r="QGB66" s="137"/>
      <c r="QGC66" s="137"/>
      <c r="QGD66" s="137"/>
      <c r="QGE66" s="137"/>
      <c r="QGF66" s="137"/>
      <c r="QGG66" s="137"/>
      <c r="QGH66" s="137"/>
      <c r="QGI66" s="137"/>
      <c r="QGJ66" s="137"/>
      <c r="QGK66" s="137"/>
      <c r="QGL66" s="137"/>
      <c r="QGM66" s="137"/>
      <c r="QGN66" s="137"/>
      <c r="QGO66" s="137"/>
      <c r="QGP66" s="137"/>
      <c r="QGQ66" s="137"/>
      <c r="QGR66" s="137"/>
      <c r="QGS66" s="137"/>
      <c r="QGT66" s="137"/>
      <c r="QGU66" s="137"/>
      <c r="QGV66" s="137"/>
      <c r="QGW66" s="137"/>
      <c r="QGX66" s="137"/>
      <c r="QGY66" s="137"/>
      <c r="QGZ66" s="137"/>
      <c r="QHA66" s="137"/>
      <c r="QHB66" s="137"/>
      <c r="QHC66" s="137"/>
      <c r="QHD66" s="137"/>
      <c r="QHE66" s="137"/>
      <c r="QHF66" s="137"/>
      <c r="QHG66" s="137"/>
      <c r="QHH66" s="137"/>
      <c r="QHI66" s="137"/>
      <c r="QHJ66" s="137"/>
      <c r="QHK66" s="137"/>
      <c r="QHL66" s="137"/>
      <c r="QHM66" s="137"/>
      <c r="QHN66" s="137"/>
      <c r="QHO66" s="137"/>
      <c r="QHP66" s="137"/>
      <c r="QHQ66" s="137"/>
      <c r="QHR66" s="137"/>
      <c r="QHS66" s="137"/>
      <c r="QHT66" s="137"/>
      <c r="QHU66" s="137"/>
      <c r="QHV66" s="137"/>
      <c r="QHW66" s="137"/>
      <c r="QHX66" s="137"/>
      <c r="QHY66" s="137"/>
      <c r="QHZ66" s="137"/>
      <c r="QIA66" s="137"/>
      <c r="QIB66" s="137"/>
      <c r="QIC66" s="137"/>
      <c r="QID66" s="137"/>
      <c r="QIE66" s="137"/>
      <c r="QIF66" s="137"/>
      <c r="QIG66" s="137"/>
      <c r="QIH66" s="137"/>
      <c r="QII66" s="137"/>
      <c r="QIJ66" s="137"/>
      <c r="QIK66" s="137"/>
      <c r="QIL66" s="137"/>
      <c r="QIM66" s="137"/>
      <c r="QIN66" s="137"/>
      <c r="QIO66" s="137"/>
      <c r="QIP66" s="137"/>
      <c r="QIQ66" s="137"/>
      <c r="QIR66" s="137"/>
      <c r="QIS66" s="137"/>
      <c r="QIT66" s="137"/>
      <c r="QIU66" s="137"/>
      <c r="QIV66" s="137"/>
      <c r="QIW66" s="137"/>
      <c r="QIX66" s="137"/>
      <c r="QIY66" s="137"/>
      <c r="QIZ66" s="137"/>
      <c r="QJA66" s="137"/>
      <c r="QJB66" s="137"/>
      <c r="QJC66" s="137"/>
      <c r="QJD66" s="137"/>
      <c r="QJE66" s="137"/>
      <c r="QJF66" s="137"/>
      <c r="QJG66" s="137"/>
      <c r="QJH66" s="137"/>
      <c r="QJI66" s="137"/>
      <c r="QJJ66" s="137"/>
      <c r="QJK66" s="137"/>
      <c r="QJL66" s="137"/>
      <c r="QJM66" s="137"/>
      <c r="QJN66" s="137"/>
      <c r="QJO66" s="137"/>
      <c r="QJP66" s="137"/>
      <c r="QJQ66" s="137"/>
      <c r="QJR66" s="137"/>
      <c r="QJS66" s="137"/>
      <c r="QJT66" s="137"/>
      <c r="QJU66" s="137"/>
      <c r="QJV66" s="137"/>
      <c r="QJW66" s="137"/>
      <c r="QJX66" s="137"/>
      <c r="QJY66" s="137"/>
      <c r="QJZ66" s="137"/>
      <c r="QKA66" s="137"/>
      <c r="QKB66" s="137"/>
      <c r="QKC66" s="137"/>
      <c r="QKD66" s="137"/>
      <c r="QKE66" s="137"/>
      <c r="QKF66" s="137"/>
      <c r="QKG66" s="137"/>
      <c r="QKH66" s="137"/>
      <c r="QKI66" s="137"/>
      <c r="QKJ66" s="137"/>
      <c r="QKK66" s="137"/>
      <c r="QKL66" s="137"/>
      <c r="QKM66" s="137"/>
      <c r="QKN66" s="137"/>
      <c r="QKO66" s="137"/>
      <c r="QKP66" s="137"/>
      <c r="QKQ66" s="137"/>
      <c r="QKR66" s="137"/>
      <c r="QKS66" s="137"/>
      <c r="QKT66" s="137"/>
      <c r="QKU66" s="137"/>
      <c r="QKV66" s="137"/>
      <c r="QKW66" s="137"/>
      <c r="QKX66" s="137"/>
      <c r="QKY66" s="137"/>
      <c r="QKZ66" s="137"/>
      <c r="QLA66" s="137"/>
      <c r="QLB66" s="137"/>
      <c r="QLC66" s="137"/>
      <c r="QLD66" s="137"/>
      <c r="QLE66" s="137"/>
      <c r="QLF66" s="137"/>
      <c r="QLG66" s="137"/>
      <c r="QLH66" s="137"/>
      <c r="QLI66" s="137"/>
      <c r="QLJ66" s="137"/>
      <c r="QLK66" s="137"/>
      <c r="QLL66" s="137"/>
      <c r="QLM66" s="137"/>
      <c r="QLN66" s="137"/>
      <c r="QLO66" s="137"/>
      <c r="QLP66" s="137"/>
      <c r="QLQ66" s="137"/>
      <c r="QLR66" s="137"/>
      <c r="QLS66" s="137"/>
      <c r="QLT66" s="137"/>
      <c r="QLU66" s="137"/>
      <c r="QLV66" s="137"/>
      <c r="QLW66" s="137"/>
      <c r="QLX66" s="137"/>
      <c r="QLY66" s="137"/>
      <c r="QLZ66" s="137"/>
      <c r="QMA66" s="137"/>
      <c r="QMB66" s="137"/>
      <c r="QMC66" s="137"/>
      <c r="QMD66" s="137"/>
      <c r="QME66" s="137"/>
      <c r="QMF66" s="137"/>
      <c r="QMG66" s="137"/>
      <c r="QMH66" s="137"/>
      <c r="QMI66" s="137"/>
      <c r="QMJ66" s="137"/>
      <c r="QMK66" s="137"/>
      <c r="QML66" s="137"/>
      <c r="QMM66" s="137"/>
      <c r="QMN66" s="137"/>
      <c r="QMO66" s="137"/>
      <c r="QMP66" s="137"/>
      <c r="QMQ66" s="137"/>
      <c r="QMR66" s="137"/>
      <c r="QMS66" s="137"/>
      <c r="QMT66" s="137"/>
      <c r="QMU66" s="137"/>
      <c r="QMV66" s="137"/>
      <c r="QMW66" s="137"/>
      <c r="QMX66" s="137"/>
      <c r="QMY66" s="137"/>
      <c r="QMZ66" s="137"/>
      <c r="QNA66" s="137"/>
      <c r="QNB66" s="137"/>
      <c r="QNC66" s="137"/>
      <c r="QND66" s="137"/>
      <c r="QNE66" s="137"/>
      <c r="QNF66" s="137"/>
      <c r="QNG66" s="137"/>
      <c r="QNH66" s="137"/>
      <c r="QNI66" s="137"/>
      <c r="QNJ66" s="137"/>
      <c r="QNK66" s="137"/>
      <c r="QNL66" s="137"/>
      <c r="QNM66" s="137"/>
      <c r="QNN66" s="137"/>
      <c r="QNO66" s="137"/>
      <c r="QNP66" s="137"/>
      <c r="QNQ66" s="137"/>
      <c r="QNR66" s="137"/>
      <c r="QNS66" s="137"/>
      <c r="QNT66" s="137"/>
      <c r="QNU66" s="137"/>
      <c r="QNV66" s="137"/>
      <c r="QNW66" s="137"/>
      <c r="QNX66" s="137"/>
      <c r="QNY66" s="137"/>
      <c r="QNZ66" s="137"/>
      <c r="QOA66" s="137"/>
      <c r="QOB66" s="137"/>
      <c r="QOC66" s="137"/>
      <c r="QOD66" s="137"/>
      <c r="QOE66" s="137"/>
      <c r="QOF66" s="137"/>
      <c r="QOG66" s="137"/>
      <c r="QOH66" s="137"/>
      <c r="QOI66" s="137"/>
      <c r="QOJ66" s="137"/>
      <c r="QOK66" s="137"/>
      <c r="QOL66" s="137"/>
      <c r="QOM66" s="137"/>
      <c r="QON66" s="137"/>
      <c r="QOO66" s="137"/>
      <c r="QOP66" s="137"/>
      <c r="QOQ66" s="137"/>
      <c r="QOR66" s="137"/>
      <c r="QOS66" s="137"/>
      <c r="QOT66" s="137"/>
      <c r="QOU66" s="137"/>
      <c r="QOV66" s="137"/>
      <c r="QOW66" s="137"/>
      <c r="QOX66" s="137"/>
      <c r="QOY66" s="137"/>
      <c r="QOZ66" s="137"/>
      <c r="QPA66" s="137"/>
      <c r="QPB66" s="137"/>
      <c r="QPC66" s="137"/>
      <c r="QPD66" s="137"/>
      <c r="QPE66" s="137"/>
      <c r="QPF66" s="137"/>
      <c r="QPG66" s="137"/>
      <c r="QPH66" s="137"/>
      <c r="QPI66" s="137"/>
      <c r="QPJ66" s="137"/>
      <c r="QPK66" s="137"/>
      <c r="QPL66" s="137"/>
      <c r="QPM66" s="137"/>
      <c r="QPN66" s="137"/>
      <c r="QPO66" s="137"/>
      <c r="QPP66" s="137"/>
      <c r="QPQ66" s="137"/>
      <c r="QPR66" s="137"/>
      <c r="QPS66" s="137"/>
      <c r="QPT66" s="137"/>
      <c r="QPU66" s="137"/>
      <c r="QPV66" s="137"/>
      <c r="QPW66" s="137"/>
      <c r="QPX66" s="137"/>
      <c r="QPY66" s="137"/>
      <c r="QPZ66" s="137"/>
      <c r="QQA66" s="137"/>
      <c r="QQB66" s="137"/>
      <c r="QQC66" s="137"/>
      <c r="QQD66" s="137"/>
      <c r="QQE66" s="137"/>
      <c r="QQF66" s="137"/>
      <c r="QQG66" s="137"/>
      <c r="QQH66" s="137"/>
      <c r="QQI66" s="137"/>
      <c r="QQJ66" s="137"/>
      <c r="QQK66" s="137"/>
      <c r="QQL66" s="137"/>
      <c r="QQM66" s="137"/>
      <c r="QQN66" s="137"/>
      <c r="QQO66" s="137"/>
      <c r="QQP66" s="137"/>
      <c r="QQQ66" s="137"/>
      <c r="QQR66" s="137"/>
      <c r="QQS66" s="137"/>
      <c r="QQT66" s="137"/>
      <c r="QQU66" s="137"/>
      <c r="QQV66" s="137"/>
      <c r="QQW66" s="137"/>
      <c r="QQX66" s="137"/>
      <c r="QQY66" s="137"/>
      <c r="QQZ66" s="137"/>
      <c r="QRA66" s="137"/>
      <c r="QRB66" s="137"/>
      <c r="QRC66" s="137"/>
      <c r="QRD66" s="137"/>
      <c r="QRE66" s="137"/>
      <c r="QRF66" s="137"/>
      <c r="QRG66" s="137"/>
      <c r="QRH66" s="137"/>
      <c r="QRI66" s="137"/>
      <c r="QRJ66" s="137"/>
      <c r="QRK66" s="137"/>
      <c r="QRL66" s="137"/>
      <c r="QRM66" s="137"/>
      <c r="QRN66" s="137"/>
      <c r="QRO66" s="137"/>
      <c r="QRP66" s="137"/>
      <c r="QRQ66" s="137"/>
      <c r="QRR66" s="137"/>
      <c r="QRS66" s="137"/>
      <c r="QRT66" s="137"/>
      <c r="QRU66" s="137"/>
      <c r="QRV66" s="137"/>
      <c r="QRW66" s="137"/>
      <c r="QRX66" s="137"/>
      <c r="QRY66" s="137"/>
      <c r="QRZ66" s="137"/>
      <c r="QSA66" s="137"/>
      <c r="QSB66" s="137"/>
      <c r="QSC66" s="137"/>
      <c r="QSD66" s="137"/>
      <c r="QSE66" s="137"/>
      <c r="QSF66" s="137"/>
      <c r="QSG66" s="137"/>
      <c r="QSH66" s="137"/>
      <c r="QSI66" s="137"/>
      <c r="QSJ66" s="137"/>
      <c r="QSK66" s="137"/>
      <c r="QSL66" s="137"/>
      <c r="QSM66" s="137"/>
      <c r="QSN66" s="137"/>
      <c r="QSO66" s="137"/>
      <c r="QSP66" s="137"/>
      <c r="QSQ66" s="137"/>
      <c r="QSR66" s="137"/>
      <c r="QSS66" s="137"/>
      <c r="QST66" s="137"/>
      <c r="QSU66" s="137"/>
      <c r="QSV66" s="137"/>
      <c r="QSW66" s="137"/>
      <c r="QSX66" s="137"/>
      <c r="QSY66" s="137"/>
      <c r="QSZ66" s="137"/>
      <c r="QTA66" s="137"/>
      <c r="QTB66" s="137"/>
      <c r="QTC66" s="137"/>
      <c r="QTD66" s="137"/>
      <c r="QTE66" s="137"/>
      <c r="QTF66" s="137"/>
      <c r="QTG66" s="137"/>
      <c r="QTH66" s="137"/>
      <c r="QTI66" s="137"/>
      <c r="QTJ66" s="137"/>
      <c r="QTK66" s="137"/>
      <c r="QTL66" s="137"/>
      <c r="QTM66" s="137"/>
      <c r="QTN66" s="137"/>
      <c r="QTO66" s="137"/>
      <c r="QTP66" s="137"/>
      <c r="QTQ66" s="137"/>
      <c r="QTR66" s="137"/>
      <c r="QTS66" s="137"/>
      <c r="QTT66" s="137"/>
      <c r="QTU66" s="137"/>
      <c r="QTV66" s="137"/>
      <c r="QTW66" s="137"/>
      <c r="QTX66" s="137"/>
      <c r="QTY66" s="137"/>
      <c r="QTZ66" s="137"/>
      <c r="QUA66" s="137"/>
      <c r="QUB66" s="137"/>
      <c r="QUC66" s="137"/>
      <c r="QUD66" s="137"/>
      <c r="QUE66" s="137"/>
      <c r="QUF66" s="137"/>
      <c r="QUG66" s="137"/>
      <c r="QUH66" s="137"/>
      <c r="QUI66" s="137"/>
      <c r="QUJ66" s="137"/>
      <c r="QUK66" s="137"/>
      <c r="QUL66" s="137"/>
      <c r="QUM66" s="137"/>
      <c r="QUN66" s="137"/>
      <c r="QUO66" s="137"/>
      <c r="QUP66" s="137"/>
      <c r="QUQ66" s="137"/>
      <c r="QUR66" s="137"/>
      <c r="QUS66" s="137"/>
      <c r="QUT66" s="137"/>
      <c r="QUU66" s="137"/>
      <c r="QUV66" s="137"/>
      <c r="QUW66" s="137"/>
      <c r="QUX66" s="137"/>
      <c r="QUY66" s="137"/>
      <c r="QUZ66" s="137"/>
      <c r="QVA66" s="137"/>
      <c r="QVB66" s="137"/>
      <c r="QVC66" s="137"/>
      <c r="QVD66" s="137"/>
      <c r="QVE66" s="137"/>
      <c r="QVF66" s="137"/>
      <c r="QVG66" s="137"/>
      <c r="QVH66" s="137"/>
      <c r="QVI66" s="137"/>
      <c r="QVJ66" s="137"/>
      <c r="QVK66" s="137"/>
      <c r="QVL66" s="137"/>
      <c r="QVM66" s="137"/>
      <c r="QVN66" s="137"/>
      <c r="QVO66" s="137"/>
      <c r="QVP66" s="137"/>
      <c r="QVQ66" s="137"/>
      <c r="QVR66" s="137"/>
      <c r="QVS66" s="137"/>
      <c r="QVT66" s="137"/>
      <c r="QVU66" s="137"/>
      <c r="QVV66" s="137"/>
      <c r="QVW66" s="137"/>
      <c r="QVX66" s="137"/>
      <c r="QVY66" s="137"/>
      <c r="QVZ66" s="137"/>
      <c r="QWA66" s="137"/>
      <c r="QWB66" s="137"/>
      <c r="QWC66" s="137"/>
      <c r="QWD66" s="137"/>
      <c r="QWE66" s="137"/>
      <c r="QWF66" s="137"/>
      <c r="QWG66" s="137"/>
      <c r="QWH66" s="137"/>
      <c r="QWI66" s="137"/>
      <c r="QWJ66" s="137"/>
      <c r="QWK66" s="137"/>
      <c r="QWL66" s="137"/>
      <c r="QWM66" s="137"/>
      <c r="QWN66" s="137"/>
      <c r="QWO66" s="137"/>
      <c r="QWP66" s="137"/>
      <c r="QWQ66" s="137"/>
      <c r="QWR66" s="137"/>
      <c r="QWS66" s="137"/>
      <c r="QWT66" s="137"/>
      <c r="QWU66" s="137"/>
      <c r="QWV66" s="137"/>
      <c r="QWW66" s="137"/>
      <c r="QWX66" s="137"/>
      <c r="QWY66" s="137"/>
      <c r="QWZ66" s="137"/>
      <c r="QXA66" s="137"/>
      <c r="QXB66" s="137"/>
      <c r="QXC66" s="137"/>
      <c r="QXD66" s="137"/>
      <c r="QXE66" s="137"/>
      <c r="QXF66" s="137"/>
      <c r="QXG66" s="137"/>
      <c r="QXH66" s="137"/>
      <c r="QXI66" s="137"/>
      <c r="QXJ66" s="137"/>
      <c r="QXK66" s="137"/>
      <c r="QXL66" s="137"/>
      <c r="QXM66" s="137"/>
      <c r="QXN66" s="137"/>
      <c r="QXO66" s="137"/>
      <c r="QXP66" s="137"/>
      <c r="QXQ66" s="137"/>
      <c r="QXR66" s="137"/>
      <c r="QXS66" s="137"/>
      <c r="QXT66" s="137"/>
      <c r="QXU66" s="137"/>
      <c r="QXV66" s="137"/>
      <c r="QXW66" s="137"/>
      <c r="QXX66" s="137"/>
      <c r="QXY66" s="137"/>
      <c r="QXZ66" s="137"/>
      <c r="QYA66" s="137"/>
      <c r="QYB66" s="137"/>
      <c r="QYC66" s="137"/>
      <c r="QYD66" s="137"/>
      <c r="QYE66" s="137"/>
      <c r="QYF66" s="137"/>
      <c r="QYG66" s="137"/>
      <c r="QYH66" s="137"/>
      <c r="QYI66" s="137"/>
      <c r="QYJ66" s="137"/>
      <c r="QYK66" s="137"/>
      <c r="QYL66" s="137"/>
      <c r="QYM66" s="137"/>
      <c r="QYN66" s="137"/>
      <c r="QYO66" s="137"/>
      <c r="QYP66" s="137"/>
      <c r="QYQ66" s="137"/>
      <c r="QYR66" s="137"/>
      <c r="QYS66" s="137"/>
      <c r="QYT66" s="137"/>
      <c r="QYU66" s="137"/>
      <c r="QYV66" s="137"/>
      <c r="QYW66" s="137"/>
      <c r="QYX66" s="137"/>
      <c r="QYY66" s="137"/>
      <c r="QYZ66" s="137"/>
      <c r="QZA66" s="137"/>
      <c r="QZB66" s="137"/>
      <c r="QZC66" s="137"/>
      <c r="QZD66" s="137"/>
      <c r="QZE66" s="137"/>
      <c r="QZF66" s="137"/>
      <c r="QZG66" s="137"/>
      <c r="QZH66" s="137"/>
      <c r="QZI66" s="137"/>
      <c r="QZJ66" s="137"/>
      <c r="QZK66" s="137"/>
      <c r="QZL66" s="137"/>
      <c r="QZM66" s="137"/>
      <c r="QZN66" s="137"/>
      <c r="QZO66" s="137"/>
      <c r="QZP66" s="137"/>
      <c r="QZQ66" s="137"/>
      <c r="QZR66" s="137"/>
      <c r="QZS66" s="137"/>
      <c r="QZT66" s="137"/>
      <c r="QZU66" s="137"/>
      <c r="QZV66" s="137"/>
      <c r="QZW66" s="137"/>
      <c r="QZX66" s="137"/>
      <c r="QZY66" s="137"/>
      <c r="QZZ66" s="137"/>
      <c r="RAA66" s="137"/>
      <c r="RAB66" s="137"/>
      <c r="RAC66" s="137"/>
      <c r="RAD66" s="137"/>
      <c r="RAE66" s="137"/>
      <c r="RAF66" s="137"/>
      <c r="RAG66" s="137"/>
      <c r="RAH66" s="137"/>
      <c r="RAI66" s="137"/>
      <c r="RAJ66" s="137"/>
      <c r="RAK66" s="137"/>
      <c r="RAL66" s="137"/>
      <c r="RAM66" s="137"/>
      <c r="RAN66" s="137"/>
      <c r="RAO66" s="137"/>
      <c r="RAP66" s="137"/>
      <c r="RAQ66" s="137"/>
      <c r="RAR66" s="137"/>
      <c r="RAS66" s="137"/>
      <c r="RAT66" s="137"/>
      <c r="RAU66" s="137"/>
      <c r="RAV66" s="137"/>
      <c r="RAW66" s="137"/>
      <c r="RAX66" s="137"/>
      <c r="RAY66" s="137"/>
      <c r="RAZ66" s="137"/>
      <c r="RBA66" s="137"/>
      <c r="RBB66" s="137"/>
      <c r="RBC66" s="137"/>
      <c r="RBD66" s="137"/>
      <c r="RBE66" s="137"/>
      <c r="RBF66" s="137"/>
      <c r="RBG66" s="137"/>
      <c r="RBH66" s="137"/>
      <c r="RBI66" s="137"/>
      <c r="RBJ66" s="137"/>
      <c r="RBK66" s="137"/>
      <c r="RBL66" s="137"/>
      <c r="RBM66" s="137"/>
      <c r="RBN66" s="137"/>
      <c r="RBO66" s="137"/>
      <c r="RBP66" s="137"/>
      <c r="RBQ66" s="137"/>
      <c r="RBR66" s="137"/>
      <c r="RBS66" s="137"/>
      <c r="RBT66" s="137"/>
      <c r="RBU66" s="137"/>
      <c r="RBV66" s="137"/>
      <c r="RBW66" s="137"/>
      <c r="RBX66" s="137"/>
      <c r="RBY66" s="137"/>
      <c r="RBZ66" s="137"/>
      <c r="RCA66" s="137"/>
      <c r="RCB66" s="137"/>
      <c r="RCC66" s="137"/>
      <c r="RCD66" s="137"/>
      <c r="RCE66" s="137"/>
      <c r="RCF66" s="137"/>
      <c r="RCG66" s="137"/>
      <c r="RCH66" s="137"/>
      <c r="RCI66" s="137"/>
      <c r="RCJ66" s="137"/>
      <c r="RCK66" s="137"/>
      <c r="RCL66" s="137"/>
      <c r="RCM66" s="137"/>
      <c r="RCN66" s="137"/>
      <c r="RCO66" s="137"/>
      <c r="RCP66" s="137"/>
      <c r="RCQ66" s="137"/>
      <c r="RCR66" s="137"/>
      <c r="RCS66" s="137"/>
      <c r="RCT66" s="137"/>
      <c r="RCU66" s="137"/>
      <c r="RCV66" s="137"/>
      <c r="RCW66" s="137"/>
      <c r="RCX66" s="137"/>
      <c r="RCY66" s="137"/>
      <c r="RCZ66" s="137"/>
      <c r="RDA66" s="137"/>
      <c r="RDB66" s="137"/>
      <c r="RDC66" s="137"/>
      <c r="RDD66" s="137"/>
      <c r="RDE66" s="137"/>
      <c r="RDF66" s="137"/>
      <c r="RDG66" s="137"/>
      <c r="RDH66" s="137"/>
      <c r="RDI66" s="137"/>
      <c r="RDJ66" s="137"/>
      <c r="RDK66" s="137"/>
      <c r="RDL66" s="137"/>
      <c r="RDM66" s="137"/>
      <c r="RDN66" s="137"/>
      <c r="RDO66" s="137"/>
      <c r="RDP66" s="137"/>
      <c r="RDQ66" s="137"/>
      <c r="RDR66" s="137"/>
      <c r="RDS66" s="137"/>
      <c r="RDT66" s="137"/>
      <c r="RDU66" s="137"/>
      <c r="RDV66" s="137"/>
      <c r="RDW66" s="137"/>
      <c r="RDX66" s="137"/>
      <c r="RDY66" s="137"/>
      <c r="RDZ66" s="137"/>
      <c r="REA66" s="137"/>
      <c r="REB66" s="137"/>
      <c r="REC66" s="137"/>
      <c r="RED66" s="137"/>
      <c r="REE66" s="137"/>
      <c r="REF66" s="137"/>
      <c r="REG66" s="137"/>
      <c r="REH66" s="137"/>
      <c r="REI66" s="137"/>
      <c r="REJ66" s="137"/>
      <c r="REK66" s="137"/>
      <c r="REL66" s="137"/>
      <c r="REM66" s="137"/>
      <c r="REN66" s="137"/>
      <c r="REO66" s="137"/>
      <c r="REP66" s="137"/>
      <c r="REQ66" s="137"/>
      <c r="RER66" s="137"/>
      <c r="RES66" s="137"/>
      <c r="RET66" s="137"/>
      <c r="REU66" s="137"/>
      <c r="REV66" s="137"/>
      <c r="REW66" s="137"/>
      <c r="REX66" s="137"/>
      <c r="REY66" s="137"/>
      <c r="REZ66" s="137"/>
      <c r="RFA66" s="137"/>
      <c r="RFB66" s="137"/>
      <c r="RFC66" s="137"/>
      <c r="RFD66" s="137"/>
      <c r="RFE66" s="137"/>
      <c r="RFF66" s="137"/>
      <c r="RFG66" s="137"/>
      <c r="RFH66" s="137"/>
      <c r="RFI66" s="137"/>
      <c r="RFJ66" s="137"/>
      <c r="RFK66" s="137"/>
      <c r="RFL66" s="137"/>
      <c r="RFM66" s="137"/>
      <c r="RFN66" s="137"/>
      <c r="RFO66" s="137"/>
      <c r="RFP66" s="137"/>
      <c r="RFQ66" s="137"/>
      <c r="RFR66" s="137"/>
      <c r="RFS66" s="137"/>
      <c r="RFT66" s="137"/>
      <c r="RFU66" s="137"/>
      <c r="RFV66" s="137"/>
      <c r="RFW66" s="137"/>
      <c r="RFX66" s="137"/>
      <c r="RFY66" s="137"/>
      <c r="RFZ66" s="137"/>
      <c r="RGA66" s="137"/>
      <c r="RGB66" s="137"/>
      <c r="RGC66" s="137"/>
      <c r="RGD66" s="137"/>
      <c r="RGE66" s="137"/>
      <c r="RGF66" s="137"/>
      <c r="RGG66" s="137"/>
      <c r="RGH66" s="137"/>
      <c r="RGI66" s="137"/>
      <c r="RGJ66" s="137"/>
      <c r="RGK66" s="137"/>
      <c r="RGL66" s="137"/>
      <c r="RGM66" s="137"/>
      <c r="RGN66" s="137"/>
      <c r="RGO66" s="137"/>
      <c r="RGP66" s="137"/>
      <c r="RGQ66" s="137"/>
      <c r="RGR66" s="137"/>
      <c r="RGS66" s="137"/>
      <c r="RGT66" s="137"/>
      <c r="RGU66" s="137"/>
      <c r="RGV66" s="137"/>
      <c r="RGW66" s="137"/>
      <c r="RGX66" s="137"/>
      <c r="RGY66" s="137"/>
      <c r="RGZ66" s="137"/>
      <c r="RHA66" s="137"/>
      <c r="RHB66" s="137"/>
      <c r="RHC66" s="137"/>
      <c r="RHD66" s="137"/>
      <c r="RHE66" s="137"/>
      <c r="RHF66" s="137"/>
      <c r="RHG66" s="137"/>
      <c r="RHH66" s="137"/>
      <c r="RHI66" s="137"/>
      <c r="RHJ66" s="137"/>
      <c r="RHK66" s="137"/>
      <c r="RHL66" s="137"/>
      <c r="RHM66" s="137"/>
      <c r="RHN66" s="137"/>
      <c r="RHO66" s="137"/>
      <c r="RHP66" s="137"/>
      <c r="RHQ66" s="137"/>
      <c r="RHR66" s="137"/>
      <c r="RHS66" s="137"/>
      <c r="RHT66" s="137"/>
      <c r="RHU66" s="137"/>
      <c r="RHV66" s="137"/>
      <c r="RHW66" s="137"/>
      <c r="RHX66" s="137"/>
      <c r="RHY66" s="137"/>
      <c r="RHZ66" s="137"/>
      <c r="RIA66" s="137"/>
      <c r="RIB66" s="137"/>
      <c r="RIC66" s="137"/>
      <c r="RID66" s="137"/>
      <c r="RIE66" s="137"/>
      <c r="RIF66" s="137"/>
      <c r="RIG66" s="137"/>
      <c r="RIH66" s="137"/>
      <c r="RII66" s="137"/>
      <c r="RIJ66" s="137"/>
      <c r="RIK66" s="137"/>
      <c r="RIL66" s="137"/>
      <c r="RIM66" s="137"/>
      <c r="RIN66" s="137"/>
      <c r="RIO66" s="137"/>
      <c r="RIP66" s="137"/>
      <c r="RIQ66" s="137"/>
      <c r="RIR66" s="137"/>
      <c r="RIS66" s="137"/>
      <c r="RIT66" s="137"/>
      <c r="RIU66" s="137"/>
      <c r="RIV66" s="137"/>
      <c r="RIW66" s="137"/>
      <c r="RIX66" s="137"/>
      <c r="RIY66" s="137"/>
      <c r="RIZ66" s="137"/>
      <c r="RJA66" s="137"/>
      <c r="RJB66" s="137"/>
      <c r="RJC66" s="137"/>
      <c r="RJD66" s="137"/>
      <c r="RJE66" s="137"/>
      <c r="RJF66" s="137"/>
      <c r="RJG66" s="137"/>
      <c r="RJH66" s="137"/>
      <c r="RJI66" s="137"/>
      <c r="RJJ66" s="137"/>
      <c r="RJK66" s="137"/>
      <c r="RJL66" s="137"/>
      <c r="RJM66" s="137"/>
      <c r="RJN66" s="137"/>
      <c r="RJO66" s="137"/>
      <c r="RJP66" s="137"/>
      <c r="RJQ66" s="137"/>
      <c r="RJR66" s="137"/>
      <c r="RJS66" s="137"/>
      <c r="RJT66" s="137"/>
      <c r="RJU66" s="137"/>
      <c r="RJV66" s="137"/>
      <c r="RJW66" s="137"/>
      <c r="RJX66" s="137"/>
      <c r="RJY66" s="137"/>
      <c r="RJZ66" s="137"/>
      <c r="RKA66" s="137"/>
      <c r="RKB66" s="137"/>
      <c r="RKC66" s="137"/>
      <c r="RKD66" s="137"/>
      <c r="RKE66" s="137"/>
      <c r="RKF66" s="137"/>
      <c r="RKG66" s="137"/>
      <c r="RKH66" s="137"/>
      <c r="RKI66" s="137"/>
      <c r="RKJ66" s="137"/>
      <c r="RKK66" s="137"/>
      <c r="RKL66" s="137"/>
      <c r="RKM66" s="137"/>
      <c r="RKN66" s="137"/>
      <c r="RKO66" s="137"/>
      <c r="RKP66" s="137"/>
      <c r="RKQ66" s="137"/>
      <c r="RKR66" s="137"/>
      <c r="RKS66" s="137"/>
      <c r="RKT66" s="137"/>
      <c r="RKU66" s="137"/>
      <c r="RKV66" s="137"/>
      <c r="RKW66" s="137"/>
      <c r="RKX66" s="137"/>
      <c r="RKY66" s="137"/>
      <c r="RKZ66" s="137"/>
      <c r="RLA66" s="137"/>
      <c r="RLB66" s="137"/>
      <c r="RLC66" s="137"/>
      <c r="RLD66" s="137"/>
      <c r="RLE66" s="137"/>
      <c r="RLF66" s="137"/>
      <c r="RLG66" s="137"/>
      <c r="RLH66" s="137"/>
      <c r="RLI66" s="137"/>
      <c r="RLJ66" s="137"/>
      <c r="RLK66" s="137"/>
      <c r="RLL66" s="137"/>
      <c r="RLM66" s="137"/>
      <c r="RLN66" s="137"/>
      <c r="RLO66" s="137"/>
      <c r="RLP66" s="137"/>
      <c r="RLQ66" s="137"/>
      <c r="RLR66" s="137"/>
      <c r="RLS66" s="137"/>
      <c r="RLT66" s="137"/>
      <c r="RLU66" s="137"/>
      <c r="RLV66" s="137"/>
      <c r="RLW66" s="137"/>
      <c r="RLX66" s="137"/>
      <c r="RLY66" s="137"/>
      <c r="RLZ66" s="137"/>
      <c r="RMA66" s="137"/>
      <c r="RMB66" s="137"/>
      <c r="RMC66" s="137"/>
      <c r="RMD66" s="137"/>
      <c r="RME66" s="137"/>
      <c r="RMF66" s="137"/>
      <c r="RMG66" s="137"/>
      <c r="RMH66" s="137"/>
      <c r="RMI66" s="137"/>
      <c r="RMJ66" s="137"/>
      <c r="RMK66" s="137"/>
      <c r="RML66" s="137"/>
      <c r="RMM66" s="137"/>
      <c r="RMN66" s="137"/>
      <c r="RMO66" s="137"/>
      <c r="RMP66" s="137"/>
      <c r="RMQ66" s="137"/>
      <c r="RMR66" s="137"/>
      <c r="RMS66" s="137"/>
      <c r="RMT66" s="137"/>
      <c r="RMU66" s="137"/>
      <c r="RMV66" s="137"/>
      <c r="RMW66" s="137"/>
      <c r="RMX66" s="137"/>
      <c r="RMY66" s="137"/>
      <c r="RMZ66" s="137"/>
      <c r="RNA66" s="137"/>
      <c r="RNB66" s="137"/>
      <c r="RNC66" s="137"/>
      <c r="RND66" s="137"/>
      <c r="RNE66" s="137"/>
      <c r="RNF66" s="137"/>
      <c r="RNG66" s="137"/>
      <c r="RNH66" s="137"/>
      <c r="RNI66" s="137"/>
      <c r="RNJ66" s="137"/>
      <c r="RNK66" s="137"/>
      <c r="RNL66" s="137"/>
      <c r="RNM66" s="137"/>
      <c r="RNN66" s="137"/>
      <c r="RNO66" s="137"/>
      <c r="RNP66" s="137"/>
      <c r="RNQ66" s="137"/>
      <c r="RNR66" s="137"/>
      <c r="RNS66" s="137"/>
      <c r="RNT66" s="137"/>
      <c r="RNU66" s="137"/>
      <c r="RNV66" s="137"/>
      <c r="RNW66" s="137"/>
      <c r="RNX66" s="137"/>
      <c r="RNY66" s="137"/>
      <c r="RNZ66" s="137"/>
      <c r="ROA66" s="137"/>
      <c r="ROB66" s="137"/>
      <c r="ROC66" s="137"/>
      <c r="ROD66" s="137"/>
      <c r="ROE66" s="137"/>
      <c r="ROF66" s="137"/>
      <c r="ROG66" s="137"/>
      <c r="ROH66" s="137"/>
      <c r="ROI66" s="137"/>
      <c r="ROJ66" s="137"/>
      <c r="ROK66" s="137"/>
      <c r="ROL66" s="137"/>
      <c r="ROM66" s="137"/>
      <c r="RON66" s="137"/>
      <c r="ROO66" s="137"/>
      <c r="ROP66" s="137"/>
      <c r="ROQ66" s="137"/>
      <c r="ROR66" s="137"/>
      <c r="ROS66" s="137"/>
      <c r="ROT66" s="137"/>
      <c r="ROU66" s="137"/>
      <c r="ROV66" s="137"/>
      <c r="ROW66" s="137"/>
      <c r="ROX66" s="137"/>
      <c r="ROY66" s="137"/>
      <c r="ROZ66" s="137"/>
      <c r="RPA66" s="137"/>
      <c r="RPB66" s="137"/>
      <c r="RPC66" s="137"/>
      <c r="RPD66" s="137"/>
      <c r="RPE66" s="137"/>
      <c r="RPF66" s="137"/>
      <c r="RPG66" s="137"/>
      <c r="RPH66" s="137"/>
      <c r="RPI66" s="137"/>
      <c r="RPJ66" s="137"/>
      <c r="RPK66" s="137"/>
      <c r="RPL66" s="137"/>
      <c r="RPM66" s="137"/>
      <c r="RPN66" s="137"/>
      <c r="RPO66" s="137"/>
      <c r="RPP66" s="137"/>
      <c r="RPQ66" s="137"/>
      <c r="RPR66" s="137"/>
      <c r="RPS66" s="137"/>
      <c r="RPT66" s="137"/>
      <c r="RPU66" s="137"/>
      <c r="RPV66" s="137"/>
      <c r="RPW66" s="137"/>
      <c r="RPX66" s="137"/>
      <c r="RPY66" s="137"/>
      <c r="RPZ66" s="137"/>
      <c r="RQA66" s="137"/>
      <c r="RQB66" s="137"/>
      <c r="RQC66" s="137"/>
      <c r="RQD66" s="137"/>
      <c r="RQE66" s="137"/>
      <c r="RQF66" s="137"/>
      <c r="RQG66" s="137"/>
      <c r="RQH66" s="137"/>
      <c r="RQI66" s="137"/>
      <c r="RQJ66" s="137"/>
      <c r="RQK66" s="137"/>
      <c r="RQL66" s="137"/>
      <c r="RQM66" s="137"/>
      <c r="RQN66" s="137"/>
      <c r="RQO66" s="137"/>
      <c r="RQP66" s="137"/>
      <c r="RQQ66" s="137"/>
      <c r="RQR66" s="137"/>
      <c r="RQS66" s="137"/>
      <c r="RQT66" s="137"/>
      <c r="RQU66" s="137"/>
      <c r="RQV66" s="137"/>
      <c r="RQW66" s="137"/>
      <c r="RQX66" s="137"/>
      <c r="RQY66" s="137"/>
      <c r="RQZ66" s="137"/>
      <c r="RRA66" s="137"/>
      <c r="RRB66" s="137"/>
      <c r="RRC66" s="137"/>
      <c r="RRD66" s="137"/>
      <c r="RRE66" s="137"/>
      <c r="RRF66" s="137"/>
      <c r="RRG66" s="137"/>
      <c r="RRH66" s="137"/>
      <c r="RRI66" s="137"/>
      <c r="RRJ66" s="137"/>
      <c r="RRK66" s="137"/>
      <c r="RRL66" s="137"/>
      <c r="RRM66" s="137"/>
      <c r="RRN66" s="137"/>
      <c r="RRO66" s="137"/>
      <c r="RRP66" s="137"/>
      <c r="RRQ66" s="137"/>
      <c r="RRR66" s="137"/>
      <c r="RRS66" s="137"/>
      <c r="RRT66" s="137"/>
      <c r="RRU66" s="137"/>
      <c r="RRV66" s="137"/>
      <c r="RRW66" s="137"/>
      <c r="RRX66" s="137"/>
      <c r="RRY66" s="137"/>
      <c r="RRZ66" s="137"/>
      <c r="RSA66" s="137"/>
      <c r="RSB66" s="137"/>
      <c r="RSC66" s="137"/>
      <c r="RSD66" s="137"/>
      <c r="RSE66" s="137"/>
      <c r="RSF66" s="137"/>
      <c r="RSG66" s="137"/>
      <c r="RSH66" s="137"/>
      <c r="RSI66" s="137"/>
      <c r="RSJ66" s="137"/>
      <c r="RSK66" s="137"/>
      <c r="RSL66" s="137"/>
      <c r="RSM66" s="137"/>
      <c r="RSN66" s="137"/>
      <c r="RSO66" s="137"/>
      <c r="RSP66" s="137"/>
      <c r="RSQ66" s="137"/>
      <c r="RSR66" s="137"/>
      <c r="RSS66" s="137"/>
      <c r="RST66" s="137"/>
      <c r="RSU66" s="137"/>
      <c r="RSV66" s="137"/>
      <c r="RSW66" s="137"/>
      <c r="RSX66" s="137"/>
      <c r="RSY66" s="137"/>
      <c r="RSZ66" s="137"/>
      <c r="RTA66" s="137"/>
      <c r="RTB66" s="137"/>
      <c r="RTC66" s="137"/>
      <c r="RTD66" s="137"/>
      <c r="RTE66" s="137"/>
      <c r="RTF66" s="137"/>
      <c r="RTG66" s="137"/>
      <c r="RTH66" s="137"/>
      <c r="RTI66" s="137"/>
      <c r="RTJ66" s="137"/>
      <c r="RTK66" s="137"/>
      <c r="RTL66" s="137"/>
      <c r="RTM66" s="137"/>
      <c r="RTN66" s="137"/>
      <c r="RTO66" s="137"/>
      <c r="RTP66" s="137"/>
      <c r="RTQ66" s="137"/>
      <c r="RTR66" s="137"/>
      <c r="RTS66" s="137"/>
      <c r="RTT66" s="137"/>
      <c r="RTU66" s="137"/>
      <c r="RTV66" s="137"/>
      <c r="RTW66" s="137"/>
      <c r="RTX66" s="137"/>
      <c r="RTY66" s="137"/>
      <c r="RTZ66" s="137"/>
      <c r="RUA66" s="137"/>
      <c r="RUB66" s="137"/>
      <c r="RUC66" s="137"/>
      <c r="RUD66" s="137"/>
      <c r="RUE66" s="137"/>
      <c r="RUF66" s="137"/>
      <c r="RUG66" s="137"/>
      <c r="RUH66" s="137"/>
      <c r="RUI66" s="137"/>
      <c r="RUJ66" s="137"/>
      <c r="RUK66" s="137"/>
      <c r="RUL66" s="137"/>
      <c r="RUM66" s="137"/>
      <c r="RUN66" s="137"/>
      <c r="RUO66" s="137"/>
      <c r="RUP66" s="137"/>
      <c r="RUQ66" s="137"/>
      <c r="RUR66" s="137"/>
      <c r="RUS66" s="137"/>
      <c r="RUT66" s="137"/>
      <c r="RUU66" s="137"/>
      <c r="RUV66" s="137"/>
      <c r="RUW66" s="137"/>
      <c r="RUX66" s="137"/>
      <c r="RUY66" s="137"/>
      <c r="RUZ66" s="137"/>
      <c r="RVA66" s="137"/>
      <c r="RVB66" s="137"/>
      <c r="RVC66" s="137"/>
      <c r="RVD66" s="137"/>
      <c r="RVE66" s="137"/>
      <c r="RVF66" s="137"/>
      <c r="RVG66" s="137"/>
      <c r="RVH66" s="137"/>
      <c r="RVI66" s="137"/>
      <c r="RVJ66" s="137"/>
      <c r="RVK66" s="137"/>
      <c r="RVL66" s="137"/>
      <c r="RVM66" s="137"/>
      <c r="RVN66" s="137"/>
      <c r="RVO66" s="137"/>
      <c r="RVP66" s="137"/>
      <c r="RVQ66" s="137"/>
      <c r="RVR66" s="137"/>
      <c r="RVS66" s="137"/>
      <c r="RVT66" s="137"/>
      <c r="RVU66" s="137"/>
      <c r="RVV66" s="137"/>
      <c r="RVW66" s="137"/>
      <c r="RVX66" s="137"/>
      <c r="RVY66" s="137"/>
      <c r="RVZ66" s="137"/>
      <c r="RWA66" s="137"/>
      <c r="RWB66" s="137"/>
      <c r="RWC66" s="137"/>
      <c r="RWD66" s="137"/>
      <c r="RWE66" s="137"/>
      <c r="RWF66" s="137"/>
      <c r="RWG66" s="137"/>
      <c r="RWH66" s="137"/>
      <c r="RWI66" s="137"/>
      <c r="RWJ66" s="137"/>
      <c r="RWK66" s="137"/>
      <c r="RWL66" s="137"/>
      <c r="RWM66" s="137"/>
      <c r="RWN66" s="137"/>
      <c r="RWO66" s="137"/>
      <c r="RWP66" s="137"/>
      <c r="RWQ66" s="137"/>
      <c r="RWR66" s="137"/>
      <c r="RWS66" s="137"/>
      <c r="RWT66" s="137"/>
      <c r="RWU66" s="137"/>
      <c r="RWV66" s="137"/>
      <c r="RWW66" s="137"/>
      <c r="RWX66" s="137"/>
      <c r="RWY66" s="137"/>
      <c r="RWZ66" s="137"/>
      <c r="RXA66" s="137"/>
      <c r="RXB66" s="137"/>
      <c r="RXC66" s="137"/>
      <c r="RXD66" s="137"/>
      <c r="RXE66" s="137"/>
      <c r="RXF66" s="137"/>
      <c r="RXG66" s="137"/>
      <c r="RXH66" s="137"/>
      <c r="RXI66" s="137"/>
      <c r="RXJ66" s="137"/>
      <c r="RXK66" s="137"/>
      <c r="RXL66" s="137"/>
      <c r="RXM66" s="137"/>
      <c r="RXN66" s="137"/>
      <c r="RXO66" s="137"/>
      <c r="RXP66" s="137"/>
      <c r="RXQ66" s="137"/>
      <c r="RXR66" s="137"/>
      <c r="RXS66" s="137"/>
      <c r="RXT66" s="137"/>
      <c r="RXU66" s="137"/>
      <c r="RXV66" s="137"/>
      <c r="RXW66" s="137"/>
      <c r="RXX66" s="137"/>
      <c r="RXY66" s="137"/>
      <c r="RXZ66" s="137"/>
      <c r="RYA66" s="137"/>
      <c r="RYB66" s="137"/>
      <c r="RYC66" s="137"/>
      <c r="RYD66" s="137"/>
      <c r="RYE66" s="137"/>
      <c r="RYF66" s="137"/>
      <c r="RYG66" s="137"/>
      <c r="RYH66" s="137"/>
      <c r="RYI66" s="137"/>
      <c r="RYJ66" s="137"/>
      <c r="RYK66" s="137"/>
      <c r="RYL66" s="137"/>
      <c r="RYM66" s="137"/>
      <c r="RYN66" s="137"/>
      <c r="RYO66" s="137"/>
      <c r="RYP66" s="137"/>
      <c r="RYQ66" s="137"/>
      <c r="RYR66" s="137"/>
      <c r="RYS66" s="137"/>
      <c r="RYT66" s="137"/>
      <c r="RYU66" s="137"/>
      <c r="RYV66" s="137"/>
      <c r="RYW66" s="137"/>
      <c r="RYX66" s="137"/>
      <c r="RYY66" s="137"/>
      <c r="RYZ66" s="137"/>
      <c r="RZA66" s="137"/>
      <c r="RZB66" s="137"/>
      <c r="RZC66" s="137"/>
      <c r="RZD66" s="137"/>
      <c r="RZE66" s="137"/>
      <c r="RZF66" s="137"/>
      <c r="RZG66" s="137"/>
      <c r="RZH66" s="137"/>
      <c r="RZI66" s="137"/>
      <c r="RZJ66" s="137"/>
      <c r="RZK66" s="137"/>
      <c r="RZL66" s="137"/>
      <c r="RZM66" s="137"/>
      <c r="RZN66" s="137"/>
      <c r="RZO66" s="137"/>
      <c r="RZP66" s="137"/>
      <c r="RZQ66" s="137"/>
      <c r="RZR66" s="137"/>
      <c r="RZS66" s="137"/>
      <c r="RZT66" s="137"/>
      <c r="RZU66" s="137"/>
      <c r="RZV66" s="137"/>
      <c r="RZW66" s="137"/>
      <c r="RZX66" s="137"/>
      <c r="RZY66" s="137"/>
      <c r="RZZ66" s="137"/>
      <c r="SAA66" s="137"/>
      <c r="SAB66" s="137"/>
      <c r="SAC66" s="137"/>
      <c r="SAD66" s="137"/>
      <c r="SAE66" s="137"/>
      <c r="SAF66" s="137"/>
      <c r="SAG66" s="137"/>
      <c r="SAH66" s="137"/>
      <c r="SAI66" s="137"/>
      <c r="SAJ66" s="137"/>
      <c r="SAK66" s="137"/>
      <c r="SAL66" s="137"/>
      <c r="SAM66" s="137"/>
      <c r="SAN66" s="137"/>
      <c r="SAO66" s="137"/>
      <c r="SAP66" s="137"/>
      <c r="SAQ66" s="137"/>
      <c r="SAR66" s="137"/>
      <c r="SAS66" s="137"/>
      <c r="SAT66" s="137"/>
      <c r="SAU66" s="137"/>
      <c r="SAV66" s="137"/>
      <c r="SAW66" s="137"/>
      <c r="SAX66" s="137"/>
      <c r="SAY66" s="137"/>
      <c r="SAZ66" s="137"/>
      <c r="SBA66" s="137"/>
      <c r="SBB66" s="137"/>
      <c r="SBC66" s="137"/>
      <c r="SBD66" s="137"/>
      <c r="SBE66" s="137"/>
      <c r="SBF66" s="137"/>
      <c r="SBG66" s="137"/>
      <c r="SBH66" s="137"/>
      <c r="SBI66" s="137"/>
      <c r="SBJ66" s="137"/>
      <c r="SBK66" s="137"/>
      <c r="SBL66" s="137"/>
      <c r="SBM66" s="137"/>
      <c r="SBN66" s="137"/>
      <c r="SBO66" s="137"/>
      <c r="SBP66" s="137"/>
      <c r="SBQ66" s="137"/>
      <c r="SBR66" s="137"/>
      <c r="SBS66" s="137"/>
      <c r="SBT66" s="137"/>
      <c r="SBU66" s="137"/>
      <c r="SBV66" s="137"/>
      <c r="SBW66" s="137"/>
      <c r="SBX66" s="137"/>
      <c r="SBY66" s="137"/>
      <c r="SBZ66" s="137"/>
      <c r="SCA66" s="137"/>
      <c r="SCB66" s="137"/>
      <c r="SCC66" s="137"/>
      <c r="SCD66" s="137"/>
      <c r="SCE66" s="137"/>
      <c r="SCF66" s="137"/>
      <c r="SCG66" s="137"/>
      <c r="SCH66" s="137"/>
      <c r="SCI66" s="137"/>
      <c r="SCJ66" s="137"/>
      <c r="SCK66" s="137"/>
      <c r="SCL66" s="137"/>
      <c r="SCM66" s="137"/>
      <c r="SCN66" s="137"/>
      <c r="SCO66" s="137"/>
      <c r="SCP66" s="137"/>
      <c r="SCQ66" s="137"/>
      <c r="SCR66" s="137"/>
      <c r="SCS66" s="137"/>
      <c r="SCT66" s="137"/>
      <c r="SCU66" s="137"/>
      <c r="SCV66" s="137"/>
      <c r="SCW66" s="137"/>
      <c r="SCX66" s="137"/>
      <c r="SCY66" s="137"/>
      <c r="SCZ66" s="137"/>
      <c r="SDA66" s="137"/>
      <c r="SDB66" s="137"/>
      <c r="SDC66" s="137"/>
      <c r="SDD66" s="137"/>
      <c r="SDE66" s="137"/>
      <c r="SDF66" s="137"/>
      <c r="SDG66" s="137"/>
      <c r="SDH66" s="137"/>
      <c r="SDI66" s="137"/>
      <c r="SDJ66" s="137"/>
      <c r="SDK66" s="137"/>
      <c r="SDL66" s="137"/>
      <c r="SDM66" s="137"/>
      <c r="SDN66" s="137"/>
      <c r="SDO66" s="137"/>
      <c r="SDP66" s="137"/>
      <c r="SDQ66" s="137"/>
      <c r="SDR66" s="137"/>
      <c r="SDS66" s="137"/>
      <c r="SDT66" s="137"/>
      <c r="SDU66" s="137"/>
      <c r="SDV66" s="137"/>
      <c r="SDW66" s="137"/>
      <c r="SDX66" s="137"/>
      <c r="SDY66" s="137"/>
      <c r="SDZ66" s="137"/>
      <c r="SEA66" s="137"/>
      <c r="SEB66" s="137"/>
      <c r="SEC66" s="137"/>
      <c r="SED66" s="137"/>
      <c r="SEE66" s="137"/>
      <c r="SEF66" s="137"/>
      <c r="SEG66" s="137"/>
      <c r="SEH66" s="137"/>
      <c r="SEI66" s="137"/>
      <c r="SEJ66" s="137"/>
      <c r="SEK66" s="137"/>
      <c r="SEL66" s="137"/>
      <c r="SEM66" s="137"/>
      <c r="SEN66" s="137"/>
      <c r="SEO66" s="137"/>
      <c r="SEP66" s="137"/>
      <c r="SEQ66" s="137"/>
      <c r="SER66" s="137"/>
      <c r="SES66" s="137"/>
      <c r="SET66" s="137"/>
      <c r="SEU66" s="137"/>
      <c r="SEV66" s="137"/>
      <c r="SEW66" s="137"/>
      <c r="SEX66" s="137"/>
      <c r="SEY66" s="137"/>
      <c r="SEZ66" s="137"/>
      <c r="SFA66" s="137"/>
      <c r="SFB66" s="137"/>
      <c r="SFC66" s="137"/>
      <c r="SFD66" s="137"/>
      <c r="SFE66" s="137"/>
      <c r="SFF66" s="137"/>
      <c r="SFG66" s="137"/>
      <c r="SFH66" s="137"/>
      <c r="SFI66" s="137"/>
      <c r="SFJ66" s="137"/>
      <c r="SFK66" s="137"/>
      <c r="SFL66" s="137"/>
      <c r="SFM66" s="137"/>
      <c r="SFN66" s="137"/>
      <c r="SFO66" s="137"/>
      <c r="SFP66" s="137"/>
      <c r="SFQ66" s="137"/>
      <c r="SFR66" s="137"/>
      <c r="SFS66" s="137"/>
      <c r="SFT66" s="137"/>
      <c r="SFU66" s="137"/>
      <c r="SFV66" s="137"/>
      <c r="SFW66" s="137"/>
      <c r="SFX66" s="137"/>
      <c r="SFY66" s="137"/>
      <c r="SFZ66" s="137"/>
      <c r="SGA66" s="137"/>
      <c r="SGB66" s="137"/>
      <c r="SGC66" s="137"/>
      <c r="SGD66" s="137"/>
      <c r="SGE66" s="137"/>
      <c r="SGF66" s="137"/>
      <c r="SGG66" s="137"/>
      <c r="SGH66" s="137"/>
      <c r="SGI66" s="137"/>
      <c r="SGJ66" s="137"/>
      <c r="SGK66" s="137"/>
      <c r="SGL66" s="137"/>
      <c r="SGM66" s="137"/>
      <c r="SGN66" s="137"/>
      <c r="SGO66" s="137"/>
      <c r="SGP66" s="137"/>
      <c r="SGQ66" s="137"/>
      <c r="SGR66" s="137"/>
      <c r="SGS66" s="137"/>
      <c r="SGT66" s="137"/>
      <c r="SGU66" s="137"/>
      <c r="SGV66" s="137"/>
      <c r="SGW66" s="137"/>
      <c r="SGX66" s="137"/>
      <c r="SGY66" s="137"/>
      <c r="SGZ66" s="137"/>
      <c r="SHA66" s="137"/>
      <c r="SHB66" s="137"/>
      <c r="SHC66" s="137"/>
      <c r="SHD66" s="137"/>
      <c r="SHE66" s="137"/>
      <c r="SHF66" s="137"/>
      <c r="SHG66" s="137"/>
      <c r="SHH66" s="137"/>
      <c r="SHI66" s="137"/>
      <c r="SHJ66" s="137"/>
      <c r="SHK66" s="137"/>
      <c r="SHL66" s="137"/>
      <c r="SHM66" s="137"/>
      <c r="SHN66" s="137"/>
      <c r="SHO66" s="137"/>
      <c r="SHP66" s="137"/>
      <c r="SHQ66" s="137"/>
      <c r="SHR66" s="137"/>
      <c r="SHS66" s="137"/>
      <c r="SHT66" s="137"/>
      <c r="SHU66" s="137"/>
      <c r="SHV66" s="137"/>
      <c r="SHW66" s="137"/>
      <c r="SHX66" s="137"/>
      <c r="SHY66" s="137"/>
      <c r="SHZ66" s="137"/>
      <c r="SIA66" s="137"/>
      <c r="SIB66" s="137"/>
      <c r="SIC66" s="137"/>
      <c r="SID66" s="137"/>
      <c r="SIE66" s="137"/>
      <c r="SIF66" s="137"/>
      <c r="SIG66" s="137"/>
      <c r="SIH66" s="137"/>
      <c r="SII66" s="137"/>
      <c r="SIJ66" s="137"/>
      <c r="SIK66" s="137"/>
      <c r="SIL66" s="137"/>
      <c r="SIM66" s="137"/>
      <c r="SIN66" s="137"/>
      <c r="SIO66" s="137"/>
      <c r="SIP66" s="137"/>
      <c r="SIQ66" s="137"/>
      <c r="SIR66" s="137"/>
      <c r="SIS66" s="137"/>
      <c r="SIT66" s="137"/>
      <c r="SIU66" s="137"/>
      <c r="SIV66" s="137"/>
      <c r="SIW66" s="137"/>
      <c r="SIX66" s="137"/>
      <c r="SIY66" s="137"/>
      <c r="SIZ66" s="137"/>
      <c r="SJA66" s="137"/>
      <c r="SJB66" s="137"/>
      <c r="SJC66" s="137"/>
      <c r="SJD66" s="137"/>
      <c r="SJE66" s="137"/>
      <c r="SJF66" s="137"/>
      <c r="SJG66" s="137"/>
      <c r="SJH66" s="137"/>
      <c r="SJI66" s="137"/>
      <c r="SJJ66" s="137"/>
      <c r="SJK66" s="137"/>
      <c r="SJL66" s="137"/>
      <c r="SJM66" s="137"/>
      <c r="SJN66" s="137"/>
      <c r="SJO66" s="137"/>
      <c r="SJP66" s="137"/>
      <c r="SJQ66" s="137"/>
      <c r="SJR66" s="137"/>
      <c r="SJS66" s="137"/>
      <c r="SJT66" s="137"/>
      <c r="SJU66" s="137"/>
      <c r="SJV66" s="137"/>
      <c r="SJW66" s="137"/>
      <c r="SJX66" s="137"/>
      <c r="SJY66" s="137"/>
      <c r="SJZ66" s="137"/>
      <c r="SKA66" s="137"/>
      <c r="SKB66" s="137"/>
      <c r="SKC66" s="137"/>
      <c r="SKD66" s="137"/>
      <c r="SKE66" s="137"/>
      <c r="SKF66" s="137"/>
      <c r="SKG66" s="137"/>
      <c r="SKH66" s="137"/>
      <c r="SKI66" s="137"/>
      <c r="SKJ66" s="137"/>
      <c r="SKK66" s="137"/>
      <c r="SKL66" s="137"/>
      <c r="SKM66" s="137"/>
      <c r="SKN66" s="137"/>
      <c r="SKO66" s="137"/>
      <c r="SKP66" s="137"/>
      <c r="SKQ66" s="137"/>
      <c r="SKR66" s="137"/>
      <c r="SKS66" s="137"/>
      <c r="SKT66" s="137"/>
      <c r="SKU66" s="137"/>
      <c r="SKV66" s="137"/>
      <c r="SKW66" s="137"/>
      <c r="SKX66" s="137"/>
      <c r="SKY66" s="137"/>
      <c r="SKZ66" s="137"/>
      <c r="SLA66" s="137"/>
      <c r="SLB66" s="137"/>
      <c r="SLC66" s="137"/>
      <c r="SLD66" s="137"/>
      <c r="SLE66" s="137"/>
      <c r="SLF66" s="137"/>
      <c r="SLG66" s="137"/>
      <c r="SLH66" s="137"/>
      <c r="SLI66" s="137"/>
      <c r="SLJ66" s="137"/>
      <c r="SLK66" s="137"/>
      <c r="SLL66" s="137"/>
      <c r="SLM66" s="137"/>
      <c r="SLN66" s="137"/>
      <c r="SLO66" s="137"/>
      <c r="SLP66" s="137"/>
      <c r="SLQ66" s="137"/>
      <c r="SLR66" s="137"/>
      <c r="SLS66" s="137"/>
      <c r="SLT66" s="137"/>
      <c r="SLU66" s="137"/>
      <c r="SLV66" s="137"/>
      <c r="SLW66" s="137"/>
      <c r="SLX66" s="137"/>
      <c r="SLY66" s="137"/>
      <c r="SLZ66" s="137"/>
      <c r="SMA66" s="137"/>
      <c r="SMB66" s="137"/>
      <c r="SMC66" s="137"/>
      <c r="SMD66" s="137"/>
      <c r="SME66" s="137"/>
      <c r="SMF66" s="137"/>
      <c r="SMG66" s="137"/>
      <c r="SMH66" s="137"/>
      <c r="SMI66" s="137"/>
      <c r="SMJ66" s="137"/>
      <c r="SMK66" s="137"/>
      <c r="SML66" s="137"/>
      <c r="SMM66" s="137"/>
      <c r="SMN66" s="137"/>
      <c r="SMO66" s="137"/>
      <c r="SMP66" s="137"/>
      <c r="SMQ66" s="137"/>
      <c r="SMR66" s="137"/>
      <c r="SMS66" s="137"/>
      <c r="SMT66" s="137"/>
      <c r="SMU66" s="137"/>
      <c r="SMV66" s="137"/>
      <c r="SMW66" s="137"/>
      <c r="SMX66" s="137"/>
      <c r="SMY66" s="137"/>
      <c r="SMZ66" s="137"/>
      <c r="SNA66" s="137"/>
      <c r="SNB66" s="137"/>
      <c r="SNC66" s="137"/>
      <c r="SND66" s="137"/>
      <c r="SNE66" s="137"/>
      <c r="SNF66" s="137"/>
      <c r="SNG66" s="137"/>
      <c r="SNH66" s="137"/>
      <c r="SNI66" s="137"/>
      <c r="SNJ66" s="137"/>
      <c r="SNK66" s="137"/>
      <c r="SNL66" s="137"/>
      <c r="SNM66" s="137"/>
      <c r="SNN66" s="137"/>
      <c r="SNO66" s="137"/>
      <c r="SNP66" s="137"/>
      <c r="SNQ66" s="137"/>
      <c r="SNR66" s="137"/>
      <c r="SNS66" s="137"/>
      <c r="SNT66" s="137"/>
      <c r="SNU66" s="137"/>
      <c r="SNV66" s="137"/>
      <c r="SNW66" s="137"/>
      <c r="SNX66" s="137"/>
      <c r="SNY66" s="137"/>
      <c r="SNZ66" s="137"/>
      <c r="SOA66" s="137"/>
      <c r="SOB66" s="137"/>
      <c r="SOC66" s="137"/>
      <c r="SOD66" s="137"/>
      <c r="SOE66" s="137"/>
      <c r="SOF66" s="137"/>
      <c r="SOG66" s="137"/>
      <c r="SOH66" s="137"/>
      <c r="SOI66" s="137"/>
      <c r="SOJ66" s="137"/>
      <c r="SOK66" s="137"/>
      <c r="SOL66" s="137"/>
      <c r="SOM66" s="137"/>
      <c r="SON66" s="137"/>
      <c r="SOO66" s="137"/>
      <c r="SOP66" s="137"/>
      <c r="SOQ66" s="137"/>
      <c r="SOR66" s="137"/>
      <c r="SOS66" s="137"/>
      <c r="SOT66" s="137"/>
      <c r="SOU66" s="137"/>
      <c r="SOV66" s="137"/>
      <c r="SOW66" s="137"/>
      <c r="SOX66" s="137"/>
      <c r="SOY66" s="137"/>
      <c r="SOZ66" s="137"/>
      <c r="SPA66" s="137"/>
      <c r="SPB66" s="137"/>
      <c r="SPC66" s="137"/>
      <c r="SPD66" s="137"/>
      <c r="SPE66" s="137"/>
      <c r="SPF66" s="137"/>
      <c r="SPG66" s="137"/>
      <c r="SPH66" s="137"/>
      <c r="SPI66" s="137"/>
      <c r="SPJ66" s="137"/>
      <c r="SPK66" s="137"/>
      <c r="SPL66" s="137"/>
      <c r="SPM66" s="137"/>
      <c r="SPN66" s="137"/>
      <c r="SPO66" s="137"/>
      <c r="SPP66" s="137"/>
      <c r="SPQ66" s="137"/>
      <c r="SPR66" s="137"/>
      <c r="SPS66" s="137"/>
      <c r="SPT66" s="137"/>
      <c r="SPU66" s="137"/>
      <c r="SPV66" s="137"/>
      <c r="SPW66" s="137"/>
      <c r="SPX66" s="137"/>
      <c r="SPY66" s="137"/>
      <c r="SPZ66" s="137"/>
      <c r="SQA66" s="137"/>
      <c r="SQB66" s="137"/>
      <c r="SQC66" s="137"/>
      <c r="SQD66" s="137"/>
      <c r="SQE66" s="137"/>
      <c r="SQF66" s="137"/>
      <c r="SQG66" s="137"/>
      <c r="SQH66" s="137"/>
      <c r="SQI66" s="137"/>
      <c r="SQJ66" s="137"/>
      <c r="SQK66" s="137"/>
      <c r="SQL66" s="137"/>
      <c r="SQM66" s="137"/>
      <c r="SQN66" s="137"/>
      <c r="SQO66" s="137"/>
      <c r="SQP66" s="137"/>
      <c r="SQQ66" s="137"/>
      <c r="SQR66" s="137"/>
      <c r="SQS66" s="137"/>
      <c r="SQT66" s="137"/>
      <c r="SQU66" s="137"/>
      <c r="SQV66" s="137"/>
      <c r="SQW66" s="137"/>
      <c r="SQX66" s="137"/>
      <c r="SQY66" s="137"/>
      <c r="SQZ66" s="137"/>
      <c r="SRA66" s="137"/>
      <c r="SRB66" s="137"/>
      <c r="SRC66" s="137"/>
      <c r="SRD66" s="137"/>
      <c r="SRE66" s="137"/>
      <c r="SRF66" s="137"/>
      <c r="SRG66" s="137"/>
      <c r="SRH66" s="137"/>
      <c r="SRI66" s="137"/>
      <c r="SRJ66" s="137"/>
      <c r="SRK66" s="137"/>
      <c r="SRL66" s="137"/>
      <c r="SRM66" s="137"/>
      <c r="SRN66" s="137"/>
      <c r="SRO66" s="137"/>
      <c r="SRP66" s="137"/>
      <c r="SRQ66" s="137"/>
      <c r="SRR66" s="137"/>
      <c r="SRS66" s="137"/>
      <c r="SRT66" s="137"/>
      <c r="SRU66" s="137"/>
      <c r="SRV66" s="137"/>
      <c r="SRW66" s="137"/>
      <c r="SRX66" s="137"/>
      <c r="SRY66" s="137"/>
      <c r="SRZ66" s="137"/>
      <c r="SSA66" s="137"/>
      <c r="SSB66" s="137"/>
      <c r="SSC66" s="137"/>
      <c r="SSD66" s="137"/>
      <c r="SSE66" s="137"/>
      <c r="SSF66" s="137"/>
      <c r="SSG66" s="137"/>
      <c r="SSH66" s="137"/>
      <c r="SSI66" s="137"/>
      <c r="SSJ66" s="137"/>
      <c r="SSK66" s="137"/>
      <c r="SSL66" s="137"/>
      <c r="SSM66" s="137"/>
      <c r="SSN66" s="137"/>
      <c r="SSO66" s="137"/>
      <c r="SSP66" s="137"/>
      <c r="SSQ66" s="137"/>
      <c r="SSR66" s="137"/>
      <c r="SSS66" s="137"/>
      <c r="SST66" s="137"/>
      <c r="SSU66" s="137"/>
      <c r="SSV66" s="137"/>
      <c r="SSW66" s="137"/>
      <c r="SSX66" s="137"/>
      <c r="SSY66" s="137"/>
      <c r="SSZ66" s="137"/>
      <c r="STA66" s="137"/>
      <c r="STB66" s="137"/>
      <c r="STC66" s="137"/>
      <c r="STD66" s="137"/>
      <c r="STE66" s="137"/>
      <c r="STF66" s="137"/>
      <c r="STG66" s="137"/>
      <c r="STH66" s="137"/>
      <c r="STI66" s="137"/>
      <c r="STJ66" s="137"/>
      <c r="STK66" s="137"/>
      <c r="STL66" s="137"/>
      <c r="STM66" s="137"/>
      <c r="STN66" s="137"/>
      <c r="STO66" s="137"/>
      <c r="STP66" s="137"/>
      <c r="STQ66" s="137"/>
      <c r="STR66" s="137"/>
      <c r="STS66" s="137"/>
      <c r="STT66" s="137"/>
      <c r="STU66" s="137"/>
      <c r="STV66" s="137"/>
      <c r="STW66" s="137"/>
      <c r="STX66" s="137"/>
      <c r="STY66" s="137"/>
      <c r="STZ66" s="137"/>
      <c r="SUA66" s="137"/>
      <c r="SUB66" s="137"/>
      <c r="SUC66" s="137"/>
      <c r="SUD66" s="137"/>
      <c r="SUE66" s="137"/>
      <c r="SUF66" s="137"/>
      <c r="SUG66" s="137"/>
      <c r="SUH66" s="137"/>
      <c r="SUI66" s="137"/>
      <c r="SUJ66" s="137"/>
      <c r="SUK66" s="137"/>
      <c r="SUL66" s="137"/>
      <c r="SUM66" s="137"/>
      <c r="SUN66" s="137"/>
      <c r="SUO66" s="137"/>
      <c r="SUP66" s="137"/>
      <c r="SUQ66" s="137"/>
      <c r="SUR66" s="137"/>
      <c r="SUS66" s="137"/>
      <c r="SUT66" s="137"/>
      <c r="SUU66" s="137"/>
      <c r="SUV66" s="137"/>
      <c r="SUW66" s="137"/>
      <c r="SUX66" s="137"/>
      <c r="SUY66" s="137"/>
      <c r="SUZ66" s="137"/>
      <c r="SVA66" s="137"/>
      <c r="SVB66" s="137"/>
      <c r="SVC66" s="137"/>
      <c r="SVD66" s="137"/>
      <c r="SVE66" s="137"/>
      <c r="SVF66" s="137"/>
      <c r="SVG66" s="137"/>
      <c r="SVH66" s="137"/>
      <c r="SVI66" s="137"/>
      <c r="SVJ66" s="137"/>
      <c r="SVK66" s="137"/>
      <c r="SVL66" s="137"/>
      <c r="SVM66" s="137"/>
      <c r="SVN66" s="137"/>
      <c r="SVO66" s="137"/>
      <c r="SVP66" s="137"/>
      <c r="SVQ66" s="137"/>
      <c r="SVR66" s="137"/>
      <c r="SVS66" s="137"/>
      <c r="SVT66" s="137"/>
      <c r="SVU66" s="137"/>
      <c r="SVV66" s="137"/>
      <c r="SVW66" s="137"/>
      <c r="SVX66" s="137"/>
      <c r="SVY66" s="137"/>
      <c r="SVZ66" s="137"/>
      <c r="SWA66" s="137"/>
      <c r="SWB66" s="137"/>
      <c r="SWC66" s="137"/>
      <c r="SWD66" s="137"/>
      <c r="SWE66" s="137"/>
      <c r="SWF66" s="137"/>
      <c r="SWG66" s="137"/>
      <c r="SWH66" s="137"/>
      <c r="SWI66" s="137"/>
      <c r="SWJ66" s="137"/>
      <c r="SWK66" s="137"/>
      <c r="SWL66" s="137"/>
      <c r="SWM66" s="137"/>
      <c r="SWN66" s="137"/>
      <c r="SWO66" s="137"/>
      <c r="SWP66" s="137"/>
      <c r="SWQ66" s="137"/>
      <c r="SWR66" s="137"/>
      <c r="SWS66" s="137"/>
      <c r="SWT66" s="137"/>
      <c r="SWU66" s="137"/>
      <c r="SWV66" s="137"/>
      <c r="SWW66" s="137"/>
      <c r="SWX66" s="137"/>
      <c r="SWY66" s="137"/>
      <c r="SWZ66" s="137"/>
      <c r="SXA66" s="137"/>
      <c r="SXB66" s="137"/>
      <c r="SXC66" s="137"/>
      <c r="SXD66" s="137"/>
      <c r="SXE66" s="137"/>
      <c r="SXF66" s="137"/>
      <c r="SXG66" s="137"/>
      <c r="SXH66" s="137"/>
      <c r="SXI66" s="137"/>
      <c r="SXJ66" s="137"/>
      <c r="SXK66" s="137"/>
      <c r="SXL66" s="137"/>
      <c r="SXM66" s="137"/>
      <c r="SXN66" s="137"/>
      <c r="SXO66" s="137"/>
      <c r="SXP66" s="137"/>
      <c r="SXQ66" s="137"/>
      <c r="SXR66" s="137"/>
      <c r="SXS66" s="137"/>
      <c r="SXT66" s="137"/>
      <c r="SXU66" s="137"/>
      <c r="SXV66" s="137"/>
      <c r="SXW66" s="137"/>
      <c r="SXX66" s="137"/>
      <c r="SXY66" s="137"/>
      <c r="SXZ66" s="137"/>
      <c r="SYA66" s="137"/>
      <c r="SYB66" s="137"/>
      <c r="SYC66" s="137"/>
      <c r="SYD66" s="137"/>
      <c r="SYE66" s="137"/>
      <c r="SYF66" s="137"/>
      <c r="SYG66" s="137"/>
      <c r="SYH66" s="137"/>
      <c r="SYI66" s="137"/>
      <c r="SYJ66" s="137"/>
      <c r="SYK66" s="137"/>
      <c r="SYL66" s="137"/>
      <c r="SYM66" s="137"/>
      <c r="SYN66" s="137"/>
      <c r="SYO66" s="137"/>
      <c r="SYP66" s="137"/>
      <c r="SYQ66" s="137"/>
      <c r="SYR66" s="137"/>
      <c r="SYS66" s="137"/>
      <c r="SYT66" s="137"/>
      <c r="SYU66" s="137"/>
      <c r="SYV66" s="137"/>
      <c r="SYW66" s="137"/>
      <c r="SYX66" s="137"/>
      <c r="SYY66" s="137"/>
      <c r="SYZ66" s="137"/>
      <c r="SZA66" s="137"/>
      <c r="SZB66" s="137"/>
      <c r="SZC66" s="137"/>
      <c r="SZD66" s="137"/>
      <c r="SZE66" s="137"/>
      <c r="SZF66" s="137"/>
      <c r="SZG66" s="137"/>
      <c r="SZH66" s="137"/>
      <c r="SZI66" s="137"/>
      <c r="SZJ66" s="137"/>
      <c r="SZK66" s="137"/>
      <c r="SZL66" s="137"/>
      <c r="SZM66" s="137"/>
      <c r="SZN66" s="137"/>
      <c r="SZO66" s="137"/>
      <c r="SZP66" s="137"/>
      <c r="SZQ66" s="137"/>
      <c r="SZR66" s="137"/>
      <c r="SZS66" s="137"/>
      <c r="SZT66" s="137"/>
      <c r="SZU66" s="137"/>
      <c r="SZV66" s="137"/>
      <c r="SZW66" s="137"/>
      <c r="SZX66" s="137"/>
      <c r="SZY66" s="137"/>
      <c r="SZZ66" s="137"/>
      <c r="TAA66" s="137"/>
      <c r="TAB66" s="137"/>
      <c r="TAC66" s="137"/>
      <c r="TAD66" s="137"/>
      <c r="TAE66" s="137"/>
      <c r="TAF66" s="137"/>
      <c r="TAG66" s="137"/>
      <c r="TAH66" s="137"/>
      <c r="TAI66" s="137"/>
      <c r="TAJ66" s="137"/>
      <c r="TAK66" s="137"/>
      <c r="TAL66" s="137"/>
      <c r="TAM66" s="137"/>
      <c r="TAN66" s="137"/>
      <c r="TAO66" s="137"/>
      <c r="TAP66" s="137"/>
      <c r="TAQ66" s="137"/>
      <c r="TAR66" s="137"/>
      <c r="TAS66" s="137"/>
      <c r="TAT66" s="137"/>
      <c r="TAU66" s="137"/>
      <c r="TAV66" s="137"/>
      <c r="TAW66" s="137"/>
      <c r="TAX66" s="137"/>
      <c r="TAY66" s="137"/>
      <c r="TAZ66" s="137"/>
      <c r="TBA66" s="137"/>
      <c r="TBB66" s="137"/>
      <c r="TBC66" s="137"/>
      <c r="TBD66" s="137"/>
      <c r="TBE66" s="137"/>
      <c r="TBF66" s="137"/>
      <c r="TBG66" s="137"/>
      <c r="TBH66" s="137"/>
      <c r="TBI66" s="137"/>
      <c r="TBJ66" s="137"/>
      <c r="TBK66" s="137"/>
      <c r="TBL66" s="137"/>
      <c r="TBM66" s="137"/>
      <c r="TBN66" s="137"/>
      <c r="TBO66" s="137"/>
      <c r="TBP66" s="137"/>
      <c r="TBQ66" s="137"/>
      <c r="TBR66" s="137"/>
      <c r="TBS66" s="137"/>
      <c r="TBT66" s="137"/>
      <c r="TBU66" s="137"/>
      <c r="TBV66" s="137"/>
      <c r="TBW66" s="137"/>
      <c r="TBX66" s="137"/>
      <c r="TBY66" s="137"/>
      <c r="TBZ66" s="137"/>
      <c r="TCA66" s="137"/>
      <c r="TCB66" s="137"/>
      <c r="TCC66" s="137"/>
      <c r="TCD66" s="137"/>
      <c r="TCE66" s="137"/>
      <c r="TCF66" s="137"/>
      <c r="TCG66" s="137"/>
      <c r="TCH66" s="137"/>
      <c r="TCI66" s="137"/>
      <c r="TCJ66" s="137"/>
      <c r="TCK66" s="137"/>
      <c r="TCL66" s="137"/>
      <c r="TCM66" s="137"/>
      <c r="TCN66" s="137"/>
      <c r="TCO66" s="137"/>
      <c r="TCP66" s="137"/>
      <c r="TCQ66" s="137"/>
      <c r="TCR66" s="137"/>
      <c r="TCS66" s="137"/>
      <c r="TCT66" s="137"/>
      <c r="TCU66" s="137"/>
      <c r="TCV66" s="137"/>
      <c r="TCW66" s="137"/>
      <c r="TCX66" s="137"/>
      <c r="TCY66" s="137"/>
      <c r="TCZ66" s="137"/>
      <c r="TDA66" s="137"/>
      <c r="TDB66" s="137"/>
      <c r="TDC66" s="137"/>
      <c r="TDD66" s="137"/>
      <c r="TDE66" s="137"/>
      <c r="TDF66" s="137"/>
      <c r="TDG66" s="137"/>
      <c r="TDH66" s="137"/>
      <c r="TDI66" s="137"/>
      <c r="TDJ66" s="137"/>
      <c r="TDK66" s="137"/>
      <c r="TDL66" s="137"/>
      <c r="TDM66" s="137"/>
      <c r="TDN66" s="137"/>
      <c r="TDO66" s="137"/>
      <c r="TDP66" s="137"/>
      <c r="TDQ66" s="137"/>
      <c r="TDR66" s="137"/>
      <c r="TDS66" s="137"/>
      <c r="TDT66" s="137"/>
      <c r="TDU66" s="137"/>
      <c r="TDV66" s="137"/>
      <c r="TDW66" s="137"/>
      <c r="TDX66" s="137"/>
      <c r="TDY66" s="137"/>
      <c r="TDZ66" s="137"/>
      <c r="TEA66" s="137"/>
      <c r="TEB66" s="137"/>
      <c r="TEC66" s="137"/>
      <c r="TED66" s="137"/>
      <c r="TEE66" s="137"/>
      <c r="TEF66" s="137"/>
      <c r="TEG66" s="137"/>
      <c r="TEH66" s="137"/>
      <c r="TEI66" s="137"/>
      <c r="TEJ66" s="137"/>
      <c r="TEK66" s="137"/>
      <c r="TEL66" s="137"/>
      <c r="TEM66" s="137"/>
      <c r="TEN66" s="137"/>
      <c r="TEO66" s="137"/>
      <c r="TEP66" s="137"/>
      <c r="TEQ66" s="137"/>
      <c r="TER66" s="137"/>
      <c r="TES66" s="137"/>
      <c r="TET66" s="137"/>
      <c r="TEU66" s="137"/>
      <c r="TEV66" s="137"/>
      <c r="TEW66" s="137"/>
      <c r="TEX66" s="137"/>
      <c r="TEY66" s="137"/>
      <c r="TEZ66" s="137"/>
      <c r="TFA66" s="137"/>
      <c r="TFB66" s="137"/>
      <c r="TFC66" s="137"/>
      <c r="TFD66" s="137"/>
      <c r="TFE66" s="137"/>
      <c r="TFF66" s="137"/>
      <c r="TFG66" s="137"/>
      <c r="TFH66" s="137"/>
      <c r="TFI66" s="137"/>
      <c r="TFJ66" s="137"/>
      <c r="TFK66" s="137"/>
      <c r="TFL66" s="137"/>
      <c r="TFM66" s="137"/>
      <c r="TFN66" s="137"/>
      <c r="TFO66" s="137"/>
      <c r="TFP66" s="137"/>
      <c r="TFQ66" s="137"/>
      <c r="TFR66" s="137"/>
      <c r="TFS66" s="137"/>
      <c r="TFT66" s="137"/>
      <c r="TFU66" s="137"/>
      <c r="TFV66" s="137"/>
      <c r="TFW66" s="137"/>
      <c r="TFX66" s="137"/>
      <c r="TFY66" s="137"/>
      <c r="TFZ66" s="137"/>
      <c r="TGA66" s="137"/>
      <c r="TGB66" s="137"/>
      <c r="TGC66" s="137"/>
      <c r="TGD66" s="137"/>
      <c r="TGE66" s="137"/>
      <c r="TGF66" s="137"/>
      <c r="TGG66" s="137"/>
      <c r="TGH66" s="137"/>
      <c r="TGI66" s="137"/>
      <c r="TGJ66" s="137"/>
      <c r="TGK66" s="137"/>
      <c r="TGL66" s="137"/>
      <c r="TGM66" s="137"/>
      <c r="TGN66" s="137"/>
      <c r="TGO66" s="137"/>
      <c r="TGP66" s="137"/>
      <c r="TGQ66" s="137"/>
      <c r="TGR66" s="137"/>
      <c r="TGS66" s="137"/>
      <c r="TGT66" s="137"/>
      <c r="TGU66" s="137"/>
      <c r="TGV66" s="137"/>
      <c r="TGW66" s="137"/>
      <c r="TGX66" s="137"/>
      <c r="TGY66" s="137"/>
      <c r="TGZ66" s="137"/>
      <c r="THA66" s="137"/>
      <c r="THB66" s="137"/>
      <c r="THC66" s="137"/>
      <c r="THD66" s="137"/>
      <c r="THE66" s="137"/>
      <c r="THF66" s="137"/>
      <c r="THG66" s="137"/>
      <c r="THH66" s="137"/>
      <c r="THI66" s="137"/>
      <c r="THJ66" s="137"/>
      <c r="THK66" s="137"/>
      <c r="THL66" s="137"/>
      <c r="THM66" s="137"/>
      <c r="THN66" s="137"/>
      <c r="THO66" s="137"/>
      <c r="THP66" s="137"/>
      <c r="THQ66" s="137"/>
      <c r="THR66" s="137"/>
      <c r="THS66" s="137"/>
      <c r="THT66" s="137"/>
      <c r="THU66" s="137"/>
      <c r="THV66" s="137"/>
      <c r="THW66" s="137"/>
      <c r="THX66" s="137"/>
      <c r="THY66" s="137"/>
      <c r="THZ66" s="137"/>
      <c r="TIA66" s="137"/>
      <c r="TIB66" s="137"/>
      <c r="TIC66" s="137"/>
      <c r="TID66" s="137"/>
      <c r="TIE66" s="137"/>
      <c r="TIF66" s="137"/>
      <c r="TIG66" s="137"/>
      <c r="TIH66" s="137"/>
      <c r="TII66" s="137"/>
      <c r="TIJ66" s="137"/>
      <c r="TIK66" s="137"/>
      <c r="TIL66" s="137"/>
      <c r="TIM66" s="137"/>
      <c r="TIN66" s="137"/>
      <c r="TIO66" s="137"/>
      <c r="TIP66" s="137"/>
      <c r="TIQ66" s="137"/>
      <c r="TIR66" s="137"/>
      <c r="TIS66" s="137"/>
      <c r="TIT66" s="137"/>
      <c r="TIU66" s="137"/>
      <c r="TIV66" s="137"/>
      <c r="TIW66" s="137"/>
      <c r="TIX66" s="137"/>
      <c r="TIY66" s="137"/>
      <c r="TIZ66" s="137"/>
      <c r="TJA66" s="137"/>
      <c r="TJB66" s="137"/>
      <c r="TJC66" s="137"/>
      <c r="TJD66" s="137"/>
      <c r="TJE66" s="137"/>
      <c r="TJF66" s="137"/>
      <c r="TJG66" s="137"/>
      <c r="TJH66" s="137"/>
      <c r="TJI66" s="137"/>
      <c r="TJJ66" s="137"/>
      <c r="TJK66" s="137"/>
      <c r="TJL66" s="137"/>
      <c r="TJM66" s="137"/>
      <c r="TJN66" s="137"/>
      <c r="TJO66" s="137"/>
      <c r="TJP66" s="137"/>
      <c r="TJQ66" s="137"/>
      <c r="TJR66" s="137"/>
      <c r="TJS66" s="137"/>
      <c r="TJT66" s="137"/>
      <c r="TJU66" s="137"/>
      <c r="TJV66" s="137"/>
      <c r="TJW66" s="137"/>
      <c r="TJX66" s="137"/>
      <c r="TJY66" s="137"/>
      <c r="TJZ66" s="137"/>
      <c r="TKA66" s="137"/>
      <c r="TKB66" s="137"/>
      <c r="TKC66" s="137"/>
      <c r="TKD66" s="137"/>
      <c r="TKE66" s="137"/>
      <c r="TKF66" s="137"/>
      <c r="TKG66" s="137"/>
      <c r="TKH66" s="137"/>
      <c r="TKI66" s="137"/>
      <c r="TKJ66" s="137"/>
      <c r="TKK66" s="137"/>
      <c r="TKL66" s="137"/>
      <c r="TKM66" s="137"/>
      <c r="TKN66" s="137"/>
      <c r="TKO66" s="137"/>
      <c r="TKP66" s="137"/>
      <c r="TKQ66" s="137"/>
      <c r="TKR66" s="137"/>
      <c r="TKS66" s="137"/>
      <c r="TKT66" s="137"/>
      <c r="TKU66" s="137"/>
      <c r="TKV66" s="137"/>
      <c r="TKW66" s="137"/>
      <c r="TKX66" s="137"/>
      <c r="TKY66" s="137"/>
      <c r="TKZ66" s="137"/>
      <c r="TLA66" s="137"/>
      <c r="TLB66" s="137"/>
      <c r="TLC66" s="137"/>
      <c r="TLD66" s="137"/>
      <c r="TLE66" s="137"/>
      <c r="TLF66" s="137"/>
      <c r="TLG66" s="137"/>
      <c r="TLH66" s="137"/>
      <c r="TLI66" s="137"/>
      <c r="TLJ66" s="137"/>
      <c r="TLK66" s="137"/>
      <c r="TLL66" s="137"/>
      <c r="TLM66" s="137"/>
      <c r="TLN66" s="137"/>
      <c r="TLO66" s="137"/>
      <c r="TLP66" s="137"/>
      <c r="TLQ66" s="137"/>
      <c r="TLR66" s="137"/>
      <c r="TLS66" s="137"/>
      <c r="TLT66" s="137"/>
      <c r="TLU66" s="137"/>
      <c r="TLV66" s="137"/>
      <c r="TLW66" s="137"/>
      <c r="TLX66" s="137"/>
      <c r="TLY66" s="137"/>
      <c r="TLZ66" s="137"/>
      <c r="TMA66" s="137"/>
      <c r="TMB66" s="137"/>
      <c r="TMC66" s="137"/>
      <c r="TMD66" s="137"/>
      <c r="TME66" s="137"/>
      <c r="TMF66" s="137"/>
      <c r="TMG66" s="137"/>
      <c r="TMH66" s="137"/>
      <c r="TMI66" s="137"/>
      <c r="TMJ66" s="137"/>
      <c r="TMK66" s="137"/>
      <c r="TML66" s="137"/>
      <c r="TMM66" s="137"/>
      <c r="TMN66" s="137"/>
      <c r="TMO66" s="137"/>
      <c r="TMP66" s="137"/>
      <c r="TMQ66" s="137"/>
      <c r="TMR66" s="137"/>
      <c r="TMS66" s="137"/>
      <c r="TMT66" s="137"/>
      <c r="TMU66" s="137"/>
      <c r="TMV66" s="137"/>
      <c r="TMW66" s="137"/>
      <c r="TMX66" s="137"/>
      <c r="TMY66" s="137"/>
      <c r="TMZ66" s="137"/>
      <c r="TNA66" s="137"/>
      <c r="TNB66" s="137"/>
      <c r="TNC66" s="137"/>
      <c r="TND66" s="137"/>
      <c r="TNE66" s="137"/>
      <c r="TNF66" s="137"/>
      <c r="TNG66" s="137"/>
      <c r="TNH66" s="137"/>
      <c r="TNI66" s="137"/>
      <c r="TNJ66" s="137"/>
      <c r="TNK66" s="137"/>
      <c r="TNL66" s="137"/>
      <c r="TNM66" s="137"/>
      <c r="TNN66" s="137"/>
      <c r="TNO66" s="137"/>
      <c r="TNP66" s="137"/>
      <c r="TNQ66" s="137"/>
      <c r="TNR66" s="137"/>
      <c r="TNS66" s="137"/>
      <c r="TNT66" s="137"/>
      <c r="TNU66" s="137"/>
      <c r="TNV66" s="137"/>
      <c r="TNW66" s="137"/>
      <c r="TNX66" s="137"/>
      <c r="TNY66" s="137"/>
      <c r="TNZ66" s="137"/>
      <c r="TOA66" s="137"/>
      <c r="TOB66" s="137"/>
      <c r="TOC66" s="137"/>
      <c r="TOD66" s="137"/>
      <c r="TOE66" s="137"/>
      <c r="TOF66" s="137"/>
      <c r="TOG66" s="137"/>
      <c r="TOH66" s="137"/>
      <c r="TOI66" s="137"/>
      <c r="TOJ66" s="137"/>
      <c r="TOK66" s="137"/>
      <c r="TOL66" s="137"/>
      <c r="TOM66" s="137"/>
      <c r="TON66" s="137"/>
      <c r="TOO66" s="137"/>
      <c r="TOP66" s="137"/>
      <c r="TOQ66" s="137"/>
      <c r="TOR66" s="137"/>
      <c r="TOS66" s="137"/>
      <c r="TOT66" s="137"/>
      <c r="TOU66" s="137"/>
      <c r="TOV66" s="137"/>
      <c r="TOW66" s="137"/>
      <c r="TOX66" s="137"/>
      <c r="TOY66" s="137"/>
      <c r="TOZ66" s="137"/>
      <c r="TPA66" s="137"/>
      <c r="TPB66" s="137"/>
      <c r="TPC66" s="137"/>
      <c r="TPD66" s="137"/>
      <c r="TPE66" s="137"/>
      <c r="TPF66" s="137"/>
      <c r="TPG66" s="137"/>
      <c r="TPH66" s="137"/>
      <c r="TPI66" s="137"/>
      <c r="TPJ66" s="137"/>
      <c r="TPK66" s="137"/>
      <c r="TPL66" s="137"/>
      <c r="TPM66" s="137"/>
      <c r="TPN66" s="137"/>
      <c r="TPO66" s="137"/>
      <c r="TPP66" s="137"/>
      <c r="TPQ66" s="137"/>
      <c r="TPR66" s="137"/>
      <c r="TPS66" s="137"/>
      <c r="TPT66" s="137"/>
      <c r="TPU66" s="137"/>
      <c r="TPV66" s="137"/>
      <c r="TPW66" s="137"/>
      <c r="TPX66" s="137"/>
      <c r="TPY66" s="137"/>
      <c r="TPZ66" s="137"/>
      <c r="TQA66" s="137"/>
      <c r="TQB66" s="137"/>
      <c r="TQC66" s="137"/>
      <c r="TQD66" s="137"/>
      <c r="TQE66" s="137"/>
      <c r="TQF66" s="137"/>
      <c r="TQG66" s="137"/>
      <c r="TQH66" s="137"/>
      <c r="TQI66" s="137"/>
      <c r="TQJ66" s="137"/>
      <c r="TQK66" s="137"/>
      <c r="TQL66" s="137"/>
      <c r="TQM66" s="137"/>
      <c r="TQN66" s="137"/>
      <c r="TQO66" s="137"/>
      <c r="TQP66" s="137"/>
      <c r="TQQ66" s="137"/>
      <c r="TQR66" s="137"/>
      <c r="TQS66" s="137"/>
      <c r="TQT66" s="137"/>
      <c r="TQU66" s="137"/>
      <c r="TQV66" s="137"/>
      <c r="TQW66" s="137"/>
      <c r="TQX66" s="137"/>
      <c r="TQY66" s="137"/>
      <c r="TQZ66" s="137"/>
      <c r="TRA66" s="137"/>
      <c r="TRB66" s="137"/>
      <c r="TRC66" s="137"/>
      <c r="TRD66" s="137"/>
      <c r="TRE66" s="137"/>
      <c r="TRF66" s="137"/>
      <c r="TRG66" s="137"/>
      <c r="TRH66" s="137"/>
      <c r="TRI66" s="137"/>
      <c r="TRJ66" s="137"/>
      <c r="TRK66" s="137"/>
      <c r="TRL66" s="137"/>
      <c r="TRM66" s="137"/>
      <c r="TRN66" s="137"/>
      <c r="TRO66" s="137"/>
      <c r="TRP66" s="137"/>
      <c r="TRQ66" s="137"/>
      <c r="TRR66" s="137"/>
      <c r="TRS66" s="137"/>
      <c r="TRT66" s="137"/>
      <c r="TRU66" s="137"/>
      <c r="TRV66" s="137"/>
      <c r="TRW66" s="137"/>
      <c r="TRX66" s="137"/>
      <c r="TRY66" s="137"/>
      <c r="TRZ66" s="137"/>
      <c r="TSA66" s="137"/>
      <c r="TSB66" s="137"/>
      <c r="TSC66" s="137"/>
      <c r="TSD66" s="137"/>
      <c r="TSE66" s="137"/>
      <c r="TSF66" s="137"/>
      <c r="TSG66" s="137"/>
      <c r="TSH66" s="137"/>
      <c r="TSI66" s="137"/>
      <c r="TSJ66" s="137"/>
      <c r="TSK66" s="137"/>
      <c r="TSL66" s="137"/>
      <c r="TSM66" s="137"/>
      <c r="TSN66" s="137"/>
      <c r="TSO66" s="137"/>
      <c r="TSP66" s="137"/>
      <c r="TSQ66" s="137"/>
      <c r="TSR66" s="137"/>
      <c r="TSS66" s="137"/>
      <c r="TST66" s="137"/>
      <c r="TSU66" s="137"/>
      <c r="TSV66" s="137"/>
      <c r="TSW66" s="137"/>
      <c r="TSX66" s="137"/>
      <c r="TSY66" s="137"/>
      <c r="TSZ66" s="137"/>
      <c r="TTA66" s="137"/>
      <c r="TTB66" s="137"/>
      <c r="TTC66" s="137"/>
      <c r="TTD66" s="137"/>
      <c r="TTE66" s="137"/>
      <c r="TTF66" s="137"/>
      <c r="TTG66" s="137"/>
      <c r="TTH66" s="137"/>
      <c r="TTI66" s="137"/>
      <c r="TTJ66" s="137"/>
      <c r="TTK66" s="137"/>
      <c r="TTL66" s="137"/>
      <c r="TTM66" s="137"/>
      <c r="TTN66" s="137"/>
      <c r="TTO66" s="137"/>
      <c r="TTP66" s="137"/>
      <c r="TTQ66" s="137"/>
      <c r="TTR66" s="137"/>
      <c r="TTS66" s="137"/>
      <c r="TTT66" s="137"/>
      <c r="TTU66" s="137"/>
      <c r="TTV66" s="137"/>
      <c r="TTW66" s="137"/>
      <c r="TTX66" s="137"/>
      <c r="TTY66" s="137"/>
      <c r="TTZ66" s="137"/>
      <c r="TUA66" s="137"/>
      <c r="TUB66" s="137"/>
      <c r="TUC66" s="137"/>
      <c r="TUD66" s="137"/>
      <c r="TUE66" s="137"/>
      <c r="TUF66" s="137"/>
      <c r="TUG66" s="137"/>
      <c r="TUH66" s="137"/>
      <c r="TUI66" s="137"/>
      <c r="TUJ66" s="137"/>
      <c r="TUK66" s="137"/>
      <c r="TUL66" s="137"/>
      <c r="TUM66" s="137"/>
      <c r="TUN66" s="137"/>
      <c r="TUO66" s="137"/>
      <c r="TUP66" s="137"/>
      <c r="TUQ66" s="137"/>
      <c r="TUR66" s="137"/>
      <c r="TUS66" s="137"/>
      <c r="TUT66" s="137"/>
      <c r="TUU66" s="137"/>
      <c r="TUV66" s="137"/>
      <c r="TUW66" s="137"/>
      <c r="TUX66" s="137"/>
      <c r="TUY66" s="137"/>
      <c r="TUZ66" s="137"/>
      <c r="TVA66" s="137"/>
      <c r="TVB66" s="137"/>
      <c r="TVC66" s="137"/>
      <c r="TVD66" s="137"/>
      <c r="TVE66" s="137"/>
      <c r="TVF66" s="137"/>
      <c r="TVG66" s="137"/>
      <c r="TVH66" s="137"/>
      <c r="TVI66" s="137"/>
      <c r="TVJ66" s="137"/>
      <c r="TVK66" s="137"/>
      <c r="TVL66" s="137"/>
      <c r="TVM66" s="137"/>
      <c r="TVN66" s="137"/>
      <c r="TVO66" s="137"/>
      <c r="TVP66" s="137"/>
      <c r="TVQ66" s="137"/>
      <c r="TVR66" s="137"/>
      <c r="TVS66" s="137"/>
      <c r="TVT66" s="137"/>
      <c r="TVU66" s="137"/>
      <c r="TVV66" s="137"/>
      <c r="TVW66" s="137"/>
      <c r="TVX66" s="137"/>
      <c r="TVY66" s="137"/>
      <c r="TVZ66" s="137"/>
      <c r="TWA66" s="137"/>
      <c r="TWB66" s="137"/>
      <c r="TWC66" s="137"/>
      <c r="TWD66" s="137"/>
      <c r="TWE66" s="137"/>
      <c r="TWF66" s="137"/>
      <c r="TWG66" s="137"/>
      <c r="TWH66" s="137"/>
      <c r="TWI66" s="137"/>
      <c r="TWJ66" s="137"/>
      <c r="TWK66" s="137"/>
      <c r="TWL66" s="137"/>
      <c r="TWM66" s="137"/>
      <c r="TWN66" s="137"/>
      <c r="TWO66" s="137"/>
      <c r="TWP66" s="137"/>
      <c r="TWQ66" s="137"/>
      <c r="TWR66" s="137"/>
      <c r="TWS66" s="137"/>
      <c r="TWT66" s="137"/>
      <c r="TWU66" s="137"/>
      <c r="TWV66" s="137"/>
      <c r="TWW66" s="137"/>
      <c r="TWX66" s="137"/>
      <c r="TWY66" s="137"/>
      <c r="TWZ66" s="137"/>
      <c r="TXA66" s="137"/>
      <c r="TXB66" s="137"/>
      <c r="TXC66" s="137"/>
      <c r="TXD66" s="137"/>
      <c r="TXE66" s="137"/>
      <c r="TXF66" s="137"/>
      <c r="TXG66" s="137"/>
      <c r="TXH66" s="137"/>
      <c r="TXI66" s="137"/>
      <c r="TXJ66" s="137"/>
      <c r="TXK66" s="137"/>
      <c r="TXL66" s="137"/>
      <c r="TXM66" s="137"/>
      <c r="TXN66" s="137"/>
      <c r="TXO66" s="137"/>
      <c r="TXP66" s="137"/>
      <c r="TXQ66" s="137"/>
      <c r="TXR66" s="137"/>
      <c r="TXS66" s="137"/>
      <c r="TXT66" s="137"/>
      <c r="TXU66" s="137"/>
      <c r="TXV66" s="137"/>
      <c r="TXW66" s="137"/>
      <c r="TXX66" s="137"/>
      <c r="TXY66" s="137"/>
      <c r="TXZ66" s="137"/>
      <c r="TYA66" s="137"/>
      <c r="TYB66" s="137"/>
      <c r="TYC66" s="137"/>
      <c r="TYD66" s="137"/>
      <c r="TYE66" s="137"/>
      <c r="TYF66" s="137"/>
      <c r="TYG66" s="137"/>
      <c r="TYH66" s="137"/>
      <c r="TYI66" s="137"/>
      <c r="TYJ66" s="137"/>
      <c r="TYK66" s="137"/>
      <c r="TYL66" s="137"/>
      <c r="TYM66" s="137"/>
      <c r="TYN66" s="137"/>
      <c r="TYO66" s="137"/>
      <c r="TYP66" s="137"/>
      <c r="TYQ66" s="137"/>
      <c r="TYR66" s="137"/>
      <c r="TYS66" s="137"/>
      <c r="TYT66" s="137"/>
      <c r="TYU66" s="137"/>
      <c r="TYV66" s="137"/>
      <c r="TYW66" s="137"/>
      <c r="TYX66" s="137"/>
      <c r="TYY66" s="137"/>
      <c r="TYZ66" s="137"/>
      <c r="TZA66" s="137"/>
      <c r="TZB66" s="137"/>
      <c r="TZC66" s="137"/>
      <c r="TZD66" s="137"/>
      <c r="TZE66" s="137"/>
      <c r="TZF66" s="137"/>
      <c r="TZG66" s="137"/>
      <c r="TZH66" s="137"/>
      <c r="TZI66" s="137"/>
      <c r="TZJ66" s="137"/>
      <c r="TZK66" s="137"/>
      <c r="TZL66" s="137"/>
      <c r="TZM66" s="137"/>
      <c r="TZN66" s="137"/>
      <c r="TZO66" s="137"/>
      <c r="TZP66" s="137"/>
      <c r="TZQ66" s="137"/>
      <c r="TZR66" s="137"/>
      <c r="TZS66" s="137"/>
      <c r="TZT66" s="137"/>
      <c r="TZU66" s="137"/>
      <c r="TZV66" s="137"/>
      <c r="TZW66" s="137"/>
      <c r="TZX66" s="137"/>
      <c r="TZY66" s="137"/>
      <c r="TZZ66" s="137"/>
      <c r="UAA66" s="137"/>
      <c r="UAB66" s="137"/>
      <c r="UAC66" s="137"/>
      <c r="UAD66" s="137"/>
      <c r="UAE66" s="137"/>
      <c r="UAF66" s="137"/>
      <c r="UAG66" s="137"/>
      <c r="UAH66" s="137"/>
      <c r="UAI66" s="137"/>
      <c r="UAJ66" s="137"/>
      <c r="UAK66" s="137"/>
      <c r="UAL66" s="137"/>
      <c r="UAM66" s="137"/>
      <c r="UAN66" s="137"/>
      <c r="UAO66" s="137"/>
      <c r="UAP66" s="137"/>
      <c r="UAQ66" s="137"/>
      <c r="UAR66" s="137"/>
      <c r="UAS66" s="137"/>
      <c r="UAT66" s="137"/>
      <c r="UAU66" s="137"/>
      <c r="UAV66" s="137"/>
      <c r="UAW66" s="137"/>
      <c r="UAX66" s="137"/>
      <c r="UAY66" s="137"/>
      <c r="UAZ66" s="137"/>
      <c r="UBA66" s="137"/>
      <c r="UBB66" s="137"/>
      <c r="UBC66" s="137"/>
      <c r="UBD66" s="137"/>
      <c r="UBE66" s="137"/>
      <c r="UBF66" s="137"/>
      <c r="UBG66" s="137"/>
      <c r="UBH66" s="137"/>
      <c r="UBI66" s="137"/>
      <c r="UBJ66" s="137"/>
      <c r="UBK66" s="137"/>
      <c r="UBL66" s="137"/>
      <c r="UBM66" s="137"/>
      <c r="UBN66" s="137"/>
      <c r="UBO66" s="137"/>
      <c r="UBP66" s="137"/>
      <c r="UBQ66" s="137"/>
      <c r="UBR66" s="137"/>
      <c r="UBS66" s="137"/>
      <c r="UBT66" s="137"/>
      <c r="UBU66" s="137"/>
      <c r="UBV66" s="137"/>
      <c r="UBW66" s="137"/>
      <c r="UBX66" s="137"/>
      <c r="UBY66" s="137"/>
      <c r="UBZ66" s="137"/>
      <c r="UCA66" s="137"/>
      <c r="UCB66" s="137"/>
      <c r="UCC66" s="137"/>
      <c r="UCD66" s="137"/>
      <c r="UCE66" s="137"/>
      <c r="UCF66" s="137"/>
      <c r="UCG66" s="137"/>
      <c r="UCH66" s="137"/>
      <c r="UCI66" s="137"/>
      <c r="UCJ66" s="137"/>
      <c r="UCK66" s="137"/>
      <c r="UCL66" s="137"/>
      <c r="UCM66" s="137"/>
      <c r="UCN66" s="137"/>
      <c r="UCO66" s="137"/>
      <c r="UCP66" s="137"/>
      <c r="UCQ66" s="137"/>
      <c r="UCR66" s="137"/>
      <c r="UCS66" s="137"/>
      <c r="UCT66" s="137"/>
      <c r="UCU66" s="137"/>
      <c r="UCV66" s="137"/>
      <c r="UCW66" s="137"/>
      <c r="UCX66" s="137"/>
      <c r="UCY66" s="137"/>
      <c r="UCZ66" s="137"/>
      <c r="UDA66" s="137"/>
      <c r="UDB66" s="137"/>
      <c r="UDC66" s="137"/>
      <c r="UDD66" s="137"/>
      <c r="UDE66" s="137"/>
      <c r="UDF66" s="137"/>
      <c r="UDG66" s="137"/>
      <c r="UDH66" s="137"/>
      <c r="UDI66" s="137"/>
      <c r="UDJ66" s="137"/>
      <c r="UDK66" s="137"/>
      <c r="UDL66" s="137"/>
      <c r="UDM66" s="137"/>
      <c r="UDN66" s="137"/>
      <c r="UDO66" s="137"/>
      <c r="UDP66" s="137"/>
      <c r="UDQ66" s="137"/>
      <c r="UDR66" s="137"/>
      <c r="UDS66" s="137"/>
      <c r="UDT66" s="137"/>
      <c r="UDU66" s="137"/>
      <c r="UDV66" s="137"/>
      <c r="UDW66" s="137"/>
      <c r="UDX66" s="137"/>
      <c r="UDY66" s="137"/>
      <c r="UDZ66" s="137"/>
      <c r="UEA66" s="137"/>
      <c r="UEB66" s="137"/>
      <c r="UEC66" s="137"/>
      <c r="UED66" s="137"/>
      <c r="UEE66" s="137"/>
      <c r="UEF66" s="137"/>
      <c r="UEG66" s="137"/>
      <c r="UEH66" s="137"/>
      <c r="UEI66" s="137"/>
      <c r="UEJ66" s="137"/>
      <c r="UEK66" s="137"/>
      <c r="UEL66" s="137"/>
      <c r="UEM66" s="137"/>
      <c r="UEN66" s="137"/>
      <c r="UEO66" s="137"/>
      <c r="UEP66" s="137"/>
      <c r="UEQ66" s="137"/>
      <c r="UER66" s="137"/>
      <c r="UES66" s="137"/>
      <c r="UET66" s="137"/>
      <c r="UEU66" s="137"/>
      <c r="UEV66" s="137"/>
      <c r="UEW66" s="137"/>
      <c r="UEX66" s="137"/>
      <c r="UEY66" s="137"/>
      <c r="UEZ66" s="137"/>
      <c r="UFA66" s="137"/>
      <c r="UFB66" s="137"/>
      <c r="UFC66" s="137"/>
      <c r="UFD66" s="137"/>
      <c r="UFE66" s="137"/>
      <c r="UFF66" s="137"/>
      <c r="UFG66" s="137"/>
      <c r="UFH66" s="137"/>
      <c r="UFI66" s="137"/>
      <c r="UFJ66" s="137"/>
      <c r="UFK66" s="137"/>
      <c r="UFL66" s="137"/>
      <c r="UFM66" s="137"/>
      <c r="UFN66" s="137"/>
      <c r="UFO66" s="137"/>
      <c r="UFP66" s="137"/>
      <c r="UFQ66" s="137"/>
      <c r="UFR66" s="137"/>
      <c r="UFS66" s="137"/>
      <c r="UFT66" s="137"/>
      <c r="UFU66" s="137"/>
      <c r="UFV66" s="137"/>
      <c r="UFW66" s="137"/>
      <c r="UFX66" s="137"/>
      <c r="UFY66" s="137"/>
      <c r="UFZ66" s="137"/>
      <c r="UGA66" s="137"/>
      <c r="UGB66" s="137"/>
      <c r="UGC66" s="137"/>
      <c r="UGD66" s="137"/>
      <c r="UGE66" s="137"/>
      <c r="UGF66" s="137"/>
      <c r="UGG66" s="137"/>
      <c r="UGH66" s="137"/>
      <c r="UGI66" s="137"/>
      <c r="UGJ66" s="137"/>
      <c r="UGK66" s="137"/>
      <c r="UGL66" s="137"/>
      <c r="UGM66" s="137"/>
      <c r="UGN66" s="137"/>
      <c r="UGO66" s="137"/>
      <c r="UGP66" s="137"/>
      <c r="UGQ66" s="137"/>
      <c r="UGR66" s="137"/>
      <c r="UGS66" s="137"/>
      <c r="UGT66" s="137"/>
      <c r="UGU66" s="137"/>
      <c r="UGV66" s="137"/>
      <c r="UGW66" s="137"/>
      <c r="UGX66" s="137"/>
      <c r="UGY66" s="137"/>
      <c r="UGZ66" s="137"/>
      <c r="UHA66" s="137"/>
      <c r="UHB66" s="137"/>
      <c r="UHC66" s="137"/>
      <c r="UHD66" s="137"/>
      <c r="UHE66" s="137"/>
      <c r="UHF66" s="137"/>
      <c r="UHG66" s="137"/>
      <c r="UHH66" s="137"/>
      <c r="UHI66" s="137"/>
      <c r="UHJ66" s="137"/>
      <c r="UHK66" s="137"/>
      <c r="UHL66" s="137"/>
      <c r="UHM66" s="137"/>
      <c r="UHN66" s="137"/>
      <c r="UHO66" s="137"/>
      <c r="UHP66" s="137"/>
      <c r="UHQ66" s="137"/>
      <c r="UHR66" s="137"/>
      <c r="UHS66" s="137"/>
      <c r="UHT66" s="137"/>
      <c r="UHU66" s="137"/>
      <c r="UHV66" s="137"/>
      <c r="UHW66" s="137"/>
      <c r="UHX66" s="137"/>
      <c r="UHY66" s="137"/>
      <c r="UHZ66" s="137"/>
      <c r="UIA66" s="137"/>
      <c r="UIB66" s="137"/>
      <c r="UIC66" s="137"/>
      <c r="UID66" s="137"/>
      <c r="UIE66" s="137"/>
      <c r="UIF66" s="137"/>
      <c r="UIG66" s="137"/>
      <c r="UIH66" s="137"/>
      <c r="UII66" s="137"/>
      <c r="UIJ66" s="137"/>
      <c r="UIK66" s="137"/>
      <c r="UIL66" s="137"/>
      <c r="UIM66" s="137"/>
      <c r="UIN66" s="137"/>
      <c r="UIO66" s="137"/>
      <c r="UIP66" s="137"/>
      <c r="UIQ66" s="137"/>
      <c r="UIR66" s="137"/>
      <c r="UIS66" s="137"/>
      <c r="UIT66" s="137"/>
      <c r="UIU66" s="137"/>
      <c r="UIV66" s="137"/>
      <c r="UIW66" s="137"/>
      <c r="UIX66" s="137"/>
      <c r="UIY66" s="137"/>
      <c r="UIZ66" s="137"/>
      <c r="UJA66" s="137"/>
      <c r="UJB66" s="137"/>
      <c r="UJC66" s="137"/>
      <c r="UJD66" s="137"/>
      <c r="UJE66" s="137"/>
      <c r="UJF66" s="137"/>
      <c r="UJG66" s="137"/>
      <c r="UJH66" s="137"/>
      <c r="UJI66" s="137"/>
      <c r="UJJ66" s="137"/>
      <c r="UJK66" s="137"/>
      <c r="UJL66" s="137"/>
      <c r="UJM66" s="137"/>
      <c r="UJN66" s="137"/>
      <c r="UJO66" s="137"/>
      <c r="UJP66" s="137"/>
      <c r="UJQ66" s="137"/>
      <c r="UJR66" s="137"/>
      <c r="UJS66" s="137"/>
      <c r="UJT66" s="137"/>
      <c r="UJU66" s="137"/>
      <c r="UJV66" s="137"/>
      <c r="UJW66" s="137"/>
      <c r="UJX66" s="137"/>
      <c r="UJY66" s="137"/>
      <c r="UJZ66" s="137"/>
      <c r="UKA66" s="137"/>
      <c r="UKB66" s="137"/>
      <c r="UKC66" s="137"/>
      <c r="UKD66" s="137"/>
      <c r="UKE66" s="137"/>
      <c r="UKF66" s="137"/>
      <c r="UKG66" s="137"/>
      <c r="UKH66" s="137"/>
      <c r="UKI66" s="137"/>
      <c r="UKJ66" s="137"/>
      <c r="UKK66" s="137"/>
      <c r="UKL66" s="137"/>
      <c r="UKM66" s="137"/>
      <c r="UKN66" s="137"/>
      <c r="UKO66" s="137"/>
      <c r="UKP66" s="137"/>
      <c r="UKQ66" s="137"/>
      <c r="UKR66" s="137"/>
      <c r="UKS66" s="137"/>
      <c r="UKT66" s="137"/>
      <c r="UKU66" s="137"/>
      <c r="UKV66" s="137"/>
      <c r="UKW66" s="137"/>
      <c r="UKX66" s="137"/>
      <c r="UKY66" s="137"/>
      <c r="UKZ66" s="137"/>
      <c r="ULA66" s="137"/>
      <c r="ULB66" s="137"/>
      <c r="ULC66" s="137"/>
      <c r="ULD66" s="137"/>
      <c r="ULE66" s="137"/>
      <c r="ULF66" s="137"/>
      <c r="ULG66" s="137"/>
      <c r="ULH66" s="137"/>
      <c r="ULI66" s="137"/>
      <c r="ULJ66" s="137"/>
      <c r="ULK66" s="137"/>
      <c r="ULL66" s="137"/>
      <c r="ULM66" s="137"/>
      <c r="ULN66" s="137"/>
      <c r="ULO66" s="137"/>
      <c r="ULP66" s="137"/>
      <c r="ULQ66" s="137"/>
      <c r="ULR66" s="137"/>
      <c r="ULS66" s="137"/>
      <c r="ULT66" s="137"/>
      <c r="ULU66" s="137"/>
      <c r="ULV66" s="137"/>
      <c r="ULW66" s="137"/>
      <c r="ULX66" s="137"/>
      <c r="ULY66" s="137"/>
      <c r="ULZ66" s="137"/>
      <c r="UMA66" s="137"/>
      <c r="UMB66" s="137"/>
      <c r="UMC66" s="137"/>
      <c r="UMD66" s="137"/>
      <c r="UME66" s="137"/>
      <c r="UMF66" s="137"/>
      <c r="UMG66" s="137"/>
      <c r="UMH66" s="137"/>
      <c r="UMI66" s="137"/>
      <c r="UMJ66" s="137"/>
      <c r="UMK66" s="137"/>
      <c r="UML66" s="137"/>
      <c r="UMM66" s="137"/>
      <c r="UMN66" s="137"/>
      <c r="UMO66" s="137"/>
      <c r="UMP66" s="137"/>
      <c r="UMQ66" s="137"/>
      <c r="UMR66" s="137"/>
      <c r="UMS66" s="137"/>
      <c r="UMT66" s="137"/>
      <c r="UMU66" s="137"/>
      <c r="UMV66" s="137"/>
      <c r="UMW66" s="137"/>
      <c r="UMX66" s="137"/>
      <c r="UMY66" s="137"/>
      <c r="UMZ66" s="137"/>
      <c r="UNA66" s="137"/>
      <c r="UNB66" s="137"/>
      <c r="UNC66" s="137"/>
      <c r="UND66" s="137"/>
      <c r="UNE66" s="137"/>
      <c r="UNF66" s="137"/>
      <c r="UNG66" s="137"/>
      <c r="UNH66" s="137"/>
      <c r="UNI66" s="137"/>
      <c r="UNJ66" s="137"/>
      <c r="UNK66" s="137"/>
      <c r="UNL66" s="137"/>
      <c r="UNM66" s="137"/>
      <c r="UNN66" s="137"/>
      <c r="UNO66" s="137"/>
      <c r="UNP66" s="137"/>
      <c r="UNQ66" s="137"/>
      <c r="UNR66" s="137"/>
      <c r="UNS66" s="137"/>
      <c r="UNT66" s="137"/>
      <c r="UNU66" s="137"/>
      <c r="UNV66" s="137"/>
      <c r="UNW66" s="137"/>
      <c r="UNX66" s="137"/>
      <c r="UNY66" s="137"/>
      <c r="UNZ66" s="137"/>
      <c r="UOA66" s="137"/>
      <c r="UOB66" s="137"/>
      <c r="UOC66" s="137"/>
      <c r="UOD66" s="137"/>
      <c r="UOE66" s="137"/>
      <c r="UOF66" s="137"/>
      <c r="UOG66" s="137"/>
      <c r="UOH66" s="137"/>
      <c r="UOI66" s="137"/>
      <c r="UOJ66" s="137"/>
      <c r="UOK66" s="137"/>
      <c r="UOL66" s="137"/>
      <c r="UOM66" s="137"/>
      <c r="UON66" s="137"/>
      <c r="UOO66" s="137"/>
      <c r="UOP66" s="137"/>
      <c r="UOQ66" s="137"/>
      <c r="UOR66" s="137"/>
      <c r="UOS66" s="137"/>
      <c r="UOT66" s="137"/>
      <c r="UOU66" s="137"/>
      <c r="UOV66" s="137"/>
      <c r="UOW66" s="137"/>
      <c r="UOX66" s="137"/>
      <c r="UOY66" s="137"/>
      <c r="UOZ66" s="137"/>
      <c r="UPA66" s="137"/>
      <c r="UPB66" s="137"/>
      <c r="UPC66" s="137"/>
      <c r="UPD66" s="137"/>
      <c r="UPE66" s="137"/>
      <c r="UPF66" s="137"/>
      <c r="UPG66" s="137"/>
      <c r="UPH66" s="137"/>
      <c r="UPI66" s="137"/>
      <c r="UPJ66" s="137"/>
      <c r="UPK66" s="137"/>
      <c r="UPL66" s="137"/>
      <c r="UPM66" s="137"/>
      <c r="UPN66" s="137"/>
      <c r="UPO66" s="137"/>
      <c r="UPP66" s="137"/>
      <c r="UPQ66" s="137"/>
      <c r="UPR66" s="137"/>
      <c r="UPS66" s="137"/>
      <c r="UPT66" s="137"/>
      <c r="UPU66" s="137"/>
      <c r="UPV66" s="137"/>
      <c r="UPW66" s="137"/>
      <c r="UPX66" s="137"/>
      <c r="UPY66" s="137"/>
      <c r="UPZ66" s="137"/>
      <c r="UQA66" s="137"/>
      <c r="UQB66" s="137"/>
      <c r="UQC66" s="137"/>
      <c r="UQD66" s="137"/>
      <c r="UQE66" s="137"/>
      <c r="UQF66" s="137"/>
      <c r="UQG66" s="137"/>
      <c r="UQH66" s="137"/>
      <c r="UQI66" s="137"/>
      <c r="UQJ66" s="137"/>
      <c r="UQK66" s="137"/>
      <c r="UQL66" s="137"/>
      <c r="UQM66" s="137"/>
      <c r="UQN66" s="137"/>
      <c r="UQO66" s="137"/>
      <c r="UQP66" s="137"/>
      <c r="UQQ66" s="137"/>
      <c r="UQR66" s="137"/>
      <c r="UQS66" s="137"/>
      <c r="UQT66" s="137"/>
      <c r="UQU66" s="137"/>
      <c r="UQV66" s="137"/>
      <c r="UQW66" s="137"/>
      <c r="UQX66" s="137"/>
      <c r="UQY66" s="137"/>
      <c r="UQZ66" s="137"/>
      <c r="URA66" s="137"/>
      <c r="URB66" s="137"/>
      <c r="URC66" s="137"/>
      <c r="URD66" s="137"/>
      <c r="URE66" s="137"/>
      <c r="URF66" s="137"/>
      <c r="URG66" s="137"/>
      <c r="URH66" s="137"/>
      <c r="URI66" s="137"/>
      <c r="URJ66" s="137"/>
      <c r="URK66" s="137"/>
      <c r="URL66" s="137"/>
      <c r="URM66" s="137"/>
      <c r="URN66" s="137"/>
      <c r="URO66" s="137"/>
      <c r="URP66" s="137"/>
      <c r="URQ66" s="137"/>
      <c r="URR66" s="137"/>
      <c r="URS66" s="137"/>
      <c r="URT66" s="137"/>
      <c r="URU66" s="137"/>
      <c r="URV66" s="137"/>
      <c r="URW66" s="137"/>
      <c r="URX66" s="137"/>
      <c r="URY66" s="137"/>
      <c r="URZ66" s="137"/>
      <c r="USA66" s="137"/>
      <c r="USB66" s="137"/>
      <c r="USC66" s="137"/>
      <c r="USD66" s="137"/>
      <c r="USE66" s="137"/>
      <c r="USF66" s="137"/>
      <c r="USG66" s="137"/>
      <c r="USH66" s="137"/>
      <c r="USI66" s="137"/>
      <c r="USJ66" s="137"/>
      <c r="USK66" s="137"/>
      <c r="USL66" s="137"/>
      <c r="USM66" s="137"/>
      <c r="USN66" s="137"/>
      <c r="USO66" s="137"/>
      <c r="USP66" s="137"/>
      <c r="USQ66" s="137"/>
      <c r="USR66" s="137"/>
      <c r="USS66" s="137"/>
      <c r="UST66" s="137"/>
      <c r="USU66" s="137"/>
      <c r="USV66" s="137"/>
      <c r="USW66" s="137"/>
      <c r="USX66" s="137"/>
      <c r="USY66" s="137"/>
      <c r="USZ66" s="137"/>
      <c r="UTA66" s="137"/>
      <c r="UTB66" s="137"/>
      <c r="UTC66" s="137"/>
      <c r="UTD66" s="137"/>
      <c r="UTE66" s="137"/>
      <c r="UTF66" s="137"/>
      <c r="UTG66" s="137"/>
      <c r="UTH66" s="137"/>
      <c r="UTI66" s="137"/>
      <c r="UTJ66" s="137"/>
      <c r="UTK66" s="137"/>
      <c r="UTL66" s="137"/>
      <c r="UTM66" s="137"/>
      <c r="UTN66" s="137"/>
      <c r="UTO66" s="137"/>
      <c r="UTP66" s="137"/>
      <c r="UTQ66" s="137"/>
      <c r="UTR66" s="137"/>
      <c r="UTS66" s="137"/>
      <c r="UTT66" s="137"/>
      <c r="UTU66" s="137"/>
      <c r="UTV66" s="137"/>
      <c r="UTW66" s="137"/>
      <c r="UTX66" s="137"/>
      <c r="UTY66" s="137"/>
      <c r="UTZ66" s="137"/>
      <c r="UUA66" s="137"/>
      <c r="UUB66" s="137"/>
      <c r="UUC66" s="137"/>
      <c r="UUD66" s="137"/>
      <c r="UUE66" s="137"/>
      <c r="UUF66" s="137"/>
      <c r="UUG66" s="137"/>
      <c r="UUH66" s="137"/>
      <c r="UUI66" s="137"/>
      <c r="UUJ66" s="137"/>
      <c r="UUK66" s="137"/>
      <c r="UUL66" s="137"/>
      <c r="UUM66" s="137"/>
      <c r="UUN66" s="137"/>
      <c r="UUO66" s="137"/>
      <c r="UUP66" s="137"/>
      <c r="UUQ66" s="137"/>
      <c r="UUR66" s="137"/>
      <c r="UUS66" s="137"/>
      <c r="UUT66" s="137"/>
      <c r="UUU66" s="137"/>
      <c r="UUV66" s="137"/>
      <c r="UUW66" s="137"/>
      <c r="UUX66" s="137"/>
      <c r="UUY66" s="137"/>
      <c r="UUZ66" s="137"/>
      <c r="UVA66" s="137"/>
      <c r="UVB66" s="137"/>
      <c r="UVC66" s="137"/>
      <c r="UVD66" s="137"/>
      <c r="UVE66" s="137"/>
      <c r="UVF66" s="137"/>
      <c r="UVG66" s="137"/>
      <c r="UVH66" s="137"/>
      <c r="UVI66" s="137"/>
      <c r="UVJ66" s="137"/>
      <c r="UVK66" s="137"/>
      <c r="UVL66" s="137"/>
      <c r="UVM66" s="137"/>
      <c r="UVN66" s="137"/>
      <c r="UVO66" s="137"/>
      <c r="UVP66" s="137"/>
      <c r="UVQ66" s="137"/>
      <c r="UVR66" s="137"/>
      <c r="UVS66" s="137"/>
      <c r="UVT66" s="137"/>
      <c r="UVU66" s="137"/>
      <c r="UVV66" s="137"/>
      <c r="UVW66" s="137"/>
      <c r="UVX66" s="137"/>
      <c r="UVY66" s="137"/>
      <c r="UVZ66" s="137"/>
      <c r="UWA66" s="137"/>
      <c r="UWB66" s="137"/>
      <c r="UWC66" s="137"/>
      <c r="UWD66" s="137"/>
      <c r="UWE66" s="137"/>
      <c r="UWF66" s="137"/>
      <c r="UWG66" s="137"/>
      <c r="UWH66" s="137"/>
      <c r="UWI66" s="137"/>
      <c r="UWJ66" s="137"/>
      <c r="UWK66" s="137"/>
      <c r="UWL66" s="137"/>
      <c r="UWM66" s="137"/>
      <c r="UWN66" s="137"/>
      <c r="UWO66" s="137"/>
      <c r="UWP66" s="137"/>
      <c r="UWQ66" s="137"/>
      <c r="UWR66" s="137"/>
      <c r="UWS66" s="137"/>
      <c r="UWT66" s="137"/>
      <c r="UWU66" s="137"/>
      <c r="UWV66" s="137"/>
      <c r="UWW66" s="137"/>
      <c r="UWX66" s="137"/>
      <c r="UWY66" s="137"/>
      <c r="UWZ66" s="137"/>
      <c r="UXA66" s="137"/>
      <c r="UXB66" s="137"/>
      <c r="UXC66" s="137"/>
      <c r="UXD66" s="137"/>
      <c r="UXE66" s="137"/>
      <c r="UXF66" s="137"/>
      <c r="UXG66" s="137"/>
      <c r="UXH66" s="137"/>
      <c r="UXI66" s="137"/>
      <c r="UXJ66" s="137"/>
      <c r="UXK66" s="137"/>
      <c r="UXL66" s="137"/>
      <c r="UXM66" s="137"/>
      <c r="UXN66" s="137"/>
      <c r="UXO66" s="137"/>
      <c r="UXP66" s="137"/>
      <c r="UXQ66" s="137"/>
      <c r="UXR66" s="137"/>
      <c r="UXS66" s="137"/>
      <c r="UXT66" s="137"/>
      <c r="UXU66" s="137"/>
      <c r="UXV66" s="137"/>
      <c r="UXW66" s="137"/>
      <c r="UXX66" s="137"/>
      <c r="UXY66" s="137"/>
      <c r="UXZ66" s="137"/>
      <c r="UYA66" s="137"/>
      <c r="UYB66" s="137"/>
      <c r="UYC66" s="137"/>
      <c r="UYD66" s="137"/>
      <c r="UYE66" s="137"/>
      <c r="UYF66" s="137"/>
      <c r="UYG66" s="137"/>
      <c r="UYH66" s="137"/>
      <c r="UYI66" s="137"/>
      <c r="UYJ66" s="137"/>
      <c r="UYK66" s="137"/>
      <c r="UYL66" s="137"/>
      <c r="UYM66" s="137"/>
      <c r="UYN66" s="137"/>
      <c r="UYO66" s="137"/>
      <c r="UYP66" s="137"/>
      <c r="UYQ66" s="137"/>
      <c r="UYR66" s="137"/>
      <c r="UYS66" s="137"/>
      <c r="UYT66" s="137"/>
      <c r="UYU66" s="137"/>
      <c r="UYV66" s="137"/>
      <c r="UYW66" s="137"/>
      <c r="UYX66" s="137"/>
      <c r="UYY66" s="137"/>
      <c r="UYZ66" s="137"/>
      <c r="UZA66" s="137"/>
      <c r="UZB66" s="137"/>
      <c r="UZC66" s="137"/>
      <c r="UZD66" s="137"/>
      <c r="UZE66" s="137"/>
      <c r="UZF66" s="137"/>
      <c r="UZG66" s="137"/>
      <c r="UZH66" s="137"/>
      <c r="UZI66" s="137"/>
      <c r="UZJ66" s="137"/>
      <c r="UZK66" s="137"/>
      <c r="UZL66" s="137"/>
      <c r="UZM66" s="137"/>
      <c r="UZN66" s="137"/>
      <c r="UZO66" s="137"/>
      <c r="UZP66" s="137"/>
      <c r="UZQ66" s="137"/>
      <c r="UZR66" s="137"/>
      <c r="UZS66" s="137"/>
      <c r="UZT66" s="137"/>
      <c r="UZU66" s="137"/>
      <c r="UZV66" s="137"/>
      <c r="UZW66" s="137"/>
      <c r="UZX66" s="137"/>
      <c r="UZY66" s="137"/>
      <c r="UZZ66" s="137"/>
      <c r="VAA66" s="137"/>
      <c r="VAB66" s="137"/>
      <c r="VAC66" s="137"/>
      <c r="VAD66" s="137"/>
      <c r="VAE66" s="137"/>
      <c r="VAF66" s="137"/>
      <c r="VAG66" s="137"/>
      <c r="VAH66" s="137"/>
      <c r="VAI66" s="137"/>
      <c r="VAJ66" s="137"/>
      <c r="VAK66" s="137"/>
      <c r="VAL66" s="137"/>
      <c r="VAM66" s="137"/>
      <c r="VAN66" s="137"/>
      <c r="VAO66" s="137"/>
      <c r="VAP66" s="137"/>
      <c r="VAQ66" s="137"/>
      <c r="VAR66" s="137"/>
      <c r="VAS66" s="137"/>
      <c r="VAT66" s="137"/>
      <c r="VAU66" s="137"/>
      <c r="VAV66" s="137"/>
      <c r="VAW66" s="137"/>
      <c r="VAX66" s="137"/>
      <c r="VAY66" s="137"/>
      <c r="VAZ66" s="137"/>
      <c r="VBA66" s="137"/>
      <c r="VBB66" s="137"/>
      <c r="VBC66" s="137"/>
      <c r="VBD66" s="137"/>
      <c r="VBE66" s="137"/>
      <c r="VBF66" s="137"/>
      <c r="VBG66" s="137"/>
      <c r="VBH66" s="137"/>
      <c r="VBI66" s="137"/>
      <c r="VBJ66" s="137"/>
      <c r="VBK66" s="137"/>
      <c r="VBL66" s="137"/>
      <c r="VBM66" s="137"/>
      <c r="VBN66" s="137"/>
      <c r="VBO66" s="137"/>
      <c r="VBP66" s="137"/>
      <c r="VBQ66" s="137"/>
      <c r="VBR66" s="137"/>
      <c r="VBS66" s="137"/>
      <c r="VBT66" s="137"/>
      <c r="VBU66" s="137"/>
      <c r="VBV66" s="137"/>
      <c r="VBW66" s="137"/>
      <c r="VBX66" s="137"/>
      <c r="VBY66" s="137"/>
      <c r="VBZ66" s="137"/>
      <c r="VCA66" s="137"/>
      <c r="VCB66" s="137"/>
      <c r="VCC66" s="137"/>
      <c r="VCD66" s="137"/>
      <c r="VCE66" s="137"/>
      <c r="VCF66" s="137"/>
      <c r="VCG66" s="137"/>
      <c r="VCH66" s="137"/>
      <c r="VCI66" s="137"/>
      <c r="VCJ66" s="137"/>
      <c r="VCK66" s="137"/>
      <c r="VCL66" s="137"/>
      <c r="VCM66" s="137"/>
      <c r="VCN66" s="137"/>
      <c r="VCO66" s="137"/>
      <c r="VCP66" s="137"/>
      <c r="VCQ66" s="137"/>
      <c r="VCR66" s="137"/>
      <c r="VCS66" s="137"/>
      <c r="VCT66" s="137"/>
      <c r="VCU66" s="137"/>
      <c r="VCV66" s="137"/>
      <c r="VCW66" s="137"/>
      <c r="VCX66" s="137"/>
      <c r="VCY66" s="137"/>
      <c r="VCZ66" s="137"/>
      <c r="VDA66" s="137"/>
      <c r="VDB66" s="137"/>
      <c r="VDC66" s="137"/>
      <c r="VDD66" s="137"/>
      <c r="VDE66" s="137"/>
      <c r="VDF66" s="137"/>
      <c r="VDG66" s="137"/>
      <c r="VDH66" s="137"/>
      <c r="VDI66" s="137"/>
      <c r="VDJ66" s="137"/>
      <c r="VDK66" s="137"/>
      <c r="VDL66" s="137"/>
      <c r="VDM66" s="137"/>
      <c r="VDN66" s="137"/>
      <c r="VDO66" s="137"/>
      <c r="VDP66" s="137"/>
      <c r="VDQ66" s="137"/>
      <c r="VDR66" s="137"/>
      <c r="VDS66" s="137"/>
      <c r="VDT66" s="137"/>
      <c r="VDU66" s="137"/>
      <c r="VDV66" s="137"/>
      <c r="VDW66" s="137"/>
      <c r="VDX66" s="137"/>
      <c r="VDY66" s="137"/>
      <c r="VDZ66" s="137"/>
      <c r="VEA66" s="137"/>
      <c r="VEB66" s="137"/>
      <c r="VEC66" s="137"/>
      <c r="VED66" s="137"/>
      <c r="VEE66" s="137"/>
      <c r="VEF66" s="137"/>
      <c r="VEG66" s="137"/>
      <c r="VEH66" s="137"/>
      <c r="VEI66" s="137"/>
      <c r="VEJ66" s="137"/>
      <c r="VEK66" s="137"/>
      <c r="VEL66" s="137"/>
      <c r="VEM66" s="137"/>
      <c r="VEN66" s="137"/>
      <c r="VEO66" s="137"/>
      <c r="VEP66" s="137"/>
      <c r="VEQ66" s="137"/>
      <c r="VER66" s="137"/>
      <c r="VES66" s="137"/>
      <c r="VET66" s="137"/>
      <c r="VEU66" s="137"/>
      <c r="VEV66" s="137"/>
      <c r="VEW66" s="137"/>
      <c r="VEX66" s="137"/>
      <c r="VEY66" s="137"/>
      <c r="VEZ66" s="137"/>
      <c r="VFA66" s="137"/>
      <c r="VFB66" s="137"/>
      <c r="VFC66" s="137"/>
      <c r="VFD66" s="137"/>
      <c r="VFE66" s="137"/>
      <c r="VFF66" s="137"/>
      <c r="VFG66" s="137"/>
      <c r="VFH66" s="137"/>
      <c r="VFI66" s="137"/>
      <c r="VFJ66" s="137"/>
      <c r="VFK66" s="137"/>
      <c r="VFL66" s="137"/>
      <c r="VFM66" s="137"/>
      <c r="VFN66" s="137"/>
      <c r="VFO66" s="137"/>
      <c r="VFP66" s="137"/>
      <c r="VFQ66" s="137"/>
      <c r="VFR66" s="137"/>
      <c r="VFS66" s="137"/>
      <c r="VFT66" s="137"/>
      <c r="VFU66" s="137"/>
      <c r="VFV66" s="137"/>
      <c r="VFW66" s="137"/>
      <c r="VFX66" s="137"/>
      <c r="VFY66" s="137"/>
      <c r="VFZ66" s="137"/>
      <c r="VGA66" s="137"/>
      <c r="VGB66" s="137"/>
      <c r="VGC66" s="137"/>
      <c r="VGD66" s="137"/>
      <c r="VGE66" s="137"/>
      <c r="VGF66" s="137"/>
      <c r="VGG66" s="137"/>
      <c r="VGH66" s="137"/>
      <c r="VGI66" s="137"/>
      <c r="VGJ66" s="137"/>
      <c r="VGK66" s="137"/>
      <c r="VGL66" s="137"/>
      <c r="VGM66" s="137"/>
      <c r="VGN66" s="137"/>
      <c r="VGO66" s="137"/>
      <c r="VGP66" s="137"/>
      <c r="VGQ66" s="137"/>
      <c r="VGR66" s="137"/>
      <c r="VGS66" s="137"/>
      <c r="VGT66" s="137"/>
      <c r="VGU66" s="137"/>
      <c r="VGV66" s="137"/>
      <c r="VGW66" s="137"/>
      <c r="VGX66" s="137"/>
      <c r="VGY66" s="137"/>
      <c r="VGZ66" s="137"/>
      <c r="VHA66" s="137"/>
      <c r="VHB66" s="137"/>
      <c r="VHC66" s="137"/>
      <c r="VHD66" s="137"/>
      <c r="VHE66" s="137"/>
      <c r="VHF66" s="137"/>
      <c r="VHG66" s="137"/>
      <c r="VHH66" s="137"/>
      <c r="VHI66" s="137"/>
      <c r="VHJ66" s="137"/>
      <c r="VHK66" s="137"/>
      <c r="VHL66" s="137"/>
      <c r="VHM66" s="137"/>
      <c r="VHN66" s="137"/>
      <c r="VHO66" s="137"/>
      <c r="VHP66" s="137"/>
      <c r="VHQ66" s="137"/>
      <c r="VHR66" s="137"/>
      <c r="VHS66" s="137"/>
      <c r="VHT66" s="137"/>
      <c r="VHU66" s="137"/>
      <c r="VHV66" s="137"/>
      <c r="VHW66" s="137"/>
      <c r="VHX66" s="137"/>
      <c r="VHY66" s="137"/>
      <c r="VHZ66" s="137"/>
      <c r="VIA66" s="137"/>
      <c r="VIB66" s="137"/>
      <c r="VIC66" s="137"/>
      <c r="VID66" s="137"/>
      <c r="VIE66" s="137"/>
      <c r="VIF66" s="137"/>
      <c r="VIG66" s="137"/>
      <c r="VIH66" s="137"/>
      <c r="VII66" s="137"/>
      <c r="VIJ66" s="137"/>
      <c r="VIK66" s="137"/>
      <c r="VIL66" s="137"/>
      <c r="VIM66" s="137"/>
      <c r="VIN66" s="137"/>
      <c r="VIO66" s="137"/>
      <c r="VIP66" s="137"/>
      <c r="VIQ66" s="137"/>
      <c r="VIR66" s="137"/>
      <c r="VIS66" s="137"/>
      <c r="VIT66" s="137"/>
      <c r="VIU66" s="137"/>
      <c r="VIV66" s="137"/>
      <c r="VIW66" s="137"/>
      <c r="VIX66" s="137"/>
      <c r="VIY66" s="137"/>
      <c r="VIZ66" s="137"/>
      <c r="VJA66" s="137"/>
      <c r="VJB66" s="137"/>
      <c r="VJC66" s="137"/>
      <c r="VJD66" s="137"/>
      <c r="VJE66" s="137"/>
      <c r="VJF66" s="137"/>
      <c r="VJG66" s="137"/>
      <c r="VJH66" s="137"/>
      <c r="VJI66" s="137"/>
      <c r="VJJ66" s="137"/>
      <c r="VJK66" s="137"/>
      <c r="VJL66" s="137"/>
      <c r="VJM66" s="137"/>
      <c r="VJN66" s="137"/>
      <c r="VJO66" s="137"/>
      <c r="VJP66" s="137"/>
      <c r="VJQ66" s="137"/>
      <c r="VJR66" s="137"/>
      <c r="VJS66" s="137"/>
      <c r="VJT66" s="137"/>
      <c r="VJU66" s="137"/>
      <c r="VJV66" s="137"/>
      <c r="VJW66" s="137"/>
      <c r="VJX66" s="137"/>
      <c r="VJY66" s="137"/>
      <c r="VJZ66" s="137"/>
      <c r="VKA66" s="137"/>
      <c r="VKB66" s="137"/>
      <c r="VKC66" s="137"/>
      <c r="VKD66" s="137"/>
      <c r="VKE66" s="137"/>
      <c r="VKF66" s="137"/>
      <c r="VKG66" s="137"/>
      <c r="VKH66" s="137"/>
      <c r="VKI66" s="137"/>
      <c r="VKJ66" s="137"/>
      <c r="VKK66" s="137"/>
      <c r="VKL66" s="137"/>
      <c r="VKM66" s="137"/>
      <c r="VKN66" s="137"/>
      <c r="VKO66" s="137"/>
      <c r="VKP66" s="137"/>
      <c r="VKQ66" s="137"/>
      <c r="VKR66" s="137"/>
      <c r="VKS66" s="137"/>
      <c r="VKT66" s="137"/>
      <c r="VKU66" s="137"/>
      <c r="VKV66" s="137"/>
      <c r="VKW66" s="137"/>
      <c r="VKX66" s="137"/>
      <c r="VKY66" s="137"/>
      <c r="VKZ66" s="137"/>
      <c r="VLA66" s="137"/>
      <c r="VLB66" s="137"/>
      <c r="VLC66" s="137"/>
      <c r="VLD66" s="137"/>
      <c r="VLE66" s="137"/>
      <c r="VLF66" s="137"/>
      <c r="VLG66" s="137"/>
      <c r="VLH66" s="137"/>
      <c r="VLI66" s="137"/>
      <c r="VLJ66" s="137"/>
      <c r="VLK66" s="137"/>
      <c r="VLL66" s="137"/>
      <c r="VLM66" s="137"/>
      <c r="VLN66" s="137"/>
      <c r="VLO66" s="137"/>
      <c r="VLP66" s="137"/>
      <c r="VLQ66" s="137"/>
      <c r="VLR66" s="137"/>
      <c r="VLS66" s="137"/>
      <c r="VLT66" s="137"/>
      <c r="VLU66" s="137"/>
      <c r="VLV66" s="137"/>
      <c r="VLW66" s="137"/>
      <c r="VLX66" s="137"/>
      <c r="VLY66" s="137"/>
      <c r="VLZ66" s="137"/>
      <c r="VMA66" s="137"/>
      <c r="VMB66" s="137"/>
      <c r="VMC66" s="137"/>
      <c r="VMD66" s="137"/>
      <c r="VME66" s="137"/>
      <c r="VMF66" s="137"/>
      <c r="VMG66" s="137"/>
      <c r="VMH66" s="137"/>
      <c r="VMI66" s="137"/>
      <c r="VMJ66" s="137"/>
      <c r="VMK66" s="137"/>
      <c r="VML66" s="137"/>
      <c r="VMM66" s="137"/>
      <c r="VMN66" s="137"/>
      <c r="VMO66" s="137"/>
      <c r="VMP66" s="137"/>
      <c r="VMQ66" s="137"/>
      <c r="VMR66" s="137"/>
      <c r="VMS66" s="137"/>
      <c r="VMT66" s="137"/>
      <c r="VMU66" s="137"/>
      <c r="VMV66" s="137"/>
      <c r="VMW66" s="137"/>
      <c r="VMX66" s="137"/>
      <c r="VMY66" s="137"/>
      <c r="VMZ66" s="137"/>
      <c r="VNA66" s="137"/>
      <c r="VNB66" s="137"/>
      <c r="VNC66" s="137"/>
      <c r="VND66" s="137"/>
      <c r="VNE66" s="137"/>
      <c r="VNF66" s="137"/>
      <c r="VNG66" s="137"/>
      <c r="VNH66" s="137"/>
      <c r="VNI66" s="137"/>
      <c r="VNJ66" s="137"/>
      <c r="VNK66" s="137"/>
      <c r="VNL66" s="137"/>
      <c r="VNM66" s="137"/>
      <c r="VNN66" s="137"/>
      <c r="VNO66" s="137"/>
      <c r="VNP66" s="137"/>
      <c r="VNQ66" s="137"/>
      <c r="VNR66" s="137"/>
      <c r="VNS66" s="137"/>
      <c r="VNT66" s="137"/>
      <c r="VNU66" s="137"/>
      <c r="VNV66" s="137"/>
      <c r="VNW66" s="137"/>
      <c r="VNX66" s="137"/>
      <c r="VNY66" s="137"/>
      <c r="VNZ66" s="137"/>
      <c r="VOA66" s="137"/>
      <c r="VOB66" s="137"/>
      <c r="VOC66" s="137"/>
      <c r="VOD66" s="137"/>
      <c r="VOE66" s="137"/>
      <c r="VOF66" s="137"/>
      <c r="VOG66" s="137"/>
      <c r="VOH66" s="137"/>
      <c r="VOI66" s="137"/>
      <c r="VOJ66" s="137"/>
      <c r="VOK66" s="137"/>
      <c r="VOL66" s="137"/>
      <c r="VOM66" s="137"/>
      <c r="VON66" s="137"/>
      <c r="VOO66" s="137"/>
      <c r="VOP66" s="137"/>
      <c r="VOQ66" s="137"/>
      <c r="VOR66" s="137"/>
      <c r="VOS66" s="137"/>
      <c r="VOT66" s="137"/>
      <c r="VOU66" s="137"/>
      <c r="VOV66" s="137"/>
      <c r="VOW66" s="137"/>
      <c r="VOX66" s="137"/>
      <c r="VOY66" s="137"/>
      <c r="VOZ66" s="137"/>
      <c r="VPA66" s="137"/>
      <c r="VPB66" s="137"/>
      <c r="VPC66" s="137"/>
      <c r="VPD66" s="137"/>
      <c r="VPE66" s="137"/>
      <c r="VPF66" s="137"/>
      <c r="VPG66" s="137"/>
      <c r="VPH66" s="137"/>
      <c r="VPI66" s="137"/>
      <c r="VPJ66" s="137"/>
      <c r="VPK66" s="137"/>
      <c r="VPL66" s="137"/>
      <c r="VPM66" s="137"/>
      <c r="VPN66" s="137"/>
      <c r="VPO66" s="137"/>
      <c r="VPP66" s="137"/>
      <c r="VPQ66" s="137"/>
      <c r="VPR66" s="137"/>
      <c r="VPS66" s="137"/>
      <c r="VPT66" s="137"/>
      <c r="VPU66" s="137"/>
      <c r="VPV66" s="137"/>
      <c r="VPW66" s="137"/>
      <c r="VPX66" s="137"/>
      <c r="VPY66" s="137"/>
      <c r="VPZ66" s="137"/>
      <c r="VQA66" s="137"/>
      <c r="VQB66" s="137"/>
      <c r="VQC66" s="137"/>
      <c r="VQD66" s="137"/>
      <c r="VQE66" s="137"/>
      <c r="VQF66" s="137"/>
      <c r="VQG66" s="137"/>
      <c r="VQH66" s="137"/>
      <c r="VQI66" s="137"/>
      <c r="VQJ66" s="137"/>
      <c r="VQK66" s="137"/>
      <c r="VQL66" s="137"/>
      <c r="VQM66" s="137"/>
      <c r="VQN66" s="137"/>
      <c r="VQO66" s="137"/>
      <c r="VQP66" s="137"/>
      <c r="VQQ66" s="137"/>
      <c r="VQR66" s="137"/>
      <c r="VQS66" s="137"/>
      <c r="VQT66" s="137"/>
      <c r="VQU66" s="137"/>
      <c r="VQV66" s="137"/>
      <c r="VQW66" s="137"/>
      <c r="VQX66" s="137"/>
      <c r="VQY66" s="137"/>
      <c r="VQZ66" s="137"/>
      <c r="VRA66" s="137"/>
      <c r="VRB66" s="137"/>
      <c r="VRC66" s="137"/>
      <c r="VRD66" s="137"/>
      <c r="VRE66" s="137"/>
      <c r="VRF66" s="137"/>
      <c r="VRG66" s="137"/>
      <c r="VRH66" s="137"/>
      <c r="VRI66" s="137"/>
      <c r="VRJ66" s="137"/>
      <c r="VRK66" s="137"/>
      <c r="VRL66" s="137"/>
      <c r="VRM66" s="137"/>
      <c r="VRN66" s="137"/>
      <c r="VRO66" s="137"/>
      <c r="VRP66" s="137"/>
      <c r="VRQ66" s="137"/>
      <c r="VRR66" s="137"/>
      <c r="VRS66" s="137"/>
      <c r="VRT66" s="137"/>
      <c r="VRU66" s="137"/>
      <c r="VRV66" s="137"/>
      <c r="VRW66" s="137"/>
      <c r="VRX66" s="137"/>
      <c r="VRY66" s="137"/>
      <c r="VRZ66" s="137"/>
      <c r="VSA66" s="137"/>
      <c r="VSB66" s="137"/>
      <c r="VSC66" s="137"/>
      <c r="VSD66" s="137"/>
      <c r="VSE66" s="137"/>
      <c r="VSF66" s="137"/>
      <c r="VSG66" s="137"/>
      <c r="VSH66" s="137"/>
      <c r="VSI66" s="137"/>
      <c r="VSJ66" s="137"/>
      <c r="VSK66" s="137"/>
      <c r="VSL66" s="137"/>
      <c r="VSM66" s="137"/>
      <c r="VSN66" s="137"/>
      <c r="VSO66" s="137"/>
      <c r="VSP66" s="137"/>
      <c r="VSQ66" s="137"/>
      <c r="VSR66" s="137"/>
      <c r="VSS66" s="137"/>
      <c r="VST66" s="137"/>
      <c r="VSU66" s="137"/>
      <c r="VSV66" s="137"/>
      <c r="VSW66" s="137"/>
      <c r="VSX66" s="137"/>
      <c r="VSY66" s="137"/>
      <c r="VSZ66" s="137"/>
      <c r="VTA66" s="137"/>
      <c r="VTB66" s="137"/>
      <c r="VTC66" s="137"/>
      <c r="VTD66" s="137"/>
      <c r="VTE66" s="137"/>
      <c r="VTF66" s="137"/>
      <c r="VTG66" s="137"/>
      <c r="VTH66" s="137"/>
      <c r="VTI66" s="137"/>
      <c r="VTJ66" s="137"/>
      <c r="VTK66" s="137"/>
      <c r="VTL66" s="137"/>
      <c r="VTM66" s="137"/>
      <c r="VTN66" s="137"/>
      <c r="VTO66" s="137"/>
      <c r="VTP66" s="137"/>
      <c r="VTQ66" s="137"/>
      <c r="VTR66" s="137"/>
      <c r="VTS66" s="137"/>
      <c r="VTT66" s="137"/>
      <c r="VTU66" s="137"/>
      <c r="VTV66" s="137"/>
      <c r="VTW66" s="137"/>
      <c r="VTX66" s="137"/>
      <c r="VTY66" s="137"/>
      <c r="VTZ66" s="137"/>
      <c r="VUA66" s="137"/>
      <c r="VUB66" s="137"/>
      <c r="VUC66" s="137"/>
      <c r="VUD66" s="137"/>
      <c r="VUE66" s="137"/>
      <c r="VUF66" s="137"/>
      <c r="VUG66" s="137"/>
      <c r="VUH66" s="137"/>
      <c r="VUI66" s="137"/>
      <c r="VUJ66" s="137"/>
      <c r="VUK66" s="137"/>
      <c r="VUL66" s="137"/>
      <c r="VUM66" s="137"/>
      <c r="VUN66" s="137"/>
      <c r="VUO66" s="137"/>
      <c r="VUP66" s="137"/>
      <c r="VUQ66" s="137"/>
      <c r="VUR66" s="137"/>
      <c r="VUS66" s="137"/>
      <c r="VUT66" s="137"/>
      <c r="VUU66" s="137"/>
      <c r="VUV66" s="137"/>
      <c r="VUW66" s="137"/>
      <c r="VUX66" s="137"/>
      <c r="VUY66" s="137"/>
      <c r="VUZ66" s="137"/>
      <c r="VVA66" s="137"/>
      <c r="VVB66" s="137"/>
      <c r="VVC66" s="137"/>
      <c r="VVD66" s="137"/>
      <c r="VVE66" s="137"/>
      <c r="VVF66" s="137"/>
      <c r="VVG66" s="137"/>
      <c r="VVH66" s="137"/>
      <c r="VVI66" s="137"/>
      <c r="VVJ66" s="137"/>
      <c r="VVK66" s="137"/>
      <c r="VVL66" s="137"/>
      <c r="VVM66" s="137"/>
      <c r="VVN66" s="137"/>
      <c r="VVO66" s="137"/>
      <c r="VVP66" s="137"/>
      <c r="VVQ66" s="137"/>
      <c r="VVR66" s="137"/>
      <c r="VVS66" s="137"/>
      <c r="VVT66" s="137"/>
      <c r="VVU66" s="137"/>
      <c r="VVV66" s="137"/>
      <c r="VVW66" s="137"/>
      <c r="VVX66" s="137"/>
      <c r="VVY66" s="137"/>
      <c r="VVZ66" s="137"/>
      <c r="VWA66" s="137"/>
      <c r="VWB66" s="137"/>
      <c r="VWC66" s="137"/>
      <c r="VWD66" s="137"/>
      <c r="VWE66" s="137"/>
      <c r="VWF66" s="137"/>
      <c r="VWG66" s="137"/>
      <c r="VWH66" s="137"/>
      <c r="VWI66" s="137"/>
      <c r="VWJ66" s="137"/>
      <c r="VWK66" s="137"/>
      <c r="VWL66" s="137"/>
      <c r="VWM66" s="137"/>
      <c r="VWN66" s="137"/>
      <c r="VWO66" s="137"/>
      <c r="VWP66" s="137"/>
      <c r="VWQ66" s="137"/>
      <c r="VWR66" s="137"/>
      <c r="VWS66" s="137"/>
      <c r="VWT66" s="137"/>
      <c r="VWU66" s="137"/>
      <c r="VWV66" s="137"/>
      <c r="VWW66" s="137"/>
      <c r="VWX66" s="137"/>
      <c r="VWY66" s="137"/>
      <c r="VWZ66" s="137"/>
      <c r="VXA66" s="137"/>
      <c r="VXB66" s="137"/>
      <c r="VXC66" s="137"/>
      <c r="VXD66" s="137"/>
      <c r="VXE66" s="137"/>
      <c r="VXF66" s="137"/>
      <c r="VXG66" s="137"/>
      <c r="VXH66" s="137"/>
      <c r="VXI66" s="137"/>
      <c r="VXJ66" s="137"/>
      <c r="VXK66" s="137"/>
      <c r="VXL66" s="137"/>
      <c r="VXM66" s="137"/>
      <c r="VXN66" s="137"/>
      <c r="VXO66" s="137"/>
      <c r="VXP66" s="137"/>
      <c r="VXQ66" s="137"/>
      <c r="VXR66" s="137"/>
      <c r="VXS66" s="137"/>
      <c r="VXT66" s="137"/>
      <c r="VXU66" s="137"/>
      <c r="VXV66" s="137"/>
      <c r="VXW66" s="137"/>
      <c r="VXX66" s="137"/>
      <c r="VXY66" s="137"/>
      <c r="VXZ66" s="137"/>
      <c r="VYA66" s="137"/>
      <c r="VYB66" s="137"/>
      <c r="VYC66" s="137"/>
      <c r="VYD66" s="137"/>
      <c r="VYE66" s="137"/>
      <c r="VYF66" s="137"/>
      <c r="VYG66" s="137"/>
      <c r="VYH66" s="137"/>
      <c r="VYI66" s="137"/>
      <c r="VYJ66" s="137"/>
      <c r="VYK66" s="137"/>
      <c r="VYL66" s="137"/>
      <c r="VYM66" s="137"/>
      <c r="VYN66" s="137"/>
      <c r="VYO66" s="137"/>
      <c r="VYP66" s="137"/>
      <c r="VYQ66" s="137"/>
      <c r="VYR66" s="137"/>
      <c r="VYS66" s="137"/>
      <c r="VYT66" s="137"/>
      <c r="VYU66" s="137"/>
      <c r="VYV66" s="137"/>
      <c r="VYW66" s="137"/>
      <c r="VYX66" s="137"/>
      <c r="VYY66" s="137"/>
      <c r="VYZ66" s="137"/>
      <c r="VZA66" s="137"/>
      <c r="VZB66" s="137"/>
      <c r="VZC66" s="137"/>
      <c r="VZD66" s="137"/>
      <c r="VZE66" s="137"/>
      <c r="VZF66" s="137"/>
      <c r="VZG66" s="137"/>
      <c r="VZH66" s="137"/>
      <c r="VZI66" s="137"/>
      <c r="VZJ66" s="137"/>
      <c r="VZK66" s="137"/>
      <c r="VZL66" s="137"/>
      <c r="VZM66" s="137"/>
      <c r="VZN66" s="137"/>
      <c r="VZO66" s="137"/>
      <c r="VZP66" s="137"/>
      <c r="VZQ66" s="137"/>
      <c r="VZR66" s="137"/>
      <c r="VZS66" s="137"/>
      <c r="VZT66" s="137"/>
      <c r="VZU66" s="137"/>
      <c r="VZV66" s="137"/>
      <c r="VZW66" s="137"/>
      <c r="VZX66" s="137"/>
      <c r="VZY66" s="137"/>
      <c r="VZZ66" s="137"/>
      <c r="WAA66" s="137"/>
      <c r="WAB66" s="137"/>
      <c r="WAC66" s="137"/>
      <c r="WAD66" s="137"/>
      <c r="WAE66" s="137"/>
      <c r="WAF66" s="137"/>
      <c r="WAG66" s="137"/>
      <c r="WAH66" s="137"/>
      <c r="WAI66" s="137"/>
      <c r="WAJ66" s="137"/>
      <c r="WAK66" s="137"/>
      <c r="WAL66" s="137"/>
      <c r="WAM66" s="137"/>
      <c r="WAN66" s="137"/>
      <c r="WAO66" s="137"/>
      <c r="WAP66" s="137"/>
      <c r="WAQ66" s="137"/>
      <c r="WAR66" s="137"/>
      <c r="WAS66" s="137"/>
      <c r="WAT66" s="137"/>
      <c r="WAU66" s="137"/>
      <c r="WAV66" s="137"/>
      <c r="WAW66" s="137"/>
      <c r="WAX66" s="137"/>
      <c r="WAY66" s="137"/>
      <c r="WAZ66" s="137"/>
      <c r="WBA66" s="137"/>
      <c r="WBB66" s="137"/>
      <c r="WBC66" s="137"/>
      <c r="WBD66" s="137"/>
      <c r="WBE66" s="137"/>
      <c r="WBF66" s="137"/>
      <c r="WBG66" s="137"/>
      <c r="WBH66" s="137"/>
      <c r="WBI66" s="137"/>
      <c r="WBJ66" s="137"/>
      <c r="WBK66" s="137"/>
      <c r="WBL66" s="137"/>
      <c r="WBM66" s="137"/>
      <c r="WBN66" s="137"/>
      <c r="WBO66" s="137"/>
      <c r="WBP66" s="137"/>
      <c r="WBQ66" s="137"/>
      <c r="WBR66" s="137"/>
      <c r="WBS66" s="137"/>
      <c r="WBT66" s="137"/>
      <c r="WBU66" s="137"/>
      <c r="WBV66" s="137"/>
      <c r="WBW66" s="137"/>
      <c r="WBX66" s="137"/>
      <c r="WBY66" s="137"/>
      <c r="WBZ66" s="137"/>
      <c r="WCA66" s="137"/>
      <c r="WCB66" s="137"/>
      <c r="WCC66" s="137"/>
      <c r="WCD66" s="137"/>
      <c r="WCE66" s="137"/>
      <c r="WCF66" s="137"/>
      <c r="WCG66" s="137"/>
      <c r="WCH66" s="137"/>
      <c r="WCI66" s="137"/>
      <c r="WCJ66" s="137"/>
      <c r="WCK66" s="137"/>
      <c r="WCL66" s="137"/>
      <c r="WCM66" s="137"/>
      <c r="WCN66" s="137"/>
      <c r="WCO66" s="137"/>
      <c r="WCP66" s="137"/>
      <c r="WCQ66" s="137"/>
      <c r="WCR66" s="137"/>
      <c r="WCS66" s="137"/>
      <c r="WCT66" s="137"/>
      <c r="WCU66" s="137"/>
      <c r="WCV66" s="137"/>
      <c r="WCW66" s="137"/>
      <c r="WCX66" s="137"/>
      <c r="WCY66" s="137"/>
      <c r="WCZ66" s="137"/>
      <c r="WDA66" s="137"/>
      <c r="WDB66" s="137"/>
      <c r="WDC66" s="137"/>
      <c r="WDD66" s="137"/>
      <c r="WDE66" s="137"/>
      <c r="WDF66" s="137"/>
      <c r="WDG66" s="137"/>
      <c r="WDH66" s="137"/>
      <c r="WDI66" s="137"/>
      <c r="WDJ66" s="137"/>
      <c r="WDK66" s="137"/>
      <c r="WDL66" s="137"/>
      <c r="WDM66" s="137"/>
      <c r="WDN66" s="137"/>
      <c r="WDO66" s="137"/>
      <c r="WDP66" s="137"/>
      <c r="WDQ66" s="137"/>
      <c r="WDR66" s="137"/>
      <c r="WDS66" s="137"/>
      <c r="WDT66" s="137"/>
      <c r="WDU66" s="137"/>
      <c r="WDV66" s="137"/>
      <c r="WDW66" s="137"/>
      <c r="WDX66" s="137"/>
      <c r="WDY66" s="137"/>
      <c r="WDZ66" s="137"/>
      <c r="WEA66" s="137"/>
      <c r="WEB66" s="137"/>
      <c r="WEC66" s="137"/>
      <c r="WED66" s="137"/>
      <c r="WEE66" s="137"/>
      <c r="WEF66" s="137"/>
      <c r="WEG66" s="137"/>
      <c r="WEH66" s="137"/>
      <c r="WEI66" s="137"/>
      <c r="WEJ66" s="137"/>
      <c r="WEK66" s="137"/>
      <c r="WEL66" s="137"/>
      <c r="WEM66" s="137"/>
      <c r="WEN66" s="137"/>
      <c r="WEO66" s="137"/>
      <c r="WEP66" s="137"/>
      <c r="WEQ66" s="137"/>
      <c r="WER66" s="137"/>
      <c r="WES66" s="137"/>
      <c r="WET66" s="137"/>
      <c r="WEU66" s="137"/>
      <c r="WEV66" s="137"/>
      <c r="WEW66" s="137"/>
      <c r="WEX66" s="137"/>
      <c r="WEY66" s="137"/>
      <c r="WEZ66" s="137"/>
      <c r="WFA66" s="137"/>
      <c r="WFB66" s="137"/>
      <c r="WFC66" s="137"/>
      <c r="WFD66" s="137"/>
      <c r="WFE66" s="137"/>
      <c r="WFF66" s="137"/>
      <c r="WFG66" s="137"/>
      <c r="WFH66" s="137"/>
      <c r="WFI66" s="137"/>
      <c r="WFJ66" s="137"/>
      <c r="WFK66" s="137"/>
      <c r="WFL66" s="137"/>
      <c r="WFM66" s="137"/>
      <c r="WFN66" s="137"/>
      <c r="WFO66" s="137"/>
      <c r="WFP66" s="137"/>
      <c r="WFQ66" s="137"/>
      <c r="WFR66" s="137"/>
      <c r="WFS66" s="137"/>
      <c r="WFT66" s="137"/>
      <c r="WFU66" s="137"/>
      <c r="WFV66" s="137"/>
      <c r="WFW66" s="137"/>
      <c r="WFX66" s="137"/>
      <c r="WFY66" s="137"/>
      <c r="WFZ66" s="137"/>
      <c r="WGA66" s="137"/>
      <c r="WGB66" s="137"/>
      <c r="WGC66" s="137"/>
      <c r="WGD66" s="137"/>
      <c r="WGE66" s="137"/>
      <c r="WGF66" s="137"/>
      <c r="WGG66" s="137"/>
      <c r="WGH66" s="137"/>
      <c r="WGI66" s="137"/>
      <c r="WGJ66" s="137"/>
      <c r="WGK66" s="137"/>
      <c r="WGL66" s="137"/>
      <c r="WGM66" s="137"/>
      <c r="WGN66" s="137"/>
      <c r="WGO66" s="137"/>
      <c r="WGP66" s="137"/>
      <c r="WGQ66" s="137"/>
      <c r="WGR66" s="137"/>
      <c r="WGS66" s="137"/>
      <c r="WGT66" s="137"/>
      <c r="WGU66" s="137"/>
      <c r="WGV66" s="137"/>
      <c r="WGW66" s="137"/>
      <c r="WGX66" s="137"/>
      <c r="WGY66" s="137"/>
      <c r="WGZ66" s="137"/>
      <c r="WHA66" s="137"/>
      <c r="WHB66" s="137"/>
      <c r="WHC66" s="137"/>
      <c r="WHD66" s="137"/>
      <c r="WHE66" s="137"/>
      <c r="WHF66" s="137"/>
      <c r="WHG66" s="137"/>
      <c r="WHH66" s="137"/>
      <c r="WHI66" s="137"/>
      <c r="WHJ66" s="137"/>
      <c r="WHK66" s="137"/>
      <c r="WHL66" s="137"/>
      <c r="WHM66" s="137"/>
      <c r="WHN66" s="137"/>
      <c r="WHO66" s="137"/>
      <c r="WHP66" s="137"/>
      <c r="WHQ66" s="137"/>
      <c r="WHR66" s="137"/>
      <c r="WHS66" s="137"/>
      <c r="WHT66" s="137"/>
      <c r="WHU66" s="137"/>
      <c r="WHV66" s="137"/>
      <c r="WHW66" s="137"/>
      <c r="WHX66" s="137"/>
      <c r="WHY66" s="137"/>
      <c r="WHZ66" s="137"/>
      <c r="WIA66" s="137"/>
      <c r="WIB66" s="137"/>
      <c r="WIC66" s="137"/>
      <c r="WID66" s="137"/>
      <c r="WIE66" s="137"/>
      <c r="WIF66" s="137"/>
      <c r="WIG66" s="137"/>
      <c r="WIH66" s="137"/>
      <c r="WII66" s="137"/>
      <c r="WIJ66" s="137"/>
      <c r="WIK66" s="137"/>
      <c r="WIL66" s="137"/>
      <c r="WIM66" s="137"/>
      <c r="WIN66" s="137"/>
      <c r="WIO66" s="137"/>
      <c r="WIP66" s="137"/>
      <c r="WIQ66" s="137"/>
      <c r="WIR66" s="137"/>
      <c r="WIS66" s="137"/>
      <c r="WIT66" s="137"/>
      <c r="WIU66" s="137"/>
      <c r="WIV66" s="137"/>
      <c r="WIW66" s="137"/>
      <c r="WIX66" s="137"/>
      <c r="WIY66" s="137"/>
      <c r="WIZ66" s="137"/>
      <c r="WJA66" s="137"/>
      <c r="WJB66" s="137"/>
      <c r="WJC66" s="137"/>
      <c r="WJD66" s="137"/>
      <c r="WJE66" s="137"/>
      <c r="WJF66" s="137"/>
      <c r="WJG66" s="137"/>
      <c r="WJH66" s="137"/>
      <c r="WJI66" s="137"/>
      <c r="WJJ66" s="137"/>
      <c r="WJK66" s="137"/>
      <c r="WJL66" s="137"/>
      <c r="WJM66" s="137"/>
      <c r="WJN66" s="137"/>
      <c r="WJO66" s="137"/>
      <c r="WJP66" s="137"/>
      <c r="WJQ66" s="137"/>
      <c r="WJR66" s="137"/>
      <c r="WJS66" s="137"/>
      <c r="WJT66" s="137"/>
      <c r="WJU66" s="137"/>
      <c r="WJV66" s="137"/>
      <c r="WJW66" s="137"/>
      <c r="WJX66" s="137"/>
      <c r="WJY66" s="137"/>
      <c r="WJZ66" s="137"/>
      <c r="WKA66" s="137"/>
      <c r="WKB66" s="137"/>
      <c r="WKC66" s="137"/>
      <c r="WKD66" s="137"/>
      <c r="WKE66" s="137"/>
      <c r="WKF66" s="137"/>
      <c r="WKG66" s="137"/>
      <c r="WKH66" s="137"/>
      <c r="WKI66" s="137"/>
      <c r="WKJ66" s="137"/>
      <c r="WKK66" s="137"/>
      <c r="WKL66" s="137"/>
      <c r="WKM66" s="137"/>
      <c r="WKN66" s="137"/>
      <c r="WKO66" s="137"/>
      <c r="WKP66" s="137"/>
      <c r="WKQ66" s="137"/>
      <c r="WKR66" s="137"/>
      <c r="WKS66" s="137"/>
      <c r="WKT66" s="137"/>
      <c r="WKU66" s="137"/>
      <c r="WKV66" s="137"/>
      <c r="WKW66" s="137"/>
      <c r="WKX66" s="137"/>
      <c r="WKY66" s="137"/>
      <c r="WKZ66" s="137"/>
      <c r="WLA66" s="137"/>
      <c r="WLB66" s="137"/>
      <c r="WLC66" s="137"/>
      <c r="WLD66" s="137"/>
      <c r="WLE66" s="137"/>
      <c r="WLF66" s="137"/>
      <c r="WLG66" s="137"/>
      <c r="WLH66" s="137"/>
      <c r="WLI66" s="137"/>
      <c r="WLJ66" s="137"/>
      <c r="WLK66" s="137"/>
      <c r="WLL66" s="137"/>
      <c r="WLM66" s="137"/>
      <c r="WLN66" s="137"/>
      <c r="WLO66" s="137"/>
      <c r="WLP66" s="137"/>
      <c r="WLQ66" s="137"/>
      <c r="WLR66" s="137"/>
      <c r="WLS66" s="137"/>
      <c r="WLT66" s="137"/>
      <c r="WLU66" s="137"/>
      <c r="WLV66" s="137"/>
      <c r="WLW66" s="137"/>
      <c r="WLX66" s="137"/>
      <c r="WLY66" s="137"/>
      <c r="WLZ66" s="137"/>
      <c r="WMA66" s="137"/>
      <c r="WMB66" s="137"/>
      <c r="WMC66" s="137"/>
      <c r="WMD66" s="137"/>
      <c r="WME66" s="137"/>
      <c r="WMF66" s="137"/>
      <c r="WMG66" s="137"/>
      <c r="WMH66" s="137"/>
      <c r="WMI66" s="137"/>
      <c r="WMJ66" s="137"/>
      <c r="WMK66" s="137"/>
      <c r="WML66" s="137"/>
      <c r="WMM66" s="137"/>
      <c r="WMN66" s="137"/>
      <c r="WMO66" s="137"/>
      <c r="WMP66" s="137"/>
      <c r="WMQ66" s="137"/>
      <c r="WMR66" s="137"/>
      <c r="WMS66" s="137"/>
      <c r="WMT66" s="137"/>
      <c r="WMU66" s="137"/>
      <c r="WMV66" s="137"/>
      <c r="WMW66" s="137"/>
      <c r="WMX66" s="137"/>
      <c r="WMY66" s="137"/>
      <c r="WMZ66" s="137"/>
      <c r="WNA66" s="137"/>
      <c r="WNB66" s="137"/>
      <c r="WNC66" s="137"/>
      <c r="WND66" s="137"/>
      <c r="WNE66" s="137"/>
      <c r="WNF66" s="137"/>
      <c r="WNG66" s="137"/>
      <c r="WNH66" s="137"/>
      <c r="WNI66" s="137"/>
      <c r="WNJ66" s="137"/>
      <c r="WNK66" s="137"/>
      <c r="WNL66" s="137"/>
      <c r="WNM66" s="137"/>
      <c r="WNN66" s="137"/>
      <c r="WNO66" s="137"/>
      <c r="WNP66" s="137"/>
      <c r="WNQ66" s="137"/>
      <c r="WNR66" s="137"/>
      <c r="WNS66" s="137"/>
      <c r="WNT66" s="137"/>
      <c r="WNU66" s="137"/>
      <c r="WNV66" s="137"/>
      <c r="WNW66" s="137"/>
      <c r="WNX66" s="137"/>
      <c r="WNY66" s="137"/>
      <c r="WNZ66" s="137"/>
      <c r="WOA66" s="137"/>
      <c r="WOB66" s="137"/>
      <c r="WOC66" s="137"/>
      <c r="WOD66" s="137"/>
      <c r="WOE66" s="137"/>
      <c r="WOF66" s="137"/>
      <c r="WOG66" s="137"/>
      <c r="WOH66" s="137"/>
      <c r="WOI66" s="137"/>
      <c r="WOJ66" s="137"/>
      <c r="WOK66" s="137"/>
      <c r="WOL66" s="137"/>
      <c r="WOM66" s="137"/>
      <c r="WON66" s="137"/>
      <c r="WOO66" s="137"/>
      <c r="WOP66" s="137"/>
      <c r="WOQ66" s="137"/>
      <c r="WOR66" s="137"/>
      <c r="WOS66" s="137"/>
      <c r="WOT66" s="137"/>
      <c r="WOU66" s="137"/>
      <c r="WOV66" s="137"/>
      <c r="WOW66" s="137"/>
      <c r="WOX66" s="137"/>
      <c r="WOY66" s="137"/>
      <c r="WOZ66" s="137"/>
      <c r="WPA66" s="137"/>
      <c r="WPB66" s="137"/>
      <c r="WPC66" s="137"/>
      <c r="WPD66" s="137"/>
      <c r="WPE66" s="137"/>
      <c r="WPF66" s="137"/>
      <c r="WPG66" s="137"/>
      <c r="WPH66" s="137"/>
      <c r="WPI66" s="137"/>
      <c r="WPJ66" s="137"/>
      <c r="WPK66" s="137"/>
      <c r="WPL66" s="137"/>
      <c r="WPM66" s="137"/>
      <c r="WPN66" s="137"/>
      <c r="WPO66" s="137"/>
      <c r="WPP66" s="137"/>
      <c r="WPQ66" s="137"/>
      <c r="WPR66" s="137"/>
      <c r="WPS66" s="137"/>
      <c r="WPT66" s="137"/>
      <c r="WPU66" s="137"/>
      <c r="WPV66" s="137"/>
      <c r="WPW66" s="137"/>
      <c r="WPX66" s="137"/>
      <c r="WPY66" s="137"/>
      <c r="WPZ66" s="137"/>
      <c r="WQA66" s="137"/>
      <c r="WQB66" s="137"/>
      <c r="WQC66" s="137"/>
      <c r="WQD66" s="137"/>
      <c r="WQE66" s="137"/>
      <c r="WQF66" s="137"/>
      <c r="WQG66" s="137"/>
      <c r="WQH66" s="137"/>
      <c r="WQI66" s="137"/>
      <c r="WQJ66" s="137"/>
      <c r="WQK66" s="137"/>
      <c r="WQL66" s="137"/>
      <c r="WQM66" s="137"/>
      <c r="WQN66" s="137"/>
      <c r="WQO66" s="137"/>
      <c r="WQP66" s="137"/>
      <c r="WQQ66" s="137"/>
      <c r="WQR66" s="137"/>
      <c r="WQS66" s="137"/>
      <c r="WQT66" s="137"/>
      <c r="WQU66" s="137"/>
      <c r="WQV66" s="137"/>
      <c r="WQW66" s="137"/>
      <c r="WQX66" s="137"/>
      <c r="WQY66" s="137"/>
      <c r="WQZ66" s="137"/>
      <c r="WRA66" s="137"/>
      <c r="WRB66" s="137"/>
      <c r="WRC66" s="137"/>
      <c r="WRD66" s="137"/>
      <c r="WRE66" s="137"/>
      <c r="WRF66" s="137"/>
      <c r="WRG66" s="137"/>
      <c r="WRH66" s="137"/>
      <c r="WRI66" s="137"/>
      <c r="WRJ66" s="137"/>
      <c r="WRK66" s="137"/>
      <c r="WRL66" s="137"/>
      <c r="WRM66" s="137"/>
      <c r="WRN66" s="137"/>
      <c r="WRO66" s="137"/>
      <c r="WRP66" s="137"/>
      <c r="WRQ66" s="137"/>
      <c r="WRR66" s="137"/>
      <c r="WRS66" s="137"/>
      <c r="WRT66" s="137"/>
      <c r="WRU66" s="137"/>
      <c r="WRV66" s="137"/>
      <c r="WRW66" s="137"/>
      <c r="WRX66" s="137"/>
      <c r="WRY66" s="137"/>
      <c r="WRZ66" s="137"/>
      <c r="WSA66" s="137"/>
      <c r="WSB66" s="137"/>
      <c r="WSC66" s="137"/>
      <c r="WSD66" s="137"/>
      <c r="WSE66" s="137"/>
      <c r="WSF66" s="137"/>
      <c r="WSG66" s="137"/>
      <c r="WSH66" s="137"/>
      <c r="WSI66" s="137"/>
      <c r="WSJ66" s="137"/>
      <c r="WSK66" s="137"/>
      <c r="WSL66" s="137"/>
      <c r="WSM66" s="137"/>
      <c r="WSN66" s="137"/>
      <c r="WSO66" s="137"/>
      <c r="WSP66" s="137"/>
      <c r="WSQ66" s="137"/>
      <c r="WSR66" s="137"/>
      <c r="WSS66" s="137"/>
      <c r="WST66" s="137"/>
      <c r="WSU66" s="137"/>
      <c r="WSV66" s="137"/>
      <c r="WSW66" s="137"/>
      <c r="WSX66" s="137"/>
      <c r="WSY66" s="137"/>
      <c r="WSZ66" s="137"/>
      <c r="WTA66" s="137"/>
      <c r="WTB66" s="137"/>
      <c r="WTC66" s="137"/>
      <c r="WTD66" s="137"/>
      <c r="WTE66" s="137"/>
      <c r="WTF66" s="137"/>
      <c r="WTG66" s="137"/>
      <c r="WTH66" s="137"/>
      <c r="WTI66" s="137"/>
      <c r="WTJ66" s="137"/>
      <c r="WTK66" s="137"/>
      <c r="WTL66" s="137"/>
      <c r="WTM66" s="137"/>
      <c r="WTN66" s="137"/>
      <c r="WTO66" s="137"/>
      <c r="WTP66" s="137"/>
      <c r="WTQ66" s="137"/>
      <c r="WTR66" s="137"/>
      <c r="WTS66" s="137"/>
      <c r="WTT66" s="137"/>
      <c r="WTU66" s="137"/>
      <c r="WTV66" s="137"/>
      <c r="WTW66" s="137"/>
      <c r="WTX66" s="137"/>
      <c r="WTY66" s="137"/>
      <c r="WTZ66" s="137"/>
      <c r="WUA66" s="137"/>
      <c r="WUB66" s="137"/>
      <c r="WUC66" s="137"/>
      <c r="WUD66" s="137"/>
      <c r="WUE66" s="137"/>
      <c r="WUF66" s="137"/>
      <c r="WUG66" s="137"/>
      <c r="WUH66" s="137"/>
      <c r="WUI66" s="137"/>
      <c r="WUJ66" s="137"/>
      <c r="WUK66" s="137"/>
      <c r="WUL66" s="137"/>
    </row>
    <row r="67" spans="1:16106" s="71" customFormat="1" ht="14.25" customHeight="1" x14ac:dyDescent="0.2">
      <c r="A67" s="137"/>
      <c r="B67" s="137"/>
      <c r="C67" s="137"/>
      <c r="D67" s="137"/>
      <c r="E67" s="114"/>
      <c r="F67" s="106"/>
      <c r="G67" s="138"/>
      <c r="H67" s="137"/>
      <c r="I67" s="137"/>
      <c r="J67" s="137"/>
      <c r="K67" s="137"/>
      <c r="L67" s="137"/>
      <c r="M67" s="9"/>
      <c r="N67" s="137"/>
      <c r="O67" s="137"/>
      <c r="P67" s="137"/>
      <c r="Q67" s="137"/>
      <c r="R67" s="137"/>
      <c r="S67" s="137"/>
      <c r="T67" s="137"/>
      <c r="U67" s="137"/>
      <c r="V67" s="137"/>
      <c r="W67" s="137"/>
      <c r="X67" s="137"/>
      <c r="Y67" s="137"/>
      <c r="Z67" s="137"/>
      <c r="AA67" s="137"/>
      <c r="AB67" s="137"/>
      <c r="AC67" s="137"/>
      <c r="AD67" s="137"/>
      <c r="AE67" s="137"/>
      <c r="AF67" s="137"/>
      <c r="AG67" s="137"/>
      <c r="AH67" s="137"/>
      <c r="AI67" s="137"/>
      <c r="AJ67" s="137"/>
      <c r="AK67" s="137"/>
      <c r="AL67" s="137"/>
      <c r="AM67" s="137"/>
      <c r="AN67" s="137"/>
      <c r="AO67" s="137"/>
      <c r="AP67" s="137"/>
      <c r="AQ67" s="137"/>
      <c r="AR67" s="137"/>
      <c r="AS67" s="137"/>
      <c r="AT67" s="137"/>
      <c r="AU67" s="137"/>
      <c r="AV67" s="137"/>
      <c r="AW67" s="137"/>
      <c r="AX67" s="137"/>
      <c r="AY67" s="137"/>
      <c r="AZ67" s="137"/>
      <c r="BA67" s="137"/>
      <c r="BB67" s="137"/>
      <c r="BC67" s="137"/>
      <c r="BD67" s="137"/>
      <c r="BE67" s="137"/>
      <c r="BF67" s="137"/>
      <c r="BG67" s="137"/>
      <c r="BH67" s="137"/>
      <c r="BI67" s="137"/>
      <c r="BJ67" s="137"/>
      <c r="BK67" s="137"/>
      <c r="BL67" s="137"/>
      <c r="BM67" s="137"/>
      <c r="BN67" s="137"/>
      <c r="BO67" s="137"/>
      <c r="BP67" s="137"/>
      <c r="BQ67" s="137"/>
      <c r="BR67" s="137"/>
      <c r="BS67" s="137"/>
      <c r="BT67" s="137"/>
      <c r="BU67" s="137"/>
      <c r="BV67" s="137"/>
      <c r="BW67" s="137"/>
      <c r="BX67" s="137"/>
      <c r="BY67" s="137"/>
      <c r="BZ67" s="137"/>
      <c r="CA67" s="137"/>
      <c r="CB67" s="137"/>
      <c r="CC67" s="137"/>
      <c r="CD67" s="137"/>
      <c r="CE67" s="137"/>
      <c r="CF67" s="137"/>
      <c r="CG67" s="137"/>
      <c r="CH67" s="137"/>
      <c r="CI67" s="137"/>
      <c r="CJ67" s="137"/>
      <c r="CK67" s="137"/>
      <c r="CL67" s="137"/>
      <c r="CM67" s="137"/>
      <c r="CN67" s="137"/>
      <c r="CO67" s="137"/>
      <c r="CP67" s="137"/>
      <c r="CQ67" s="137"/>
      <c r="CR67" s="137"/>
      <c r="CS67" s="137"/>
      <c r="CT67" s="137"/>
      <c r="CU67" s="137"/>
      <c r="CV67" s="137"/>
      <c r="CW67" s="137"/>
      <c r="CX67" s="137"/>
      <c r="CY67" s="137"/>
      <c r="CZ67" s="137"/>
      <c r="DA67" s="137"/>
      <c r="DB67" s="137"/>
      <c r="DC67" s="137"/>
      <c r="DD67" s="137"/>
      <c r="DE67" s="137"/>
      <c r="DF67" s="137"/>
      <c r="DG67" s="137"/>
      <c r="DH67" s="137"/>
      <c r="DI67" s="137"/>
      <c r="DJ67" s="137"/>
      <c r="DK67" s="137"/>
      <c r="DL67" s="137"/>
      <c r="DM67" s="137"/>
      <c r="DN67" s="137"/>
      <c r="DO67" s="137"/>
      <c r="DP67" s="137"/>
      <c r="DQ67" s="137"/>
      <c r="DR67" s="137"/>
      <c r="DS67" s="137"/>
      <c r="DT67" s="137"/>
      <c r="DU67" s="137"/>
      <c r="DV67" s="137"/>
      <c r="DW67" s="137"/>
      <c r="DX67" s="137"/>
      <c r="DY67" s="137"/>
      <c r="DZ67" s="137"/>
      <c r="EA67" s="137"/>
      <c r="EB67" s="137"/>
      <c r="EC67" s="137"/>
      <c r="ED67" s="137"/>
      <c r="EE67" s="137"/>
      <c r="EF67" s="137"/>
      <c r="EG67" s="137"/>
      <c r="EH67" s="137"/>
      <c r="EI67" s="137"/>
      <c r="EJ67" s="137"/>
      <c r="EK67" s="137"/>
      <c r="EL67" s="137"/>
      <c r="EM67" s="137"/>
      <c r="EN67" s="137"/>
      <c r="EO67" s="137"/>
      <c r="EP67" s="137"/>
      <c r="EQ67" s="137"/>
      <c r="ER67" s="137"/>
      <c r="ES67" s="137"/>
      <c r="ET67" s="137"/>
      <c r="EU67" s="137"/>
      <c r="EV67" s="137"/>
      <c r="EW67" s="137"/>
      <c r="EX67" s="137"/>
      <c r="EY67" s="137"/>
      <c r="EZ67" s="137"/>
      <c r="FA67" s="137"/>
      <c r="FB67" s="137"/>
      <c r="FC67" s="137"/>
      <c r="FD67" s="137"/>
      <c r="FE67" s="137"/>
      <c r="FF67" s="137"/>
      <c r="FG67" s="137"/>
      <c r="FH67" s="137"/>
      <c r="FI67" s="137"/>
      <c r="FJ67" s="137"/>
      <c r="FK67" s="137"/>
      <c r="FL67" s="137"/>
      <c r="FM67" s="137"/>
      <c r="FN67" s="137"/>
      <c r="FO67" s="137"/>
      <c r="FP67" s="137"/>
      <c r="FQ67" s="137"/>
      <c r="FR67" s="137"/>
      <c r="FS67" s="137"/>
      <c r="FT67" s="137"/>
      <c r="FU67" s="137"/>
      <c r="FV67" s="137"/>
      <c r="FW67" s="137"/>
      <c r="FX67" s="137"/>
      <c r="FY67" s="137"/>
      <c r="FZ67" s="137"/>
      <c r="GA67" s="137"/>
      <c r="GB67" s="137"/>
      <c r="GC67" s="137"/>
      <c r="GD67" s="137"/>
      <c r="GE67" s="137"/>
      <c r="GF67" s="137"/>
      <c r="GG67" s="137"/>
      <c r="GH67" s="137"/>
      <c r="GI67" s="137"/>
      <c r="GJ67" s="137"/>
      <c r="GK67" s="137"/>
      <c r="GL67" s="137"/>
      <c r="GM67" s="137"/>
      <c r="GN67" s="137"/>
      <c r="GO67" s="137"/>
      <c r="GP67" s="137"/>
      <c r="GQ67" s="137"/>
      <c r="GR67" s="137"/>
      <c r="GS67" s="137"/>
      <c r="GT67" s="137"/>
      <c r="GU67" s="137"/>
      <c r="GV67" s="137"/>
      <c r="GW67" s="137"/>
      <c r="GX67" s="137"/>
      <c r="GY67" s="137"/>
      <c r="GZ67" s="137"/>
      <c r="HA67" s="137"/>
      <c r="HB67" s="137"/>
      <c r="HC67" s="137"/>
      <c r="HD67" s="137"/>
      <c r="HE67" s="137"/>
      <c r="HF67" s="137"/>
      <c r="HG67" s="137"/>
      <c r="HH67" s="137"/>
      <c r="HI67" s="137"/>
      <c r="HJ67" s="137"/>
      <c r="HK67" s="137"/>
      <c r="HL67" s="137"/>
      <c r="HM67" s="137"/>
      <c r="HN67" s="137"/>
      <c r="HO67" s="137"/>
      <c r="HP67" s="137"/>
      <c r="HQ67" s="137"/>
      <c r="HR67" s="137"/>
      <c r="HS67" s="137"/>
      <c r="HT67" s="137"/>
      <c r="HU67" s="137"/>
      <c r="HV67" s="137"/>
      <c r="HW67" s="137"/>
      <c r="HX67" s="137"/>
      <c r="HY67" s="137"/>
      <c r="HZ67" s="137"/>
      <c r="IA67" s="137"/>
      <c r="IB67" s="137"/>
      <c r="IC67" s="137"/>
      <c r="ID67" s="137"/>
      <c r="IE67" s="137"/>
      <c r="IF67" s="137"/>
      <c r="IG67" s="137"/>
      <c r="IH67" s="137"/>
      <c r="II67" s="137"/>
      <c r="IJ67" s="137"/>
      <c r="IK67" s="137"/>
      <c r="IL67" s="137"/>
      <c r="IM67" s="137"/>
      <c r="IN67" s="137"/>
      <c r="IO67" s="137"/>
      <c r="IP67" s="137"/>
      <c r="IQ67" s="137"/>
      <c r="IR67" s="137"/>
      <c r="IS67" s="137"/>
      <c r="IT67" s="137"/>
      <c r="IU67" s="137"/>
      <c r="IV67" s="137"/>
      <c r="IW67" s="137"/>
      <c r="IX67" s="137"/>
      <c r="IY67" s="137"/>
      <c r="IZ67" s="137"/>
      <c r="JA67" s="137"/>
      <c r="JB67" s="137"/>
      <c r="JC67" s="137"/>
      <c r="JD67" s="137"/>
      <c r="JE67" s="137"/>
      <c r="JF67" s="137"/>
      <c r="JG67" s="137"/>
      <c r="JH67" s="137"/>
      <c r="JI67" s="137"/>
      <c r="JJ67" s="137"/>
      <c r="JK67" s="137"/>
      <c r="JL67" s="137"/>
      <c r="JM67" s="137"/>
      <c r="JN67" s="137"/>
      <c r="JO67" s="137"/>
      <c r="JP67" s="137"/>
      <c r="JQ67" s="137"/>
      <c r="JR67" s="137"/>
      <c r="JS67" s="137"/>
      <c r="JT67" s="137"/>
      <c r="JU67" s="137"/>
      <c r="JV67" s="137"/>
      <c r="JW67" s="137"/>
      <c r="JX67" s="137"/>
      <c r="JY67" s="137"/>
      <c r="JZ67" s="137"/>
      <c r="KA67" s="137"/>
      <c r="KB67" s="137"/>
      <c r="KC67" s="137"/>
      <c r="KD67" s="137"/>
      <c r="KE67" s="137"/>
      <c r="KF67" s="137"/>
      <c r="KG67" s="137"/>
      <c r="KH67" s="137"/>
      <c r="KI67" s="137"/>
      <c r="KJ67" s="137"/>
      <c r="KK67" s="137"/>
      <c r="KL67" s="137"/>
      <c r="KM67" s="137"/>
      <c r="KN67" s="137"/>
      <c r="KO67" s="137"/>
      <c r="KP67" s="137"/>
      <c r="KQ67" s="137"/>
      <c r="KR67" s="137"/>
      <c r="KS67" s="137"/>
      <c r="KT67" s="137"/>
      <c r="KU67" s="137"/>
      <c r="KV67" s="137"/>
      <c r="KW67" s="137"/>
      <c r="KX67" s="137"/>
      <c r="KY67" s="137"/>
      <c r="KZ67" s="137"/>
      <c r="LA67" s="137"/>
      <c r="LB67" s="137"/>
      <c r="LC67" s="137"/>
      <c r="LD67" s="137"/>
      <c r="LE67" s="137"/>
      <c r="LF67" s="137"/>
      <c r="LG67" s="137"/>
      <c r="LH67" s="137"/>
      <c r="LI67" s="137"/>
      <c r="LJ67" s="137"/>
      <c r="LK67" s="137"/>
      <c r="LL67" s="137"/>
      <c r="LM67" s="137"/>
      <c r="LN67" s="137"/>
      <c r="LO67" s="137"/>
      <c r="LP67" s="137"/>
      <c r="LQ67" s="137"/>
      <c r="LR67" s="137"/>
      <c r="LS67" s="137"/>
      <c r="LT67" s="137"/>
      <c r="LU67" s="137"/>
      <c r="LV67" s="137"/>
      <c r="LW67" s="137"/>
      <c r="LX67" s="137"/>
      <c r="LY67" s="137"/>
      <c r="LZ67" s="137"/>
      <c r="MA67" s="137"/>
      <c r="MB67" s="137"/>
      <c r="MC67" s="137"/>
      <c r="MD67" s="137"/>
      <c r="ME67" s="137"/>
      <c r="MF67" s="137"/>
      <c r="MG67" s="137"/>
      <c r="MH67" s="137"/>
      <c r="MI67" s="137"/>
      <c r="MJ67" s="137"/>
      <c r="MK67" s="137"/>
      <c r="ML67" s="137"/>
      <c r="MM67" s="137"/>
      <c r="MN67" s="137"/>
      <c r="MO67" s="137"/>
      <c r="MP67" s="137"/>
      <c r="MQ67" s="137"/>
      <c r="MR67" s="137"/>
      <c r="MS67" s="137"/>
      <c r="MT67" s="137"/>
      <c r="MU67" s="137"/>
      <c r="MV67" s="137"/>
      <c r="MW67" s="137"/>
      <c r="MX67" s="137"/>
      <c r="MY67" s="137"/>
      <c r="MZ67" s="137"/>
      <c r="NA67" s="137"/>
      <c r="NB67" s="137"/>
      <c r="NC67" s="137"/>
      <c r="ND67" s="137"/>
      <c r="NE67" s="137"/>
      <c r="NF67" s="137"/>
      <c r="NG67" s="137"/>
      <c r="NH67" s="137"/>
      <c r="NI67" s="137"/>
      <c r="NJ67" s="137"/>
      <c r="NK67" s="137"/>
      <c r="NL67" s="137"/>
      <c r="NM67" s="137"/>
      <c r="NN67" s="137"/>
      <c r="NO67" s="137"/>
      <c r="NP67" s="137"/>
      <c r="NQ67" s="137"/>
      <c r="NR67" s="137"/>
      <c r="NS67" s="137"/>
      <c r="NT67" s="137"/>
      <c r="NU67" s="137"/>
      <c r="NV67" s="137"/>
      <c r="NW67" s="137"/>
      <c r="NX67" s="137"/>
      <c r="NY67" s="137"/>
      <c r="NZ67" s="137"/>
      <c r="OA67" s="137"/>
      <c r="OB67" s="137"/>
      <c r="OC67" s="137"/>
      <c r="OD67" s="137"/>
      <c r="OE67" s="137"/>
      <c r="OF67" s="137"/>
      <c r="OG67" s="137"/>
      <c r="OH67" s="137"/>
      <c r="OI67" s="137"/>
      <c r="OJ67" s="137"/>
      <c r="OK67" s="137"/>
      <c r="OL67" s="137"/>
      <c r="OM67" s="137"/>
      <c r="ON67" s="137"/>
      <c r="OO67" s="137"/>
      <c r="OP67" s="137"/>
      <c r="OQ67" s="137"/>
      <c r="OR67" s="137"/>
      <c r="OS67" s="137"/>
      <c r="OT67" s="137"/>
      <c r="OU67" s="137"/>
      <c r="OV67" s="137"/>
      <c r="OW67" s="137"/>
      <c r="OX67" s="137"/>
      <c r="OY67" s="137"/>
      <c r="OZ67" s="137"/>
      <c r="PA67" s="137"/>
      <c r="PB67" s="137"/>
      <c r="PC67" s="137"/>
      <c r="PD67" s="137"/>
      <c r="PE67" s="137"/>
      <c r="PF67" s="137"/>
      <c r="PG67" s="137"/>
      <c r="PH67" s="137"/>
      <c r="PI67" s="137"/>
      <c r="PJ67" s="137"/>
      <c r="PK67" s="137"/>
      <c r="PL67" s="137"/>
      <c r="PM67" s="137"/>
      <c r="PN67" s="137"/>
      <c r="PO67" s="137"/>
      <c r="PP67" s="137"/>
      <c r="PQ67" s="137"/>
      <c r="PR67" s="137"/>
      <c r="PS67" s="137"/>
      <c r="PT67" s="137"/>
      <c r="PU67" s="137"/>
      <c r="PV67" s="137"/>
      <c r="PW67" s="137"/>
      <c r="PX67" s="137"/>
      <c r="PY67" s="137"/>
      <c r="PZ67" s="137"/>
      <c r="QA67" s="137"/>
      <c r="QB67" s="137"/>
      <c r="QC67" s="137"/>
      <c r="QD67" s="137"/>
      <c r="QE67" s="137"/>
      <c r="QF67" s="137"/>
      <c r="QG67" s="137"/>
      <c r="QH67" s="137"/>
      <c r="QI67" s="137"/>
      <c r="QJ67" s="137"/>
      <c r="QK67" s="137"/>
      <c r="QL67" s="137"/>
      <c r="QM67" s="137"/>
      <c r="QN67" s="137"/>
      <c r="QO67" s="137"/>
      <c r="QP67" s="137"/>
      <c r="QQ67" s="137"/>
      <c r="QR67" s="137"/>
      <c r="QS67" s="137"/>
      <c r="QT67" s="137"/>
      <c r="QU67" s="137"/>
      <c r="QV67" s="137"/>
      <c r="QW67" s="137"/>
      <c r="QX67" s="137"/>
      <c r="QY67" s="137"/>
      <c r="QZ67" s="137"/>
      <c r="RA67" s="137"/>
      <c r="RB67" s="137"/>
      <c r="RC67" s="137"/>
      <c r="RD67" s="137"/>
      <c r="RE67" s="137"/>
      <c r="RF67" s="137"/>
      <c r="RG67" s="137"/>
      <c r="RH67" s="137"/>
      <c r="RI67" s="137"/>
      <c r="RJ67" s="137"/>
      <c r="RK67" s="137"/>
      <c r="RL67" s="137"/>
      <c r="RM67" s="137"/>
      <c r="RN67" s="137"/>
      <c r="RO67" s="137"/>
      <c r="RP67" s="137"/>
      <c r="RQ67" s="137"/>
      <c r="RR67" s="137"/>
      <c r="RS67" s="137"/>
      <c r="RT67" s="137"/>
      <c r="RU67" s="137"/>
      <c r="RV67" s="137"/>
      <c r="RW67" s="137"/>
      <c r="RX67" s="137"/>
      <c r="RY67" s="137"/>
      <c r="RZ67" s="137"/>
      <c r="SA67" s="137"/>
      <c r="SB67" s="137"/>
      <c r="SC67" s="137"/>
      <c r="SD67" s="137"/>
      <c r="SE67" s="137"/>
      <c r="SF67" s="137"/>
      <c r="SG67" s="137"/>
      <c r="SH67" s="137"/>
      <c r="SI67" s="137"/>
      <c r="SJ67" s="137"/>
      <c r="SK67" s="137"/>
      <c r="SL67" s="137"/>
      <c r="SM67" s="137"/>
      <c r="SN67" s="137"/>
      <c r="SO67" s="137"/>
      <c r="SP67" s="137"/>
      <c r="SQ67" s="137"/>
      <c r="SR67" s="137"/>
      <c r="SS67" s="137"/>
      <c r="ST67" s="137"/>
      <c r="SU67" s="137"/>
      <c r="SV67" s="137"/>
      <c r="SW67" s="137"/>
      <c r="SX67" s="137"/>
      <c r="SY67" s="137"/>
      <c r="SZ67" s="137"/>
      <c r="TA67" s="137"/>
      <c r="TB67" s="137"/>
      <c r="TC67" s="137"/>
      <c r="TD67" s="137"/>
      <c r="TE67" s="137"/>
      <c r="TF67" s="137"/>
      <c r="TG67" s="137"/>
      <c r="TH67" s="137"/>
      <c r="TI67" s="137"/>
      <c r="TJ67" s="137"/>
      <c r="TK67" s="137"/>
      <c r="TL67" s="137"/>
      <c r="TM67" s="137"/>
      <c r="TN67" s="137"/>
      <c r="TO67" s="137"/>
      <c r="TP67" s="137"/>
      <c r="TQ67" s="137"/>
      <c r="TR67" s="137"/>
      <c r="TS67" s="137"/>
      <c r="TT67" s="137"/>
      <c r="TU67" s="137"/>
      <c r="TV67" s="137"/>
      <c r="TW67" s="137"/>
      <c r="TX67" s="137"/>
      <c r="TY67" s="137"/>
      <c r="TZ67" s="137"/>
      <c r="UA67" s="137"/>
      <c r="UB67" s="137"/>
      <c r="UC67" s="137"/>
      <c r="UD67" s="137"/>
      <c r="UE67" s="137"/>
      <c r="UF67" s="137"/>
      <c r="UG67" s="137"/>
      <c r="UH67" s="137"/>
      <c r="UI67" s="137"/>
      <c r="UJ67" s="137"/>
      <c r="UK67" s="137"/>
      <c r="UL67" s="137"/>
      <c r="UM67" s="137"/>
      <c r="UN67" s="137"/>
      <c r="UO67" s="137"/>
      <c r="UP67" s="137"/>
      <c r="UQ67" s="137"/>
      <c r="UR67" s="137"/>
      <c r="US67" s="137"/>
      <c r="UT67" s="137"/>
      <c r="UU67" s="137"/>
      <c r="UV67" s="137"/>
      <c r="UW67" s="137"/>
      <c r="UX67" s="137"/>
      <c r="UY67" s="137"/>
      <c r="UZ67" s="137"/>
      <c r="VA67" s="137"/>
      <c r="VB67" s="137"/>
      <c r="VC67" s="137"/>
      <c r="VD67" s="137"/>
      <c r="VE67" s="137"/>
      <c r="VF67" s="137"/>
      <c r="VG67" s="137"/>
      <c r="VH67" s="137"/>
      <c r="VI67" s="137"/>
      <c r="VJ67" s="137"/>
      <c r="VK67" s="137"/>
      <c r="VL67" s="137"/>
      <c r="VM67" s="137"/>
      <c r="VN67" s="137"/>
      <c r="VO67" s="137"/>
      <c r="VP67" s="137"/>
      <c r="VQ67" s="137"/>
      <c r="VR67" s="137"/>
      <c r="VS67" s="137"/>
      <c r="VT67" s="137"/>
      <c r="VU67" s="137"/>
      <c r="VV67" s="137"/>
      <c r="VW67" s="137"/>
      <c r="VX67" s="137"/>
      <c r="VY67" s="137"/>
      <c r="VZ67" s="137"/>
      <c r="WA67" s="137"/>
      <c r="WB67" s="137"/>
      <c r="WC67" s="137"/>
      <c r="WD67" s="137"/>
      <c r="WE67" s="137"/>
      <c r="WF67" s="137"/>
      <c r="WG67" s="137"/>
      <c r="WH67" s="137"/>
      <c r="WI67" s="137"/>
      <c r="WJ67" s="137"/>
      <c r="WK67" s="137"/>
      <c r="WL67" s="137"/>
      <c r="WM67" s="137"/>
      <c r="WN67" s="137"/>
      <c r="WO67" s="137"/>
      <c r="WP67" s="137"/>
      <c r="WQ67" s="137"/>
      <c r="WR67" s="137"/>
      <c r="WS67" s="137"/>
      <c r="WT67" s="137"/>
      <c r="WU67" s="137"/>
      <c r="WV67" s="137"/>
      <c r="WW67" s="137"/>
      <c r="WX67" s="137"/>
      <c r="WY67" s="137"/>
      <c r="WZ67" s="137"/>
      <c r="XA67" s="137"/>
      <c r="XB67" s="137"/>
      <c r="XC67" s="137"/>
      <c r="XD67" s="137"/>
      <c r="XE67" s="137"/>
      <c r="XF67" s="137"/>
      <c r="XG67" s="137"/>
      <c r="XH67" s="137"/>
      <c r="XI67" s="137"/>
      <c r="XJ67" s="137"/>
      <c r="XK67" s="137"/>
      <c r="XL67" s="137"/>
      <c r="XM67" s="137"/>
      <c r="XN67" s="137"/>
      <c r="XO67" s="137"/>
      <c r="XP67" s="137"/>
      <c r="XQ67" s="137"/>
      <c r="XR67" s="137"/>
      <c r="XS67" s="137"/>
      <c r="XT67" s="137"/>
      <c r="XU67" s="137"/>
      <c r="XV67" s="137"/>
      <c r="XW67" s="137"/>
      <c r="XX67" s="137"/>
      <c r="XY67" s="137"/>
      <c r="XZ67" s="137"/>
      <c r="YA67" s="137"/>
      <c r="YB67" s="137"/>
      <c r="YC67" s="137"/>
      <c r="YD67" s="137"/>
      <c r="YE67" s="137"/>
      <c r="YF67" s="137"/>
      <c r="YG67" s="137"/>
      <c r="YH67" s="137"/>
      <c r="YI67" s="137"/>
      <c r="YJ67" s="137"/>
      <c r="YK67" s="137"/>
      <c r="YL67" s="137"/>
      <c r="YM67" s="137"/>
      <c r="YN67" s="137"/>
      <c r="YO67" s="137"/>
      <c r="YP67" s="137"/>
      <c r="YQ67" s="137"/>
      <c r="YR67" s="137"/>
      <c r="YS67" s="137"/>
      <c r="YT67" s="137"/>
      <c r="YU67" s="137"/>
      <c r="YV67" s="137"/>
      <c r="YW67" s="137"/>
      <c r="YX67" s="137"/>
      <c r="YY67" s="137"/>
      <c r="YZ67" s="137"/>
      <c r="ZA67" s="137"/>
      <c r="ZB67" s="137"/>
      <c r="ZC67" s="137"/>
      <c r="ZD67" s="137"/>
      <c r="ZE67" s="137"/>
      <c r="ZF67" s="137"/>
      <c r="ZG67" s="137"/>
      <c r="ZH67" s="137"/>
      <c r="ZI67" s="137"/>
      <c r="ZJ67" s="137"/>
      <c r="ZK67" s="137"/>
      <c r="ZL67" s="137"/>
      <c r="ZM67" s="137"/>
      <c r="ZN67" s="137"/>
      <c r="ZO67" s="137"/>
      <c r="ZP67" s="137"/>
      <c r="ZQ67" s="137"/>
      <c r="ZR67" s="137"/>
      <c r="ZS67" s="137"/>
      <c r="ZT67" s="137"/>
      <c r="ZU67" s="137"/>
      <c r="ZV67" s="137"/>
      <c r="ZW67" s="137"/>
      <c r="ZX67" s="137"/>
      <c r="ZY67" s="137"/>
      <c r="ZZ67" s="137"/>
      <c r="AAA67" s="137"/>
      <c r="AAB67" s="137"/>
      <c r="AAC67" s="137"/>
      <c r="AAD67" s="137"/>
      <c r="AAE67" s="137"/>
      <c r="AAF67" s="137"/>
      <c r="AAG67" s="137"/>
      <c r="AAH67" s="137"/>
      <c r="AAI67" s="137"/>
      <c r="AAJ67" s="137"/>
      <c r="AAK67" s="137"/>
      <c r="AAL67" s="137"/>
      <c r="AAM67" s="137"/>
      <c r="AAN67" s="137"/>
      <c r="AAO67" s="137"/>
      <c r="AAP67" s="137"/>
      <c r="AAQ67" s="137"/>
      <c r="AAR67" s="137"/>
      <c r="AAS67" s="137"/>
      <c r="AAT67" s="137"/>
      <c r="AAU67" s="137"/>
      <c r="AAV67" s="137"/>
      <c r="AAW67" s="137"/>
      <c r="AAX67" s="137"/>
      <c r="AAY67" s="137"/>
      <c r="AAZ67" s="137"/>
      <c r="ABA67" s="137"/>
      <c r="ABB67" s="137"/>
      <c r="ABC67" s="137"/>
      <c r="ABD67" s="137"/>
      <c r="ABE67" s="137"/>
      <c r="ABF67" s="137"/>
      <c r="ABG67" s="137"/>
      <c r="ABH67" s="137"/>
      <c r="ABI67" s="137"/>
      <c r="ABJ67" s="137"/>
      <c r="ABK67" s="137"/>
      <c r="ABL67" s="137"/>
      <c r="ABM67" s="137"/>
      <c r="ABN67" s="137"/>
      <c r="ABO67" s="137"/>
      <c r="ABP67" s="137"/>
      <c r="ABQ67" s="137"/>
      <c r="ABR67" s="137"/>
      <c r="ABS67" s="137"/>
      <c r="ABT67" s="137"/>
      <c r="ABU67" s="137"/>
      <c r="ABV67" s="137"/>
      <c r="ABW67" s="137"/>
      <c r="ABX67" s="137"/>
      <c r="ABY67" s="137"/>
      <c r="ABZ67" s="137"/>
      <c r="ACA67" s="137"/>
      <c r="ACB67" s="137"/>
      <c r="ACC67" s="137"/>
      <c r="ACD67" s="137"/>
      <c r="ACE67" s="137"/>
      <c r="ACF67" s="137"/>
      <c r="ACG67" s="137"/>
      <c r="ACH67" s="137"/>
      <c r="ACI67" s="137"/>
      <c r="ACJ67" s="137"/>
      <c r="ACK67" s="137"/>
      <c r="ACL67" s="137"/>
      <c r="ACM67" s="137"/>
      <c r="ACN67" s="137"/>
      <c r="ACO67" s="137"/>
      <c r="ACP67" s="137"/>
      <c r="ACQ67" s="137"/>
      <c r="ACR67" s="137"/>
      <c r="ACS67" s="137"/>
      <c r="ACT67" s="137"/>
      <c r="ACU67" s="137"/>
      <c r="ACV67" s="137"/>
      <c r="ACW67" s="137"/>
      <c r="ACX67" s="137"/>
      <c r="ACY67" s="137"/>
      <c r="ACZ67" s="137"/>
      <c r="ADA67" s="137"/>
      <c r="ADB67" s="137"/>
      <c r="ADC67" s="137"/>
      <c r="ADD67" s="137"/>
      <c r="ADE67" s="137"/>
      <c r="ADF67" s="137"/>
      <c r="ADG67" s="137"/>
      <c r="ADH67" s="137"/>
      <c r="ADI67" s="137"/>
      <c r="ADJ67" s="137"/>
      <c r="ADK67" s="137"/>
      <c r="ADL67" s="137"/>
      <c r="ADM67" s="137"/>
      <c r="ADN67" s="137"/>
      <c r="ADO67" s="137"/>
      <c r="ADP67" s="137"/>
      <c r="ADQ67" s="137"/>
      <c r="ADR67" s="137"/>
      <c r="ADS67" s="137"/>
      <c r="ADT67" s="137"/>
      <c r="ADU67" s="137"/>
      <c r="ADV67" s="137"/>
      <c r="ADW67" s="137"/>
      <c r="ADX67" s="137"/>
      <c r="ADY67" s="137"/>
      <c r="ADZ67" s="137"/>
      <c r="AEA67" s="137"/>
      <c r="AEB67" s="137"/>
      <c r="AEC67" s="137"/>
      <c r="AED67" s="137"/>
      <c r="AEE67" s="137"/>
      <c r="AEF67" s="137"/>
      <c r="AEG67" s="137"/>
      <c r="AEH67" s="137"/>
      <c r="AEI67" s="137"/>
      <c r="AEJ67" s="137"/>
      <c r="AEK67" s="137"/>
      <c r="AEL67" s="137"/>
      <c r="AEM67" s="137"/>
      <c r="AEN67" s="137"/>
      <c r="AEO67" s="137"/>
      <c r="AEP67" s="137"/>
      <c r="AEQ67" s="137"/>
      <c r="AER67" s="137"/>
      <c r="AES67" s="137"/>
      <c r="AET67" s="137"/>
      <c r="AEU67" s="137"/>
      <c r="AEV67" s="137"/>
      <c r="AEW67" s="137"/>
      <c r="AEX67" s="137"/>
      <c r="AEY67" s="137"/>
      <c r="AEZ67" s="137"/>
      <c r="AFA67" s="137"/>
      <c r="AFB67" s="137"/>
      <c r="AFC67" s="137"/>
      <c r="AFD67" s="137"/>
      <c r="AFE67" s="137"/>
      <c r="AFF67" s="137"/>
      <c r="AFG67" s="137"/>
      <c r="AFH67" s="137"/>
      <c r="AFI67" s="137"/>
      <c r="AFJ67" s="137"/>
      <c r="AFK67" s="137"/>
      <c r="AFL67" s="137"/>
      <c r="AFM67" s="137"/>
      <c r="AFN67" s="137"/>
      <c r="AFO67" s="137"/>
      <c r="AFP67" s="137"/>
      <c r="AFQ67" s="137"/>
      <c r="AFR67" s="137"/>
      <c r="AFS67" s="137"/>
      <c r="AFT67" s="137"/>
      <c r="AFU67" s="137"/>
      <c r="AFV67" s="137"/>
      <c r="AFW67" s="137"/>
      <c r="AFX67" s="137"/>
      <c r="AFY67" s="137"/>
      <c r="AFZ67" s="137"/>
      <c r="AGA67" s="137"/>
      <c r="AGB67" s="137"/>
      <c r="AGC67" s="137"/>
      <c r="AGD67" s="137"/>
      <c r="AGE67" s="137"/>
      <c r="AGF67" s="137"/>
      <c r="AGG67" s="137"/>
      <c r="AGH67" s="137"/>
      <c r="AGI67" s="137"/>
      <c r="AGJ67" s="137"/>
      <c r="AGK67" s="137"/>
      <c r="AGL67" s="137"/>
      <c r="AGM67" s="137"/>
      <c r="AGN67" s="137"/>
      <c r="AGO67" s="137"/>
      <c r="AGP67" s="137"/>
      <c r="AGQ67" s="137"/>
      <c r="AGR67" s="137"/>
      <c r="AGS67" s="137"/>
      <c r="AGT67" s="137"/>
      <c r="AGU67" s="137"/>
      <c r="AGV67" s="137"/>
      <c r="AGW67" s="137"/>
      <c r="AGX67" s="137"/>
      <c r="AGY67" s="137"/>
      <c r="AGZ67" s="137"/>
      <c r="AHA67" s="137"/>
      <c r="AHB67" s="137"/>
      <c r="AHC67" s="137"/>
      <c r="AHD67" s="137"/>
      <c r="AHE67" s="137"/>
      <c r="AHF67" s="137"/>
      <c r="AHG67" s="137"/>
      <c r="AHH67" s="137"/>
      <c r="AHI67" s="137"/>
      <c r="AHJ67" s="137"/>
      <c r="AHK67" s="137"/>
      <c r="AHL67" s="137"/>
      <c r="AHM67" s="137"/>
      <c r="AHN67" s="137"/>
      <c r="AHO67" s="137"/>
      <c r="AHP67" s="137"/>
      <c r="AHQ67" s="137"/>
      <c r="AHR67" s="137"/>
      <c r="AHS67" s="137"/>
      <c r="AHT67" s="137"/>
      <c r="AHU67" s="137"/>
      <c r="AHV67" s="137"/>
      <c r="AHW67" s="137"/>
      <c r="AHX67" s="137"/>
      <c r="AHY67" s="137"/>
      <c r="AHZ67" s="137"/>
      <c r="AIA67" s="137"/>
      <c r="AIB67" s="137"/>
      <c r="AIC67" s="137"/>
      <c r="AID67" s="137"/>
      <c r="AIE67" s="137"/>
      <c r="AIF67" s="137"/>
      <c r="AIG67" s="137"/>
      <c r="AIH67" s="137"/>
      <c r="AII67" s="137"/>
      <c r="AIJ67" s="137"/>
      <c r="AIK67" s="137"/>
      <c r="AIL67" s="137"/>
      <c r="AIM67" s="137"/>
      <c r="AIN67" s="137"/>
      <c r="AIO67" s="137"/>
      <c r="AIP67" s="137"/>
      <c r="AIQ67" s="137"/>
      <c r="AIR67" s="137"/>
      <c r="AIS67" s="137"/>
      <c r="AIT67" s="137"/>
      <c r="AIU67" s="137"/>
      <c r="AIV67" s="137"/>
      <c r="AIW67" s="137"/>
      <c r="AIX67" s="137"/>
      <c r="AIY67" s="137"/>
      <c r="AIZ67" s="137"/>
      <c r="AJA67" s="137"/>
      <c r="AJB67" s="137"/>
      <c r="AJC67" s="137"/>
      <c r="AJD67" s="137"/>
      <c r="AJE67" s="137"/>
      <c r="AJF67" s="137"/>
      <c r="AJG67" s="137"/>
      <c r="AJH67" s="137"/>
      <c r="AJI67" s="137"/>
      <c r="AJJ67" s="137"/>
      <c r="AJK67" s="137"/>
      <c r="AJL67" s="137"/>
      <c r="AJM67" s="137"/>
      <c r="AJN67" s="137"/>
      <c r="AJO67" s="137"/>
      <c r="AJP67" s="137"/>
      <c r="AJQ67" s="137"/>
      <c r="AJR67" s="137"/>
      <c r="AJS67" s="137"/>
      <c r="AJT67" s="137"/>
      <c r="AJU67" s="137"/>
      <c r="AJV67" s="137"/>
      <c r="AJW67" s="137"/>
      <c r="AJX67" s="137"/>
      <c r="AJY67" s="137"/>
      <c r="AJZ67" s="137"/>
      <c r="AKA67" s="137"/>
      <c r="AKB67" s="137"/>
      <c r="AKC67" s="137"/>
      <c r="AKD67" s="137"/>
      <c r="AKE67" s="137"/>
      <c r="AKF67" s="137"/>
      <c r="AKG67" s="137"/>
      <c r="AKH67" s="137"/>
      <c r="AKI67" s="137"/>
      <c r="AKJ67" s="137"/>
      <c r="AKK67" s="137"/>
      <c r="AKL67" s="137"/>
      <c r="AKM67" s="137"/>
      <c r="AKN67" s="137"/>
      <c r="AKO67" s="137"/>
      <c r="AKP67" s="137"/>
      <c r="AKQ67" s="137"/>
      <c r="AKR67" s="137"/>
      <c r="AKS67" s="137"/>
      <c r="AKT67" s="137"/>
      <c r="AKU67" s="137"/>
      <c r="AKV67" s="137"/>
      <c r="AKW67" s="137"/>
      <c r="AKX67" s="137"/>
      <c r="AKY67" s="137"/>
      <c r="AKZ67" s="137"/>
      <c r="ALA67" s="137"/>
      <c r="ALB67" s="137"/>
      <c r="ALC67" s="137"/>
      <c r="ALD67" s="137"/>
      <c r="ALE67" s="137"/>
      <c r="ALF67" s="137"/>
      <c r="ALG67" s="137"/>
      <c r="ALH67" s="137"/>
      <c r="ALI67" s="137"/>
      <c r="ALJ67" s="137"/>
      <c r="ALK67" s="137"/>
      <c r="ALL67" s="137"/>
      <c r="ALM67" s="137"/>
      <c r="ALN67" s="137"/>
      <c r="ALO67" s="137"/>
      <c r="ALP67" s="137"/>
      <c r="ALQ67" s="137"/>
      <c r="ALR67" s="137"/>
      <c r="ALS67" s="137"/>
      <c r="ALT67" s="137"/>
      <c r="ALU67" s="137"/>
      <c r="ALV67" s="137"/>
      <c r="ALW67" s="137"/>
      <c r="ALX67" s="137"/>
      <c r="ALY67" s="137"/>
      <c r="ALZ67" s="137"/>
      <c r="AMA67" s="137"/>
      <c r="AMB67" s="137"/>
      <c r="AMC67" s="137"/>
      <c r="AMD67" s="137"/>
      <c r="AME67" s="137"/>
      <c r="AMF67" s="137"/>
      <c r="AMG67" s="137"/>
      <c r="AMH67" s="137"/>
      <c r="AMI67" s="137"/>
      <c r="AMJ67" s="137"/>
      <c r="AMK67" s="137"/>
      <c r="AML67" s="137"/>
      <c r="AMM67" s="137"/>
      <c r="AMN67" s="137"/>
      <c r="AMO67" s="137"/>
      <c r="AMP67" s="137"/>
      <c r="AMQ67" s="137"/>
      <c r="AMR67" s="137"/>
      <c r="AMS67" s="137"/>
      <c r="AMT67" s="137"/>
      <c r="AMU67" s="137"/>
      <c r="AMV67" s="137"/>
      <c r="AMW67" s="137"/>
      <c r="AMX67" s="137"/>
      <c r="AMY67" s="137"/>
      <c r="AMZ67" s="137"/>
      <c r="ANA67" s="137"/>
      <c r="ANB67" s="137"/>
      <c r="ANC67" s="137"/>
      <c r="AND67" s="137"/>
      <c r="ANE67" s="137"/>
      <c r="ANF67" s="137"/>
      <c r="ANG67" s="137"/>
      <c r="ANH67" s="137"/>
      <c r="ANI67" s="137"/>
      <c r="ANJ67" s="137"/>
      <c r="ANK67" s="137"/>
      <c r="ANL67" s="137"/>
      <c r="ANM67" s="137"/>
      <c r="ANN67" s="137"/>
      <c r="ANO67" s="137"/>
      <c r="ANP67" s="137"/>
      <c r="ANQ67" s="137"/>
      <c r="ANR67" s="137"/>
      <c r="ANS67" s="137"/>
      <c r="ANT67" s="137"/>
      <c r="ANU67" s="137"/>
      <c r="ANV67" s="137"/>
      <c r="ANW67" s="137"/>
      <c r="ANX67" s="137"/>
      <c r="ANY67" s="137"/>
      <c r="ANZ67" s="137"/>
      <c r="AOA67" s="137"/>
      <c r="AOB67" s="137"/>
      <c r="AOC67" s="137"/>
      <c r="AOD67" s="137"/>
      <c r="AOE67" s="137"/>
      <c r="AOF67" s="137"/>
      <c r="AOG67" s="137"/>
      <c r="AOH67" s="137"/>
      <c r="AOI67" s="137"/>
      <c r="AOJ67" s="137"/>
      <c r="AOK67" s="137"/>
      <c r="AOL67" s="137"/>
      <c r="AOM67" s="137"/>
      <c r="AON67" s="137"/>
      <c r="AOO67" s="137"/>
      <c r="AOP67" s="137"/>
      <c r="AOQ67" s="137"/>
      <c r="AOR67" s="137"/>
      <c r="AOS67" s="137"/>
      <c r="AOT67" s="137"/>
      <c r="AOU67" s="137"/>
      <c r="AOV67" s="137"/>
      <c r="AOW67" s="137"/>
      <c r="AOX67" s="137"/>
      <c r="AOY67" s="137"/>
      <c r="AOZ67" s="137"/>
      <c r="APA67" s="137"/>
      <c r="APB67" s="137"/>
      <c r="APC67" s="137"/>
      <c r="APD67" s="137"/>
      <c r="APE67" s="137"/>
      <c r="APF67" s="137"/>
      <c r="APG67" s="137"/>
      <c r="APH67" s="137"/>
      <c r="API67" s="137"/>
      <c r="APJ67" s="137"/>
      <c r="APK67" s="137"/>
      <c r="APL67" s="137"/>
      <c r="APM67" s="137"/>
      <c r="APN67" s="137"/>
      <c r="APO67" s="137"/>
      <c r="APP67" s="137"/>
      <c r="APQ67" s="137"/>
      <c r="APR67" s="137"/>
      <c r="APS67" s="137"/>
      <c r="APT67" s="137"/>
      <c r="APU67" s="137"/>
      <c r="APV67" s="137"/>
      <c r="APW67" s="137"/>
      <c r="APX67" s="137"/>
      <c r="APY67" s="137"/>
      <c r="APZ67" s="137"/>
      <c r="AQA67" s="137"/>
      <c r="AQB67" s="137"/>
      <c r="AQC67" s="137"/>
      <c r="AQD67" s="137"/>
      <c r="AQE67" s="137"/>
      <c r="AQF67" s="137"/>
      <c r="AQG67" s="137"/>
      <c r="AQH67" s="137"/>
      <c r="AQI67" s="137"/>
      <c r="AQJ67" s="137"/>
      <c r="AQK67" s="137"/>
      <c r="AQL67" s="137"/>
      <c r="AQM67" s="137"/>
      <c r="AQN67" s="137"/>
      <c r="AQO67" s="137"/>
      <c r="AQP67" s="137"/>
      <c r="AQQ67" s="137"/>
      <c r="AQR67" s="137"/>
      <c r="AQS67" s="137"/>
      <c r="AQT67" s="137"/>
      <c r="AQU67" s="137"/>
      <c r="AQV67" s="137"/>
      <c r="AQW67" s="137"/>
      <c r="AQX67" s="137"/>
      <c r="AQY67" s="137"/>
      <c r="AQZ67" s="137"/>
      <c r="ARA67" s="137"/>
      <c r="ARB67" s="137"/>
      <c r="ARC67" s="137"/>
      <c r="ARD67" s="137"/>
      <c r="ARE67" s="137"/>
      <c r="ARF67" s="137"/>
      <c r="ARG67" s="137"/>
      <c r="ARH67" s="137"/>
      <c r="ARI67" s="137"/>
      <c r="ARJ67" s="137"/>
      <c r="ARK67" s="137"/>
      <c r="ARL67" s="137"/>
      <c r="ARM67" s="137"/>
      <c r="ARN67" s="137"/>
      <c r="ARO67" s="137"/>
      <c r="ARP67" s="137"/>
      <c r="ARQ67" s="137"/>
      <c r="ARR67" s="137"/>
      <c r="ARS67" s="137"/>
      <c r="ART67" s="137"/>
      <c r="ARU67" s="137"/>
      <c r="ARV67" s="137"/>
      <c r="ARW67" s="137"/>
      <c r="ARX67" s="137"/>
      <c r="ARY67" s="137"/>
      <c r="ARZ67" s="137"/>
      <c r="ASA67" s="137"/>
      <c r="ASB67" s="137"/>
      <c r="ASC67" s="137"/>
      <c r="ASD67" s="137"/>
      <c r="ASE67" s="137"/>
      <c r="ASF67" s="137"/>
      <c r="ASG67" s="137"/>
      <c r="ASH67" s="137"/>
      <c r="ASI67" s="137"/>
      <c r="ASJ67" s="137"/>
      <c r="ASK67" s="137"/>
      <c r="ASL67" s="137"/>
      <c r="ASM67" s="137"/>
      <c r="ASN67" s="137"/>
      <c r="ASO67" s="137"/>
      <c r="ASP67" s="137"/>
      <c r="ASQ67" s="137"/>
      <c r="ASR67" s="137"/>
      <c r="ASS67" s="137"/>
      <c r="AST67" s="137"/>
      <c r="ASU67" s="137"/>
      <c r="ASV67" s="137"/>
      <c r="ASW67" s="137"/>
      <c r="ASX67" s="137"/>
      <c r="ASY67" s="137"/>
      <c r="ASZ67" s="137"/>
      <c r="ATA67" s="137"/>
      <c r="ATB67" s="137"/>
      <c r="ATC67" s="137"/>
      <c r="ATD67" s="137"/>
      <c r="ATE67" s="137"/>
      <c r="ATF67" s="137"/>
      <c r="ATG67" s="137"/>
      <c r="ATH67" s="137"/>
      <c r="ATI67" s="137"/>
      <c r="ATJ67" s="137"/>
      <c r="ATK67" s="137"/>
      <c r="ATL67" s="137"/>
      <c r="ATM67" s="137"/>
      <c r="ATN67" s="137"/>
      <c r="ATO67" s="137"/>
      <c r="ATP67" s="137"/>
      <c r="ATQ67" s="137"/>
      <c r="ATR67" s="137"/>
      <c r="ATS67" s="137"/>
      <c r="ATT67" s="137"/>
      <c r="ATU67" s="137"/>
      <c r="ATV67" s="137"/>
      <c r="ATW67" s="137"/>
      <c r="ATX67" s="137"/>
      <c r="ATY67" s="137"/>
      <c r="ATZ67" s="137"/>
      <c r="AUA67" s="137"/>
      <c r="AUB67" s="137"/>
      <c r="AUC67" s="137"/>
      <c r="AUD67" s="137"/>
      <c r="AUE67" s="137"/>
      <c r="AUF67" s="137"/>
      <c r="AUG67" s="137"/>
      <c r="AUH67" s="137"/>
      <c r="AUI67" s="137"/>
      <c r="AUJ67" s="137"/>
      <c r="AUK67" s="137"/>
      <c r="AUL67" s="137"/>
      <c r="AUM67" s="137"/>
      <c r="AUN67" s="137"/>
      <c r="AUO67" s="137"/>
      <c r="AUP67" s="137"/>
      <c r="AUQ67" s="137"/>
      <c r="AUR67" s="137"/>
      <c r="AUS67" s="137"/>
      <c r="AUT67" s="137"/>
      <c r="AUU67" s="137"/>
      <c r="AUV67" s="137"/>
      <c r="AUW67" s="137"/>
      <c r="AUX67" s="137"/>
      <c r="AUY67" s="137"/>
      <c r="AUZ67" s="137"/>
      <c r="AVA67" s="137"/>
      <c r="AVB67" s="137"/>
      <c r="AVC67" s="137"/>
      <c r="AVD67" s="137"/>
      <c r="AVE67" s="137"/>
      <c r="AVF67" s="137"/>
      <c r="AVG67" s="137"/>
      <c r="AVH67" s="137"/>
      <c r="AVI67" s="137"/>
      <c r="AVJ67" s="137"/>
      <c r="AVK67" s="137"/>
      <c r="AVL67" s="137"/>
      <c r="AVM67" s="137"/>
      <c r="AVN67" s="137"/>
      <c r="AVO67" s="137"/>
      <c r="AVP67" s="137"/>
      <c r="AVQ67" s="137"/>
      <c r="AVR67" s="137"/>
      <c r="AVS67" s="137"/>
      <c r="AVT67" s="137"/>
      <c r="AVU67" s="137"/>
      <c r="AVV67" s="137"/>
      <c r="AVW67" s="137"/>
      <c r="AVX67" s="137"/>
      <c r="AVY67" s="137"/>
      <c r="AVZ67" s="137"/>
      <c r="AWA67" s="137"/>
      <c r="AWB67" s="137"/>
      <c r="AWC67" s="137"/>
      <c r="AWD67" s="137"/>
      <c r="AWE67" s="137"/>
      <c r="AWF67" s="137"/>
      <c r="AWG67" s="137"/>
      <c r="AWH67" s="137"/>
      <c r="AWI67" s="137"/>
      <c r="AWJ67" s="137"/>
      <c r="AWK67" s="137"/>
      <c r="AWL67" s="137"/>
      <c r="AWM67" s="137"/>
      <c r="AWN67" s="137"/>
      <c r="AWO67" s="137"/>
      <c r="AWP67" s="137"/>
      <c r="AWQ67" s="137"/>
      <c r="AWR67" s="137"/>
      <c r="AWS67" s="137"/>
      <c r="AWT67" s="137"/>
      <c r="AWU67" s="137"/>
      <c r="AWV67" s="137"/>
      <c r="AWW67" s="137"/>
      <c r="AWX67" s="137"/>
      <c r="AWY67" s="137"/>
      <c r="AWZ67" s="137"/>
      <c r="AXA67" s="137"/>
      <c r="AXB67" s="137"/>
      <c r="AXC67" s="137"/>
      <c r="AXD67" s="137"/>
      <c r="AXE67" s="137"/>
      <c r="AXF67" s="137"/>
      <c r="AXG67" s="137"/>
      <c r="AXH67" s="137"/>
      <c r="AXI67" s="137"/>
      <c r="AXJ67" s="137"/>
      <c r="AXK67" s="137"/>
      <c r="AXL67" s="137"/>
      <c r="AXM67" s="137"/>
      <c r="AXN67" s="137"/>
      <c r="AXO67" s="137"/>
      <c r="AXP67" s="137"/>
      <c r="AXQ67" s="137"/>
      <c r="AXR67" s="137"/>
      <c r="AXS67" s="137"/>
      <c r="AXT67" s="137"/>
      <c r="AXU67" s="137"/>
      <c r="AXV67" s="137"/>
      <c r="AXW67" s="137"/>
      <c r="AXX67" s="137"/>
      <c r="AXY67" s="137"/>
      <c r="AXZ67" s="137"/>
      <c r="AYA67" s="137"/>
      <c r="AYB67" s="137"/>
      <c r="AYC67" s="137"/>
      <c r="AYD67" s="137"/>
      <c r="AYE67" s="137"/>
      <c r="AYF67" s="137"/>
      <c r="AYG67" s="137"/>
      <c r="AYH67" s="137"/>
      <c r="AYI67" s="137"/>
      <c r="AYJ67" s="137"/>
      <c r="AYK67" s="137"/>
      <c r="AYL67" s="137"/>
      <c r="AYM67" s="137"/>
      <c r="AYN67" s="137"/>
      <c r="AYO67" s="137"/>
      <c r="AYP67" s="137"/>
      <c r="AYQ67" s="137"/>
      <c r="AYR67" s="137"/>
      <c r="AYS67" s="137"/>
      <c r="AYT67" s="137"/>
      <c r="AYU67" s="137"/>
      <c r="AYV67" s="137"/>
      <c r="AYW67" s="137"/>
      <c r="AYX67" s="137"/>
      <c r="AYY67" s="137"/>
      <c r="AYZ67" s="137"/>
      <c r="AZA67" s="137"/>
      <c r="AZB67" s="137"/>
      <c r="AZC67" s="137"/>
      <c r="AZD67" s="137"/>
      <c r="AZE67" s="137"/>
      <c r="AZF67" s="137"/>
      <c r="AZG67" s="137"/>
      <c r="AZH67" s="137"/>
      <c r="AZI67" s="137"/>
      <c r="AZJ67" s="137"/>
      <c r="AZK67" s="137"/>
      <c r="AZL67" s="137"/>
      <c r="AZM67" s="137"/>
      <c r="AZN67" s="137"/>
      <c r="AZO67" s="137"/>
      <c r="AZP67" s="137"/>
      <c r="AZQ67" s="137"/>
      <c r="AZR67" s="137"/>
      <c r="AZS67" s="137"/>
      <c r="AZT67" s="137"/>
      <c r="AZU67" s="137"/>
      <c r="AZV67" s="137"/>
      <c r="AZW67" s="137"/>
      <c r="AZX67" s="137"/>
      <c r="AZY67" s="137"/>
      <c r="AZZ67" s="137"/>
      <c r="BAA67" s="137"/>
      <c r="BAB67" s="137"/>
      <c r="BAC67" s="137"/>
      <c r="BAD67" s="137"/>
      <c r="BAE67" s="137"/>
      <c r="BAF67" s="137"/>
      <c r="BAG67" s="137"/>
      <c r="BAH67" s="137"/>
      <c r="BAI67" s="137"/>
      <c r="BAJ67" s="137"/>
      <c r="BAK67" s="137"/>
      <c r="BAL67" s="137"/>
      <c r="BAM67" s="137"/>
      <c r="BAN67" s="137"/>
      <c r="BAO67" s="137"/>
      <c r="BAP67" s="137"/>
      <c r="BAQ67" s="137"/>
      <c r="BAR67" s="137"/>
      <c r="BAS67" s="137"/>
      <c r="BAT67" s="137"/>
      <c r="BAU67" s="137"/>
      <c r="BAV67" s="137"/>
      <c r="BAW67" s="137"/>
      <c r="BAX67" s="137"/>
      <c r="BAY67" s="137"/>
      <c r="BAZ67" s="137"/>
      <c r="BBA67" s="137"/>
      <c r="BBB67" s="137"/>
      <c r="BBC67" s="137"/>
      <c r="BBD67" s="137"/>
      <c r="BBE67" s="137"/>
      <c r="BBF67" s="137"/>
      <c r="BBG67" s="137"/>
      <c r="BBH67" s="137"/>
      <c r="BBI67" s="137"/>
      <c r="BBJ67" s="137"/>
      <c r="BBK67" s="137"/>
      <c r="BBL67" s="137"/>
      <c r="BBM67" s="137"/>
      <c r="BBN67" s="137"/>
      <c r="BBO67" s="137"/>
      <c r="BBP67" s="137"/>
      <c r="BBQ67" s="137"/>
      <c r="BBR67" s="137"/>
      <c r="BBS67" s="137"/>
      <c r="BBT67" s="137"/>
      <c r="BBU67" s="137"/>
      <c r="BBV67" s="137"/>
      <c r="BBW67" s="137"/>
      <c r="BBX67" s="137"/>
      <c r="BBY67" s="137"/>
      <c r="BBZ67" s="137"/>
      <c r="BCA67" s="137"/>
      <c r="BCB67" s="137"/>
      <c r="BCC67" s="137"/>
      <c r="BCD67" s="137"/>
      <c r="BCE67" s="137"/>
      <c r="BCF67" s="137"/>
      <c r="BCG67" s="137"/>
      <c r="BCH67" s="137"/>
      <c r="BCI67" s="137"/>
      <c r="BCJ67" s="137"/>
      <c r="BCK67" s="137"/>
      <c r="BCL67" s="137"/>
      <c r="BCM67" s="137"/>
      <c r="BCN67" s="137"/>
      <c r="BCO67" s="137"/>
      <c r="BCP67" s="137"/>
      <c r="BCQ67" s="137"/>
      <c r="BCR67" s="137"/>
      <c r="BCS67" s="137"/>
      <c r="BCT67" s="137"/>
      <c r="BCU67" s="137"/>
      <c r="BCV67" s="137"/>
      <c r="BCW67" s="137"/>
      <c r="BCX67" s="137"/>
      <c r="BCY67" s="137"/>
      <c r="BCZ67" s="137"/>
      <c r="BDA67" s="137"/>
      <c r="BDB67" s="137"/>
      <c r="BDC67" s="137"/>
      <c r="BDD67" s="137"/>
      <c r="BDE67" s="137"/>
      <c r="BDF67" s="137"/>
      <c r="BDG67" s="137"/>
      <c r="BDH67" s="137"/>
      <c r="BDI67" s="137"/>
      <c r="BDJ67" s="137"/>
      <c r="BDK67" s="137"/>
      <c r="BDL67" s="137"/>
      <c r="BDM67" s="137"/>
      <c r="BDN67" s="137"/>
      <c r="BDO67" s="137"/>
      <c r="BDP67" s="137"/>
      <c r="BDQ67" s="137"/>
      <c r="BDR67" s="137"/>
      <c r="BDS67" s="137"/>
      <c r="BDT67" s="137"/>
      <c r="BDU67" s="137"/>
      <c r="BDV67" s="137"/>
      <c r="BDW67" s="137"/>
      <c r="BDX67" s="137"/>
      <c r="BDY67" s="137"/>
      <c r="BDZ67" s="137"/>
      <c r="BEA67" s="137"/>
      <c r="BEB67" s="137"/>
      <c r="BEC67" s="137"/>
      <c r="BED67" s="137"/>
      <c r="BEE67" s="137"/>
      <c r="BEF67" s="137"/>
      <c r="BEG67" s="137"/>
      <c r="BEH67" s="137"/>
      <c r="BEI67" s="137"/>
      <c r="BEJ67" s="137"/>
      <c r="BEK67" s="137"/>
      <c r="BEL67" s="137"/>
      <c r="BEM67" s="137"/>
      <c r="BEN67" s="137"/>
      <c r="BEO67" s="137"/>
      <c r="BEP67" s="137"/>
      <c r="BEQ67" s="137"/>
      <c r="BER67" s="137"/>
      <c r="BES67" s="137"/>
      <c r="BET67" s="137"/>
      <c r="BEU67" s="137"/>
      <c r="BEV67" s="137"/>
      <c r="BEW67" s="137"/>
      <c r="BEX67" s="137"/>
      <c r="BEY67" s="137"/>
      <c r="BEZ67" s="137"/>
      <c r="BFA67" s="137"/>
      <c r="BFB67" s="137"/>
      <c r="BFC67" s="137"/>
      <c r="BFD67" s="137"/>
      <c r="BFE67" s="137"/>
      <c r="BFF67" s="137"/>
      <c r="BFG67" s="137"/>
      <c r="BFH67" s="137"/>
      <c r="BFI67" s="137"/>
      <c r="BFJ67" s="137"/>
      <c r="BFK67" s="137"/>
      <c r="BFL67" s="137"/>
      <c r="BFM67" s="137"/>
      <c r="BFN67" s="137"/>
      <c r="BFO67" s="137"/>
      <c r="BFP67" s="137"/>
      <c r="BFQ67" s="137"/>
      <c r="BFR67" s="137"/>
      <c r="BFS67" s="137"/>
      <c r="BFT67" s="137"/>
      <c r="BFU67" s="137"/>
      <c r="BFV67" s="137"/>
      <c r="BFW67" s="137"/>
      <c r="BFX67" s="137"/>
      <c r="BFY67" s="137"/>
      <c r="BFZ67" s="137"/>
      <c r="BGA67" s="137"/>
      <c r="BGB67" s="137"/>
      <c r="BGC67" s="137"/>
      <c r="BGD67" s="137"/>
      <c r="BGE67" s="137"/>
      <c r="BGF67" s="137"/>
      <c r="BGG67" s="137"/>
      <c r="BGH67" s="137"/>
      <c r="BGI67" s="137"/>
      <c r="BGJ67" s="137"/>
      <c r="BGK67" s="137"/>
      <c r="BGL67" s="137"/>
      <c r="BGM67" s="137"/>
      <c r="BGN67" s="137"/>
      <c r="BGO67" s="137"/>
      <c r="BGP67" s="137"/>
      <c r="BGQ67" s="137"/>
      <c r="BGR67" s="137"/>
      <c r="BGS67" s="137"/>
      <c r="BGT67" s="137"/>
      <c r="BGU67" s="137"/>
      <c r="BGV67" s="137"/>
      <c r="BGW67" s="137"/>
      <c r="BGX67" s="137"/>
      <c r="BGY67" s="137"/>
      <c r="BGZ67" s="137"/>
      <c r="BHA67" s="137"/>
      <c r="BHB67" s="137"/>
      <c r="BHC67" s="137"/>
      <c r="BHD67" s="137"/>
      <c r="BHE67" s="137"/>
      <c r="BHF67" s="137"/>
      <c r="BHG67" s="137"/>
      <c r="BHH67" s="137"/>
      <c r="BHI67" s="137"/>
      <c r="BHJ67" s="137"/>
      <c r="BHK67" s="137"/>
      <c r="BHL67" s="137"/>
      <c r="BHM67" s="137"/>
      <c r="BHN67" s="137"/>
      <c r="BHO67" s="137"/>
      <c r="BHP67" s="137"/>
      <c r="BHQ67" s="137"/>
      <c r="BHR67" s="137"/>
      <c r="BHS67" s="137"/>
      <c r="BHT67" s="137"/>
      <c r="BHU67" s="137"/>
      <c r="BHV67" s="137"/>
      <c r="BHW67" s="137"/>
      <c r="BHX67" s="137"/>
      <c r="BHY67" s="137"/>
      <c r="BHZ67" s="137"/>
      <c r="BIA67" s="137"/>
      <c r="BIB67" s="137"/>
      <c r="BIC67" s="137"/>
      <c r="BID67" s="137"/>
      <c r="BIE67" s="137"/>
      <c r="BIF67" s="137"/>
      <c r="BIG67" s="137"/>
      <c r="BIH67" s="137"/>
      <c r="BII67" s="137"/>
      <c r="BIJ67" s="137"/>
      <c r="BIK67" s="137"/>
      <c r="BIL67" s="137"/>
      <c r="BIM67" s="137"/>
      <c r="BIN67" s="137"/>
      <c r="BIO67" s="137"/>
      <c r="BIP67" s="137"/>
      <c r="BIQ67" s="137"/>
      <c r="BIR67" s="137"/>
      <c r="BIS67" s="137"/>
      <c r="BIT67" s="137"/>
      <c r="BIU67" s="137"/>
      <c r="BIV67" s="137"/>
      <c r="BIW67" s="137"/>
      <c r="BIX67" s="137"/>
      <c r="BIY67" s="137"/>
      <c r="BIZ67" s="137"/>
      <c r="BJA67" s="137"/>
      <c r="BJB67" s="137"/>
      <c r="BJC67" s="137"/>
      <c r="BJD67" s="137"/>
      <c r="BJE67" s="137"/>
      <c r="BJF67" s="137"/>
      <c r="BJG67" s="137"/>
      <c r="BJH67" s="137"/>
      <c r="BJI67" s="137"/>
      <c r="BJJ67" s="137"/>
      <c r="BJK67" s="137"/>
      <c r="BJL67" s="137"/>
      <c r="BJM67" s="137"/>
      <c r="BJN67" s="137"/>
      <c r="BJO67" s="137"/>
      <c r="BJP67" s="137"/>
      <c r="BJQ67" s="137"/>
      <c r="BJR67" s="137"/>
      <c r="BJS67" s="137"/>
      <c r="BJT67" s="137"/>
      <c r="BJU67" s="137"/>
      <c r="BJV67" s="137"/>
      <c r="BJW67" s="137"/>
      <c r="BJX67" s="137"/>
      <c r="BJY67" s="137"/>
      <c r="BJZ67" s="137"/>
      <c r="BKA67" s="137"/>
      <c r="BKB67" s="137"/>
      <c r="BKC67" s="137"/>
      <c r="BKD67" s="137"/>
      <c r="BKE67" s="137"/>
      <c r="BKF67" s="137"/>
      <c r="BKG67" s="137"/>
      <c r="BKH67" s="137"/>
      <c r="BKI67" s="137"/>
      <c r="BKJ67" s="137"/>
      <c r="BKK67" s="137"/>
      <c r="BKL67" s="137"/>
      <c r="BKM67" s="137"/>
      <c r="BKN67" s="137"/>
      <c r="BKO67" s="137"/>
      <c r="BKP67" s="137"/>
      <c r="BKQ67" s="137"/>
      <c r="BKR67" s="137"/>
      <c r="BKS67" s="137"/>
      <c r="BKT67" s="137"/>
      <c r="BKU67" s="137"/>
      <c r="BKV67" s="137"/>
      <c r="BKW67" s="137"/>
      <c r="BKX67" s="137"/>
      <c r="BKY67" s="137"/>
      <c r="BKZ67" s="137"/>
      <c r="BLA67" s="137"/>
      <c r="BLB67" s="137"/>
      <c r="BLC67" s="137"/>
      <c r="BLD67" s="137"/>
      <c r="BLE67" s="137"/>
      <c r="BLF67" s="137"/>
      <c r="BLG67" s="137"/>
      <c r="BLH67" s="137"/>
      <c r="BLI67" s="137"/>
      <c r="BLJ67" s="137"/>
      <c r="BLK67" s="137"/>
      <c r="BLL67" s="137"/>
      <c r="BLM67" s="137"/>
      <c r="BLN67" s="137"/>
      <c r="BLO67" s="137"/>
      <c r="BLP67" s="137"/>
      <c r="BLQ67" s="137"/>
      <c r="BLR67" s="137"/>
      <c r="BLS67" s="137"/>
      <c r="BLT67" s="137"/>
      <c r="BLU67" s="137"/>
      <c r="BLV67" s="137"/>
      <c r="BLW67" s="137"/>
      <c r="BLX67" s="137"/>
      <c r="BLY67" s="137"/>
      <c r="BLZ67" s="137"/>
      <c r="BMA67" s="137"/>
      <c r="BMB67" s="137"/>
      <c r="BMC67" s="137"/>
      <c r="BMD67" s="137"/>
      <c r="BME67" s="137"/>
      <c r="BMF67" s="137"/>
      <c r="BMG67" s="137"/>
      <c r="BMH67" s="137"/>
      <c r="BMI67" s="137"/>
      <c r="BMJ67" s="137"/>
      <c r="BMK67" s="137"/>
      <c r="BML67" s="137"/>
      <c r="BMM67" s="137"/>
      <c r="BMN67" s="137"/>
      <c r="BMO67" s="137"/>
      <c r="BMP67" s="137"/>
      <c r="BMQ67" s="137"/>
      <c r="BMR67" s="137"/>
      <c r="BMS67" s="137"/>
      <c r="BMT67" s="137"/>
      <c r="BMU67" s="137"/>
      <c r="BMV67" s="137"/>
      <c r="BMW67" s="137"/>
      <c r="BMX67" s="137"/>
      <c r="BMY67" s="137"/>
      <c r="BMZ67" s="137"/>
      <c r="BNA67" s="137"/>
      <c r="BNB67" s="137"/>
      <c r="BNC67" s="137"/>
      <c r="BND67" s="137"/>
      <c r="BNE67" s="137"/>
      <c r="BNF67" s="137"/>
      <c r="BNG67" s="137"/>
      <c r="BNH67" s="137"/>
      <c r="BNI67" s="137"/>
      <c r="BNJ67" s="137"/>
      <c r="BNK67" s="137"/>
      <c r="BNL67" s="137"/>
      <c r="BNM67" s="137"/>
      <c r="BNN67" s="137"/>
      <c r="BNO67" s="137"/>
      <c r="BNP67" s="137"/>
      <c r="BNQ67" s="137"/>
      <c r="BNR67" s="137"/>
      <c r="BNS67" s="137"/>
      <c r="BNT67" s="137"/>
      <c r="BNU67" s="137"/>
      <c r="BNV67" s="137"/>
      <c r="BNW67" s="137"/>
      <c r="BNX67" s="137"/>
      <c r="BNY67" s="137"/>
      <c r="BNZ67" s="137"/>
      <c r="BOA67" s="137"/>
      <c r="BOB67" s="137"/>
      <c r="BOC67" s="137"/>
      <c r="BOD67" s="137"/>
      <c r="BOE67" s="137"/>
      <c r="BOF67" s="137"/>
      <c r="BOG67" s="137"/>
      <c r="BOH67" s="137"/>
      <c r="BOI67" s="137"/>
      <c r="BOJ67" s="137"/>
      <c r="BOK67" s="137"/>
      <c r="BOL67" s="137"/>
      <c r="BOM67" s="137"/>
      <c r="BON67" s="137"/>
      <c r="BOO67" s="137"/>
      <c r="BOP67" s="137"/>
      <c r="BOQ67" s="137"/>
      <c r="BOR67" s="137"/>
      <c r="BOS67" s="137"/>
      <c r="BOT67" s="137"/>
      <c r="BOU67" s="137"/>
      <c r="BOV67" s="137"/>
      <c r="BOW67" s="137"/>
      <c r="BOX67" s="137"/>
      <c r="BOY67" s="137"/>
      <c r="BOZ67" s="137"/>
      <c r="BPA67" s="137"/>
      <c r="BPB67" s="137"/>
      <c r="BPC67" s="137"/>
      <c r="BPD67" s="137"/>
      <c r="BPE67" s="137"/>
      <c r="BPF67" s="137"/>
      <c r="BPG67" s="137"/>
      <c r="BPH67" s="137"/>
      <c r="BPI67" s="137"/>
      <c r="BPJ67" s="137"/>
      <c r="BPK67" s="137"/>
      <c r="BPL67" s="137"/>
      <c r="BPM67" s="137"/>
      <c r="BPN67" s="137"/>
      <c r="BPO67" s="137"/>
      <c r="BPP67" s="137"/>
      <c r="BPQ67" s="137"/>
      <c r="BPR67" s="137"/>
      <c r="BPS67" s="137"/>
      <c r="BPT67" s="137"/>
      <c r="BPU67" s="137"/>
      <c r="BPV67" s="137"/>
      <c r="BPW67" s="137"/>
      <c r="BPX67" s="137"/>
      <c r="BPY67" s="137"/>
      <c r="BPZ67" s="137"/>
      <c r="BQA67" s="137"/>
      <c r="BQB67" s="137"/>
      <c r="BQC67" s="137"/>
      <c r="BQD67" s="137"/>
      <c r="BQE67" s="137"/>
      <c r="BQF67" s="137"/>
      <c r="BQG67" s="137"/>
      <c r="BQH67" s="137"/>
      <c r="BQI67" s="137"/>
      <c r="BQJ67" s="137"/>
      <c r="BQK67" s="137"/>
      <c r="BQL67" s="137"/>
      <c r="BQM67" s="137"/>
      <c r="BQN67" s="137"/>
      <c r="BQO67" s="137"/>
      <c r="BQP67" s="137"/>
      <c r="BQQ67" s="137"/>
      <c r="BQR67" s="137"/>
      <c r="BQS67" s="137"/>
      <c r="BQT67" s="137"/>
      <c r="BQU67" s="137"/>
      <c r="BQV67" s="137"/>
      <c r="BQW67" s="137"/>
      <c r="BQX67" s="137"/>
      <c r="BQY67" s="137"/>
      <c r="BQZ67" s="137"/>
      <c r="BRA67" s="137"/>
      <c r="BRB67" s="137"/>
      <c r="BRC67" s="137"/>
      <c r="BRD67" s="137"/>
      <c r="BRE67" s="137"/>
      <c r="BRF67" s="137"/>
      <c r="BRG67" s="137"/>
      <c r="BRH67" s="137"/>
      <c r="BRI67" s="137"/>
      <c r="BRJ67" s="137"/>
      <c r="BRK67" s="137"/>
      <c r="BRL67" s="137"/>
      <c r="BRM67" s="137"/>
      <c r="BRN67" s="137"/>
      <c r="BRO67" s="137"/>
      <c r="BRP67" s="137"/>
      <c r="BRQ67" s="137"/>
      <c r="BRR67" s="137"/>
      <c r="BRS67" s="137"/>
      <c r="BRT67" s="137"/>
      <c r="BRU67" s="137"/>
      <c r="BRV67" s="137"/>
      <c r="BRW67" s="137"/>
      <c r="BRX67" s="137"/>
      <c r="BRY67" s="137"/>
      <c r="BRZ67" s="137"/>
      <c r="BSA67" s="137"/>
      <c r="BSB67" s="137"/>
      <c r="BSC67" s="137"/>
      <c r="BSD67" s="137"/>
      <c r="BSE67" s="137"/>
      <c r="BSF67" s="137"/>
      <c r="BSG67" s="137"/>
      <c r="BSH67" s="137"/>
      <c r="BSI67" s="137"/>
      <c r="BSJ67" s="137"/>
      <c r="BSK67" s="137"/>
      <c r="BSL67" s="137"/>
      <c r="BSM67" s="137"/>
      <c r="BSN67" s="137"/>
      <c r="BSO67" s="137"/>
      <c r="BSP67" s="137"/>
      <c r="BSQ67" s="137"/>
      <c r="BSR67" s="137"/>
      <c r="BSS67" s="137"/>
      <c r="BST67" s="137"/>
      <c r="BSU67" s="137"/>
      <c r="BSV67" s="137"/>
      <c r="BSW67" s="137"/>
      <c r="BSX67" s="137"/>
      <c r="BSY67" s="137"/>
      <c r="BSZ67" s="137"/>
      <c r="BTA67" s="137"/>
      <c r="BTB67" s="137"/>
      <c r="BTC67" s="137"/>
      <c r="BTD67" s="137"/>
      <c r="BTE67" s="137"/>
      <c r="BTF67" s="137"/>
      <c r="BTG67" s="137"/>
      <c r="BTH67" s="137"/>
      <c r="BTI67" s="137"/>
      <c r="BTJ67" s="137"/>
      <c r="BTK67" s="137"/>
      <c r="BTL67" s="137"/>
      <c r="BTM67" s="137"/>
      <c r="BTN67" s="137"/>
      <c r="BTO67" s="137"/>
      <c r="BTP67" s="137"/>
      <c r="BTQ67" s="137"/>
      <c r="BTR67" s="137"/>
      <c r="BTS67" s="137"/>
      <c r="BTT67" s="137"/>
      <c r="BTU67" s="137"/>
      <c r="BTV67" s="137"/>
      <c r="BTW67" s="137"/>
      <c r="BTX67" s="137"/>
      <c r="BTY67" s="137"/>
      <c r="BTZ67" s="137"/>
      <c r="BUA67" s="137"/>
      <c r="BUB67" s="137"/>
      <c r="BUC67" s="137"/>
      <c r="BUD67" s="137"/>
      <c r="BUE67" s="137"/>
      <c r="BUF67" s="137"/>
      <c r="BUG67" s="137"/>
      <c r="BUH67" s="137"/>
      <c r="BUI67" s="137"/>
      <c r="BUJ67" s="137"/>
      <c r="BUK67" s="137"/>
      <c r="BUL67" s="137"/>
      <c r="BUM67" s="137"/>
      <c r="BUN67" s="137"/>
      <c r="BUO67" s="137"/>
      <c r="BUP67" s="137"/>
      <c r="BUQ67" s="137"/>
      <c r="BUR67" s="137"/>
      <c r="BUS67" s="137"/>
      <c r="BUT67" s="137"/>
      <c r="BUU67" s="137"/>
      <c r="BUV67" s="137"/>
      <c r="BUW67" s="137"/>
      <c r="BUX67" s="137"/>
      <c r="BUY67" s="137"/>
      <c r="BUZ67" s="137"/>
      <c r="BVA67" s="137"/>
      <c r="BVB67" s="137"/>
      <c r="BVC67" s="137"/>
      <c r="BVD67" s="137"/>
      <c r="BVE67" s="137"/>
      <c r="BVF67" s="137"/>
      <c r="BVG67" s="137"/>
      <c r="BVH67" s="137"/>
      <c r="BVI67" s="137"/>
      <c r="BVJ67" s="137"/>
      <c r="BVK67" s="137"/>
      <c r="BVL67" s="137"/>
      <c r="BVM67" s="137"/>
      <c r="BVN67" s="137"/>
      <c r="BVO67" s="137"/>
      <c r="BVP67" s="137"/>
      <c r="BVQ67" s="137"/>
      <c r="BVR67" s="137"/>
      <c r="BVS67" s="137"/>
      <c r="BVT67" s="137"/>
      <c r="BVU67" s="137"/>
      <c r="BVV67" s="137"/>
      <c r="BVW67" s="137"/>
      <c r="BVX67" s="137"/>
      <c r="BVY67" s="137"/>
      <c r="BVZ67" s="137"/>
      <c r="BWA67" s="137"/>
      <c r="BWB67" s="137"/>
      <c r="BWC67" s="137"/>
      <c r="BWD67" s="137"/>
      <c r="BWE67" s="137"/>
      <c r="BWF67" s="137"/>
      <c r="BWG67" s="137"/>
      <c r="BWH67" s="137"/>
      <c r="BWI67" s="137"/>
      <c r="BWJ67" s="137"/>
      <c r="BWK67" s="137"/>
      <c r="BWL67" s="137"/>
      <c r="BWM67" s="137"/>
      <c r="BWN67" s="137"/>
      <c r="BWO67" s="137"/>
      <c r="BWP67" s="137"/>
      <c r="BWQ67" s="137"/>
      <c r="BWR67" s="137"/>
      <c r="BWS67" s="137"/>
      <c r="BWT67" s="137"/>
      <c r="BWU67" s="137"/>
      <c r="BWV67" s="137"/>
      <c r="BWW67" s="137"/>
      <c r="BWX67" s="137"/>
      <c r="BWY67" s="137"/>
      <c r="BWZ67" s="137"/>
      <c r="BXA67" s="137"/>
      <c r="BXB67" s="137"/>
      <c r="BXC67" s="137"/>
      <c r="BXD67" s="137"/>
      <c r="BXE67" s="137"/>
      <c r="BXF67" s="137"/>
      <c r="BXG67" s="137"/>
      <c r="BXH67" s="137"/>
      <c r="BXI67" s="137"/>
      <c r="BXJ67" s="137"/>
      <c r="BXK67" s="137"/>
      <c r="BXL67" s="137"/>
      <c r="BXM67" s="137"/>
      <c r="BXN67" s="137"/>
      <c r="BXO67" s="137"/>
      <c r="BXP67" s="137"/>
      <c r="BXQ67" s="137"/>
      <c r="BXR67" s="137"/>
      <c r="BXS67" s="137"/>
      <c r="BXT67" s="137"/>
      <c r="BXU67" s="137"/>
      <c r="BXV67" s="137"/>
      <c r="BXW67" s="137"/>
      <c r="BXX67" s="137"/>
      <c r="BXY67" s="137"/>
      <c r="BXZ67" s="137"/>
      <c r="BYA67" s="137"/>
      <c r="BYB67" s="137"/>
      <c r="BYC67" s="137"/>
      <c r="BYD67" s="137"/>
      <c r="BYE67" s="137"/>
      <c r="BYF67" s="137"/>
      <c r="BYG67" s="137"/>
      <c r="BYH67" s="137"/>
      <c r="BYI67" s="137"/>
      <c r="BYJ67" s="137"/>
      <c r="BYK67" s="137"/>
      <c r="BYL67" s="137"/>
      <c r="BYM67" s="137"/>
      <c r="BYN67" s="137"/>
      <c r="BYO67" s="137"/>
      <c r="BYP67" s="137"/>
      <c r="BYQ67" s="137"/>
      <c r="BYR67" s="137"/>
      <c r="BYS67" s="137"/>
      <c r="BYT67" s="137"/>
      <c r="BYU67" s="137"/>
      <c r="BYV67" s="137"/>
      <c r="BYW67" s="137"/>
      <c r="BYX67" s="137"/>
      <c r="BYY67" s="137"/>
      <c r="BYZ67" s="137"/>
      <c r="BZA67" s="137"/>
      <c r="BZB67" s="137"/>
      <c r="BZC67" s="137"/>
      <c r="BZD67" s="137"/>
      <c r="BZE67" s="137"/>
      <c r="BZF67" s="137"/>
      <c r="BZG67" s="137"/>
      <c r="BZH67" s="137"/>
      <c r="BZI67" s="137"/>
      <c r="BZJ67" s="137"/>
      <c r="BZK67" s="137"/>
      <c r="BZL67" s="137"/>
      <c r="BZM67" s="137"/>
      <c r="BZN67" s="137"/>
      <c r="BZO67" s="137"/>
      <c r="BZP67" s="137"/>
      <c r="BZQ67" s="137"/>
      <c r="BZR67" s="137"/>
      <c r="BZS67" s="137"/>
      <c r="BZT67" s="137"/>
      <c r="BZU67" s="137"/>
      <c r="BZV67" s="137"/>
      <c r="BZW67" s="137"/>
      <c r="BZX67" s="137"/>
      <c r="BZY67" s="137"/>
      <c r="BZZ67" s="137"/>
      <c r="CAA67" s="137"/>
      <c r="CAB67" s="137"/>
      <c r="CAC67" s="137"/>
      <c r="CAD67" s="137"/>
      <c r="CAE67" s="137"/>
      <c r="CAF67" s="137"/>
      <c r="CAG67" s="137"/>
      <c r="CAH67" s="137"/>
      <c r="CAI67" s="137"/>
      <c r="CAJ67" s="137"/>
      <c r="CAK67" s="137"/>
      <c r="CAL67" s="137"/>
      <c r="CAM67" s="137"/>
      <c r="CAN67" s="137"/>
      <c r="CAO67" s="137"/>
      <c r="CAP67" s="137"/>
      <c r="CAQ67" s="137"/>
      <c r="CAR67" s="137"/>
      <c r="CAS67" s="137"/>
      <c r="CAT67" s="137"/>
      <c r="CAU67" s="137"/>
      <c r="CAV67" s="137"/>
      <c r="CAW67" s="137"/>
      <c r="CAX67" s="137"/>
      <c r="CAY67" s="137"/>
      <c r="CAZ67" s="137"/>
      <c r="CBA67" s="137"/>
      <c r="CBB67" s="137"/>
      <c r="CBC67" s="137"/>
      <c r="CBD67" s="137"/>
      <c r="CBE67" s="137"/>
      <c r="CBF67" s="137"/>
      <c r="CBG67" s="137"/>
      <c r="CBH67" s="137"/>
      <c r="CBI67" s="137"/>
      <c r="CBJ67" s="137"/>
      <c r="CBK67" s="137"/>
      <c r="CBL67" s="137"/>
      <c r="CBM67" s="137"/>
      <c r="CBN67" s="137"/>
      <c r="CBO67" s="137"/>
      <c r="CBP67" s="137"/>
      <c r="CBQ67" s="137"/>
      <c r="CBR67" s="137"/>
      <c r="CBS67" s="137"/>
      <c r="CBT67" s="137"/>
      <c r="CBU67" s="137"/>
      <c r="CBV67" s="137"/>
      <c r="CBW67" s="137"/>
      <c r="CBX67" s="137"/>
      <c r="CBY67" s="137"/>
      <c r="CBZ67" s="137"/>
      <c r="CCA67" s="137"/>
      <c r="CCB67" s="137"/>
      <c r="CCC67" s="137"/>
      <c r="CCD67" s="137"/>
      <c r="CCE67" s="137"/>
      <c r="CCF67" s="137"/>
      <c r="CCG67" s="137"/>
      <c r="CCH67" s="137"/>
      <c r="CCI67" s="137"/>
      <c r="CCJ67" s="137"/>
      <c r="CCK67" s="137"/>
      <c r="CCL67" s="137"/>
      <c r="CCM67" s="137"/>
      <c r="CCN67" s="137"/>
      <c r="CCO67" s="137"/>
      <c r="CCP67" s="137"/>
      <c r="CCQ67" s="137"/>
      <c r="CCR67" s="137"/>
      <c r="CCS67" s="137"/>
      <c r="CCT67" s="137"/>
      <c r="CCU67" s="137"/>
      <c r="CCV67" s="137"/>
      <c r="CCW67" s="137"/>
      <c r="CCX67" s="137"/>
      <c r="CCY67" s="137"/>
      <c r="CCZ67" s="137"/>
      <c r="CDA67" s="137"/>
      <c r="CDB67" s="137"/>
      <c r="CDC67" s="137"/>
      <c r="CDD67" s="137"/>
      <c r="CDE67" s="137"/>
      <c r="CDF67" s="137"/>
      <c r="CDG67" s="137"/>
      <c r="CDH67" s="137"/>
      <c r="CDI67" s="137"/>
      <c r="CDJ67" s="137"/>
      <c r="CDK67" s="137"/>
      <c r="CDL67" s="137"/>
      <c r="CDM67" s="137"/>
      <c r="CDN67" s="137"/>
      <c r="CDO67" s="137"/>
      <c r="CDP67" s="137"/>
      <c r="CDQ67" s="137"/>
      <c r="CDR67" s="137"/>
      <c r="CDS67" s="137"/>
      <c r="CDT67" s="137"/>
      <c r="CDU67" s="137"/>
      <c r="CDV67" s="137"/>
      <c r="CDW67" s="137"/>
      <c r="CDX67" s="137"/>
      <c r="CDY67" s="137"/>
      <c r="CDZ67" s="137"/>
      <c r="CEA67" s="137"/>
      <c r="CEB67" s="137"/>
      <c r="CEC67" s="137"/>
      <c r="CED67" s="137"/>
      <c r="CEE67" s="137"/>
      <c r="CEF67" s="137"/>
      <c r="CEG67" s="137"/>
      <c r="CEH67" s="137"/>
      <c r="CEI67" s="137"/>
      <c r="CEJ67" s="137"/>
      <c r="CEK67" s="137"/>
      <c r="CEL67" s="137"/>
      <c r="CEM67" s="137"/>
      <c r="CEN67" s="137"/>
      <c r="CEO67" s="137"/>
      <c r="CEP67" s="137"/>
      <c r="CEQ67" s="137"/>
      <c r="CER67" s="137"/>
      <c r="CES67" s="137"/>
      <c r="CET67" s="137"/>
      <c r="CEU67" s="137"/>
      <c r="CEV67" s="137"/>
      <c r="CEW67" s="137"/>
      <c r="CEX67" s="137"/>
      <c r="CEY67" s="137"/>
      <c r="CEZ67" s="137"/>
      <c r="CFA67" s="137"/>
      <c r="CFB67" s="137"/>
      <c r="CFC67" s="137"/>
      <c r="CFD67" s="137"/>
      <c r="CFE67" s="137"/>
      <c r="CFF67" s="137"/>
      <c r="CFG67" s="137"/>
      <c r="CFH67" s="137"/>
      <c r="CFI67" s="137"/>
      <c r="CFJ67" s="137"/>
      <c r="CFK67" s="137"/>
      <c r="CFL67" s="137"/>
      <c r="CFM67" s="137"/>
      <c r="CFN67" s="137"/>
      <c r="CFO67" s="137"/>
      <c r="CFP67" s="137"/>
      <c r="CFQ67" s="137"/>
      <c r="CFR67" s="137"/>
      <c r="CFS67" s="137"/>
      <c r="CFT67" s="137"/>
      <c r="CFU67" s="137"/>
      <c r="CFV67" s="137"/>
      <c r="CFW67" s="137"/>
      <c r="CFX67" s="137"/>
      <c r="CFY67" s="137"/>
      <c r="CFZ67" s="137"/>
      <c r="CGA67" s="137"/>
      <c r="CGB67" s="137"/>
      <c r="CGC67" s="137"/>
      <c r="CGD67" s="137"/>
      <c r="CGE67" s="137"/>
      <c r="CGF67" s="137"/>
      <c r="CGG67" s="137"/>
      <c r="CGH67" s="137"/>
      <c r="CGI67" s="137"/>
      <c r="CGJ67" s="137"/>
      <c r="CGK67" s="137"/>
      <c r="CGL67" s="137"/>
      <c r="CGM67" s="137"/>
      <c r="CGN67" s="137"/>
      <c r="CGO67" s="137"/>
      <c r="CGP67" s="137"/>
      <c r="CGQ67" s="137"/>
      <c r="CGR67" s="137"/>
      <c r="CGS67" s="137"/>
      <c r="CGT67" s="137"/>
      <c r="CGU67" s="137"/>
      <c r="CGV67" s="137"/>
      <c r="CGW67" s="137"/>
      <c r="CGX67" s="137"/>
      <c r="CGY67" s="137"/>
      <c r="CGZ67" s="137"/>
      <c r="CHA67" s="137"/>
      <c r="CHB67" s="137"/>
      <c r="CHC67" s="137"/>
      <c r="CHD67" s="137"/>
      <c r="CHE67" s="137"/>
      <c r="CHF67" s="137"/>
      <c r="CHG67" s="137"/>
      <c r="CHH67" s="137"/>
      <c r="CHI67" s="137"/>
      <c r="CHJ67" s="137"/>
      <c r="CHK67" s="137"/>
      <c r="CHL67" s="137"/>
      <c r="CHM67" s="137"/>
      <c r="CHN67" s="137"/>
      <c r="CHO67" s="137"/>
      <c r="CHP67" s="137"/>
      <c r="CHQ67" s="137"/>
      <c r="CHR67" s="137"/>
      <c r="CHS67" s="137"/>
      <c r="CHT67" s="137"/>
      <c r="CHU67" s="137"/>
      <c r="CHV67" s="137"/>
      <c r="CHW67" s="137"/>
      <c r="CHX67" s="137"/>
      <c r="CHY67" s="137"/>
      <c r="CHZ67" s="137"/>
      <c r="CIA67" s="137"/>
      <c r="CIB67" s="137"/>
      <c r="CIC67" s="137"/>
      <c r="CID67" s="137"/>
      <c r="CIE67" s="137"/>
      <c r="CIF67" s="137"/>
      <c r="CIG67" s="137"/>
      <c r="CIH67" s="137"/>
      <c r="CII67" s="137"/>
      <c r="CIJ67" s="137"/>
      <c r="CIK67" s="137"/>
      <c r="CIL67" s="137"/>
      <c r="CIM67" s="137"/>
      <c r="CIN67" s="137"/>
      <c r="CIO67" s="137"/>
      <c r="CIP67" s="137"/>
      <c r="CIQ67" s="137"/>
      <c r="CIR67" s="137"/>
      <c r="CIS67" s="137"/>
      <c r="CIT67" s="137"/>
      <c r="CIU67" s="137"/>
      <c r="CIV67" s="137"/>
      <c r="CIW67" s="137"/>
      <c r="CIX67" s="137"/>
      <c r="CIY67" s="137"/>
      <c r="CIZ67" s="137"/>
      <c r="CJA67" s="137"/>
      <c r="CJB67" s="137"/>
      <c r="CJC67" s="137"/>
      <c r="CJD67" s="137"/>
      <c r="CJE67" s="137"/>
      <c r="CJF67" s="137"/>
      <c r="CJG67" s="137"/>
      <c r="CJH67" s="137"/>
      <c r="CJI67" s="137"/>
      <c r="CJJ67" s="137"/>
      <c r="CJK67" s="137"/>
      <c r="CJL67" s="137"/>
      <c r="CJM67" s="137"/>
      <c r="CJN67" s="137"/>
      <c r="CJO67" s="137"/>
      <c r="CJP67" s="137"/>
      <c r="CJQ67" s="137"/>
      <c r="CJR67" s="137"/>
      <c r="CJS67" s="137"/>
      <c r="CJT67" s="137"/>
      <c r="CJU67" s="137"/>
      <c r="CJV67" s="137"/>
      <c r="CJW67" s="137"/>
      <c r="CJX67" s="137"/>
      <c r="CJY67" s="137"/>
      <c r="CJZ67" s="137"/>
      <c r="CKA67" s="137"/>
      <c r="CKB67" s="137"/>
      <c r="CKC67" s="137"/>
      <c r="CKD67" s="137"/>
      <c r="CKE67" s="137"/>
      <c r="CKF67" s="137"/>
      <c r="CKG67" s="137"/>
      <c r="CKH67" s="137"/>
      <c r="CKI67" s="137"/>
      <c r="CKJ67" s="137"/>
      <c r="CKK67" s="137"/>
      <c r="CKL67" s="137"/>
      <c r="CKM67" s="137"/>
      <c r="CKN67" s="137"/>
      <c r="CKO67" s="137"/>
      <c r="CKP67" s="137"/>
      <c r="CKQ67" s="137"/>
      <c r="CKR67" s="137"/>
      <c r="CKS67" s="137"/>
      <c r="CKT67" s="137"/>
      <c r="CKU67" s="137"/>
      <c r="CKV67" s="137"/>
      <c r="CKW67" s="137"/>
      <c r="CKX67" s="137"/>
      <c r="CKY67" s="137"/>
      <c r="CKZ67" s="137"/>
      <c r="CLA67" s="137"/>
      <c r="CLB67" s="137"/>
      <c r="CLC67" s="137"/>
      <c r="CLD67" s="137"/>
      <c r="CLE67" s="137"/>
      <c r="CLF67" s="137"/>
      <c r="CLG67" s="137"/>
      <c r="CLH67" s="137"/>
      <c r="CLI67" s="137"/>
      <c r="CLJ67" s="137"/>
      <c r="CLK67" s="137"/>
      <c r="CLL67" s="137"/>
      <c r="CLM67" s="137"/>
      <c r="CLN67" s="137"/>
      <c r="CLO67" s="137"/>
      <c r="CLP67" s="137"/>
      <c r="CLQ67" s="137"/>
      <c r="CLR67" s="137"/>
      <c r="CLS67" s="137"/>
      <c r="CLT67" s="137"/>
      <c r="CLU67" s="137"/>
      <c r="CLV67" s="137"/>
      <c r="CLW67" s="137"/>
      <c r="CLX67" s="137"/>
      <c r="CLY67" s="137"/>
      <c r="CLZ67" s="137"/>
      <c r="CMA67" s="137"/>
      <c r="CMB67" s="137"/>
      <c r="CMC67" s="137"/>
      <c r="CMD67" s="137"/>
      <c r="CME67" s="137"/>
      <c r="CMF67" s="137"/>
      <c r="CMG67" s="137"/>
      <c r="CMH67" s="137"/>
      <c r="CMI67" s="137"/>
      <c r="CMJ67" s="137"/>
      <c r="CMK67" s="137"/>
      <c r="CML67" s="137"/>
      <c r="CMM67" s="137"/>
      <c r="CMN67" s="137"/>
      <c r="CMO67" s="137"/>
      <c r="CMP67" s="137"/>
      <c r="CMQ67" s="137"/>
      <c r="CMR67" s="137"/>
      <c r="CMS67" s="137"/>
      <c r="CMT67" s="137"/>
      <c r="CMU67" s="137"/>
      <c r="CMV67" s="137"/>
      <c r="CMW67" s="137"/>
      <c r="CMX67" s="137"/>
      <c r="CMY67" s="137"/>
      <c r="CMZ67" s="137"/>
      <c r="CNA67" s="137"/>
      <c r="CNB67" s="137"/>
      <c r="CNC67" s="137"/>
      <c r="CND67" s="137"/>
      <c r="CNE67" s="137"/>
      <c r="CNF67" s="137"/>
      <c r="CNG67" s="137"/>
      <c r="CNH67" s="137"/>
      <c r="CNI67" s="137"/>
      <c r="CNJ67" s="137"/>
      <c r="CNK67" s="137"/>
      <c r="CNL67" s="137"/>
      <c r="CNM67" s="137"/>
      <c r="CNN67" s="137"/>
      <c r="CNO67" s="137"/>
      <c r="CNP67" s="137"/>
      <c r="CNQ67" s="137"/>
      <c r="CNR67" s="137"/>
      <c r="CNS67" s="137"/>
      <c r="CNT67" s="137"/>
      <c r="CNU67" s="137"/>
      <c r="CNV67" s="137"/>
      <c r="CNW67" s="137"/>
      <c r="CNX67" s="137"/>
      <c r="CNY67" s="137"/>
      <c r="CNZ67" s="137"/>
      <c r="COA67" s="137"/>
      <c r="COB67" s="137"/>
      <c r="COC67" s="137"/>
      <c r="COD67" s="137"/>
      <c r="COE67" s="137"/>
      <c r="COF67" s="137"/>
      <c r="COG67" s="137"/>
      <c r="COH67" s="137"/>
      <c r="COI67" s="137"/>
      <c r="COJ67" s="137"/>
      <c r="COK67" s="137"/>
      <c r="COL67" s="137"/>
      <c r="COM67" s="137"/>
      <c r="CON67" s="137"/>
      <c r="COO67" s="137"/>
      <c r="COP67" s="137"/>
      <c r="COQ67" s="137"/>
      <c r="COR67" s="137"/>
      <c r="COS67" s="137"/>
      <c r="COT67" s="137"/>
      <c r="COU67" s="137"/>
      <c r="COV67" s="137"/>
      <c r="COW67" s="137"/>
      <c r="COX67" s="137"/>
      <c r="COY67" s="137"/>
      <c r="COZ67" s="137"/>
      <c r="CPA67" s="137"/>
      <c r="CPB67" s="137"/>
      <c r="CPC67" s="137"/>
      <c r="CPD67" s="137"/>
      <c r="CPE67" s="137"/>
      <c r="CPF67" s="137"/>
      <c r="CPG67" s="137"/>
      <c r="CPH67" s="137"/>
      <c r="CPI67" s="137"/>
      <c r="CPJ67" s="137"/>
      <c r="CPK67" s="137"/>
      <c r="CPL67" s="137"/>
      <c r="CPM67" s="137"/>
      <c r="CPN67" s="137"/>
      <c r="CPO67" s="137"/>
      <c r="CPP67" s="137"/>
      <c r="CPQ67" s="137"/>
      <c r="CPR67" s="137"/>
      <c r="CPS67" s="137"/>
      <c r="CPT67" s="137"/>
      <c r="CPU67" s="137"/>
      <c r="CPV67" s="137"/>
      <c r="CPW67" s="137"/>
      <c r="CPX67" s="137"/>
      <c r="CPY67" s="137"/>
      <c r="CPZ67" s="137"/>
      <c r="CQA67" s="137"/>
      <c r="CQB67" s="137"/>
      <c r="CQC67" s="137"/>
      <c r="CQD67" s="137"/>
      <c r="CQE67" s="137"/>
      <c r="CQF67" s="137"/>
      <c r="CQG67" s="137"/>
      <c r="CQH67" s="137"/>
      <c r="CQI67" s="137"/>
      <c r="CQJ67" s="137"/>
      <c r="CQK67" s="137"/>
      <c r="CQL67" s="137"/>
      <c r="CQM67" s="137"/>
      <c r="CQN67" s="137"/>
      <c r="CQO67" s="137"/>
      <c r="CQP67" s="137"/>
      <c r="CQQ67" s="137"/>
      <c r="CQR67" s="137"/>
      <c r="CQS67" s="137"/>
      <c r="CQT67" s="137"/>
      <c r="CQU67" s="137"/>
      <c r="CQV67" s="137"/>
      <c r="CQW67" s="137"/>
      <c r="CQX67" s="137"/>
      <c r="CQY67" s="137"/>
      <c r="CQZ67" s="137"/>
      <c r="CRA67" s="137"/>
      <c r="CRB67" s="137"/>
      <c r="CRC67" s="137"/>
      <c r="CRD67" s="137"/>
      <c r="CRE67" s="137"/>
      <c r="CRF67" s="137"/>
      <c r="CRG67" s="137"/>
      <c r="CRH67" s="137"/>
      <c r="CRI67" s="137"/>
      <c r="CRJ67" s="137"/>
      <c r="CRK67" s="137"/>
      <c r="CRL67" s="137"/>
      <c r="CRM67" s="137"/>
      <c r="CRN67" s="137"/>
      <c r="CRO67" s="137"/>
      <c r="CRP67" s="137"/>
      <c r="CRQ67" s="137"/>
      <c r="CRR67" s="137"/>
      <c r="CRS67" s="137"/>
      <c r="CRT67" s="137"/>
      <c r="CRU67" s="137"/>
      <c r="CRV67" s="137"/>
      <c r="CRW67" s="137"/>
      <c r="CRX67" s="137"/>
      <c r="CRY67" s="137"/>
      <c r="CRZ67" s="137"/>
      <c r="CSA67" s="137"/>
      <c r="CSB67" s="137"/>
      <c r="CSC67" s="137"/>
      <c r="CSD67" s="137"/>
      <c r="CSE67" s="137"/>
      <c r="CSF67" s="137"/>
      <c r="CSG67" s="137"/>
      <c r="CSH67" s="137"/>
      <c r="CSI67" s="137"/>
      <c r="CSJ67" s="137"/>
      <c r="CSK67" s="137"/>
      <c r="CSL67" s="137"/>
      <c r="CSM67" s="137"/>
      <c r="CSN67" s="137"/>
      <c r="CSO67" s="137"/>
      <c r="CSP67" s="137"/>
      <c r="CSQ67" s="137"/>
      <c r="CSR67" s="137"/>
      <c r="CSS67" s="137"/>
      <c r="CST67" s="137"/>
      <c r="CSU67" s="137"/>
      <c r="CSV67" s="137"/>
      <c r="CSW67" s="137"/>
      <c r="CSX67" s="137"/>
      <c r="CSY67" s="137"/>
      <c r="CSZ67" s="137"/>
      <c r="CTA67" s="137"/>
      <c r="CTB67" s="137"/>
      <c r="CTC67" s="137"/>
      <c r="CTD67" s="137"/>
      <c r="CTE67" s="137"/>
      <c r="CTF67" s="137"/>
      <c r="CTG67" s="137"/>
      <c r="CTH67" s="137"/>
      <c r="CTI67" s="137"/>
      <c r="CTJ67" s="137"/>
      <c r="CTK67" s="137"/>
      <c r="CTL67" s="137"/>
      <c r="CTM67" s="137"/>
      <c r="CTN67" s="137"/>
      <c r="CTO67" s="137"/>
      <c r="CTP67" s="137"/>
      <c r="CTQ67" s="137"/>
      <c r="CTR67" s="137"/>
      <c r="CTS67" s="137"/>
      <c r="CTT67" s="137"/>
      <c r="CTU67" s="137"/>
      <c r="CTV67" s="137"/>
      <c r="CTW67" s="137"/>
      <c r="CTX67" s="137"/>
      <c r="CTY67" s="137"/>
      <c r="CTZ67" s="137"/>
      <c r="CUA67" s="137"/>
      <c r="CUB67" s="137"/>
      <c r="CUC67" s="137"/>
      <c r="CUD67" s="137"/>
      <c r="CUE67" s="137"/>
      <c r="CUF67" s="137"/>
      <c r="CUG67" s="137"/>
      <c r="CUH67" s="137"/>
      <c r="CUI67" s="137"/>
      <c r="CUJ67" s="137"/>
      <c r="CUK67" s="137"/>
      <c r="CUL67" s="137"/>
      <c r="CUM67" s="137"/>
      <c r="CUN67" s="137"/>
      <c r="CUO67" s="137"/>
      <c r="CUP67" s="137"/>
      <c r="CUQ67" s="137"/>
      <c r="CUR67" s="137"/>
      <c r="CUS67" s="137"/>
      <c r="CUT67" s="137"/>
      <c r="CUU67" s="137"/>
      <c r="CUV67" s="137"/>
      <c r="CUW67" s="137"/>
      <c r="CUX67" s="137"/>
      <c r="CUY67" s="137"/>
      <c r="CUZ67" s="137"/>
      <c r="CVA67" s="137"/>
      <c r="CVB67" s="137"/>
      <c r="CVC67" s="137"/>
      <c r="CVD67" s="137"/>
      <c r="CVE67" s="137"/>
      <c r="CVF67" s="137"/>
      <c r="CVG67" s="137"/>
      <c r="CVH67" s="137"/>
      <c r="CVI67" s="137"/>
      <c r="CVJ67" s="137"/>
      <c r="CVK67" s="137"/>
      <c r="CVL67" s="137"/>
      <c r="CVM67" s="137"/>
      <c r="CVN67" s="137"/>
      <c r="CVO67" s="137"/>
      <c r="CVP67" s="137"/>
      <c r="CVQ67" s="137"/>
      <c r="CVR67" s="137"/>
      <c r="CVS67" s="137"/>
      <c r="CVT67" s="137"/>
      <c r="CVU67" s="137"/>
      <c r="CVV67" s="137"/>
      <c r="CVW67" s="137"/>
      <c r="CVX67" s="137"/>
      <c r="CVY67" s="137"/>
      <c r="CVZ67" s="137"/>
      <c r="CWA67" s="137"/>
      <c r="CWB67" s="137"/>
      <c r="CWC67" s="137"/>
      <c r="CWD67" s="137"/>
      <c r="CWE67" s="137"/>
      <c r="CWF67" s="137"/>
      <c r="CWG67" s="137"/>
      <c r="CWH67" s="137"/>
      <c r="CWI67" s="137"/>
      <c r="CWJ67" s="137"/>
      <c r="CWK67" s="137"/>
      <c r="CWL67" s="137"/>
      <c r="CWM67" s="137"/>
      <c r="CWN67" s="137"/>
      <c r="CWO67" s="137"/>
      <c r="CWP67" s="137"/>
      <c r="CWQ67" s="137"/>
      <c r="CWR67" s="137"/>
      <c r="CWS67" s="137"/>
      <c r="CWT67" s="137"/>
      <c r="CWU67" s="137"/>
      <c r="CWV67" s="137"/>
      <c r="CWW67" s="137"/>
      <c r="CWX67" s="137"/>
      <c r="CWY67" s="137"/>
      <c r="CWZ67" s="137"/>
      <c r="CXA67" s="137"/>
      <c r="CXB67" s="137"/>
      <c r="CXC67" s="137"/>
      <c r="CXD67" s="137"/>
      <c r="CXE67" s="137"/>
      <c r="CXF67" s="137"/>
      <c r="CXG67" s="137"/>
      <c r="CXH67" s="137"/>
      <c r="CXI67" s="137"/>
      <c r="CXJ67" s="137"/>
      <c r="CXK67" s="137"/>
      <c r="CXL67" s="137"/>
      <c r="CXM67" s="137"/>
      <c r="CXN67" s="137"/>
      <c r="CXO67" s="137"/>
      <c r="CXP67" s="137"/>
      <c r="CXQ67" s="137"/>
      <c r="CXR67" s="137"/>
      <c r="CXS67" s="137"/>
      <c r="CXT67" s="137"/>
      <c r="CXU67" s="137"/>
      <c r="CXV67" s="137"/>
      <c r="CXW67" s="137"/>
      <c r="CXX67" s="137"/>
      <c r="CXY67" s="137"/>
      <c r="CXZ67" s="137"/>
      <c r="CYA67" s="137"/>
      <c r="CYB67" s="137"/>
      <c r="CYC67" s="137"/>
      <c r="CYD67" s="137"/>
      <c r="CYE67" s="137"/>
      <c r="CYF67" s="137"/>
      <c r="CYG67" s="137"/>
      <c r="CYH67" s="137"/>
      <c r="CYI67" s="137"/>
      <c r="CYJ67" s="137"/>
      <c r="CYK67" s="137"/>
      <c r="CYL67" s="137"/>
      <c r="CYM67" s="137"/>
      <c r="CYN67" s="137"/>
      <c r="CYO67" s="137"/>
      <c r="CYP67" s="137"/>
      <c r="CYQ67" s="137"/>
      <c r="CYR67" s="137"/>
      <c r="CYS67" s="137"/>
      <c r="CYT67" s="137"/>
      <c r="CYU67" s="137"/>
      <c r="CYV67" s="137"/>
      <c r="CYW67" s="137"/>
      <c r="CYX67" s="137"/>
      <c r="CYY67" s="137"/>
      <c r="CYZ67" s="137"/>
      <c r="CZA67" s="137"/>
      <c r="CZB67" s="137"/>
      <c r="CZC67" s="137"/>
      <c r="CZD67" s="137"/>
      <c r="CZE67" s="137"/>
      <c r="CZF67" s="137"/>
      <c r="CZG67" s="137"/>
      <c r="CZH67" s="137"/>
      <c r="CZI67" s="137"/>
      <c r="CZJ67" s="137"/>
      <c r="CZK67" s="137"/>
      <c r="CZL67" s="137"/>
      <c r="CZM67" s="137"/>
      <c r="CZN67" s="137"/>
      <c r="CZO67" s="137"/>
      <c r="CZP67" s="137"/>
      <c r="CZQ67" s="137"/>
      <c r="CZR67" s="137"/>
      <c r="CZS67" s="137"/>
      <c r="CZT67" s="137"/>
      <c r="CZU67" s="137"/>
      <c r="CZV67" s="137"/>
      <c r="CZW67" s="137"/>
      <c r="CZX67" s="137"/>
      <c r="CZY67" s="137"/>
      <c r="CZZ67" s="137"/>
      <c r="DAA67" s="137"/>
      <c r="DAB67" s="137"/>
      <c r="DAC67" s="137"/>
      <c r="DAD67" s="137"/>
      <c r="DAE67" s="137"/>
      <c r="DAF67" s="137"/>
      <c r="DAG67" s="137"/>
      <c r="DAH67" s="137"/>
      <c r="DAI67" s="137"/>
      <c r="DAJ67" s="137"/>
      <c r="DAK67" s="137"/>
      <c r="DAL67" s="137"/>
      <c r="DAM67" s="137"/>
      <c r="DAN67" s="137"/>
      <c r="DAO67" s="137"/>
      <c r="DAP67" s="137"/>
      <c r="DAQ67" s="137"/>
      <c r="DAR67" s="137"/>
      <c r="DAS67" s="137"/>
      <c r="DAT67" s="137"/>
      <c r="DAU67" s="137"/>
      <c r="DAV67" s="137"/>
      <c r="DAW67" s="137"/>
      <c r="DAX67" s="137"/>
      <c r="DAY67" s="137"/>
      <c r="DAZ67" s="137"/>
      <c r="DBA67" s="137"/>
      <c r="DBB67" s="137"/>
      <c r="DBC67" s="137"/>
      <c r="DBD67" s="137"/>
      <c r="DBE67" s="137"/>
      <c r="DBF67" s="137"/>
      <c r="DBG67" s="137"/>
      <c r="DBH67" s="137"/>
      <c r="DBI67" s="137"/>
      <c r="DBJ67" s="137"/>
      <c r="DBK67" s="137"/>
      <c r="DBL67" s="137"/>
      <c r="DBM67" s="137"/>
      <c r="DBN67" s="137"/>
      <c r="DBO67" s="137"/>
      <c r="DBP67" s="137"/>
      <c r="DBQ67" s="137"/>
      <c r="DBR67" s="137"/>
      <c r="DBS67" s="137"/>
      <c r="DBT67" s="137"/>
      <c r="DBU67" s="137"/>
      <c r="DBV67" s="137"/>
      <c r="DBW67" s="137"/>
      <c r="DBX67" s="137"/>
      <c r="DBY67" s="137"/>
      <c r="DBZ67" s="137"/>
      <c r="DCA67" s="137"/>
      <c r="DCB67" s="137"/>
      <c r="DCC67" s="137"/>
      <c r="DCD67" s="137"/>
      <c r="DCE67" s="137"/>
      <c r="DCF67" s="137"/>
      <c r="DCG67" s="137"/>
      <c r="DCH67" s="137"/>
      <c r="DCI67" s="137"/>
      <c r="DCJ67" s="137"/>
      <c r="DCK67" s="137"/>
      <c r="DCL67" s="137"/>
      <c r="DCM67" s="137"/>
      <c r="DCN67" s="137"/>
      <c r="DCO67" s="137"/>
      <c r="DCP67" s="137"/>
      <c r="DCQ67" s="137"/>
      <c r="DCR67" s="137"/>
      <c r="DCS67" s="137"/>
      <c r="DCT67" s="137"/>
      <c r="DCU67" s="137"/>
      <c r="DCV67" s="137"/>
      <c r="DCW67" s="137"/>
      <c r="DCX67" s="137"/>
      <c r="DCY67" s="137"/>
      <c r="DCZ67" s="137"/>
      <c r="DDA67" s="137"/>
      <c r="DDB67" s="137"/>
      <c r="DDC67" s="137"/>
      <c r="DDD67" s="137"/>
      <c r="DDE67" s="137"/>
      <c r="DDF67" s="137"/>
      <c r="DDG67" s="137"/>
      <c r="DDH67" s="137"/>
      <c r="DDI67" s="137"/>
      <c r="DDJ67" s="137"/>
      <c r="DDK67" s="137"/>
      <c r="DDL67" s="137"/>
      <c r="DDM67" s="137"/>
      <c r="DDN67" s="137"/>
      <c r="DDO67" s="137"/>
      <c r="DDP67" s="137"/>
      <c r="DDQ67" s="137"/>
      <c r="DDR67" s="137"/>
      <c r="DDS67" s="137"/>
      <c r="DDT67" s="137"/>
      <c r="DDU67" s="137"/>
      <c r="DDV67" s="137"/>
      <c r="DDW67" s="137"/>
      <c r="DDX67" s="137"/>
      <c r="DDY67" s="137"/>
      <c r="DDZ67" s="137"/>
      <c r="DEA67" s="137"/>
      <c r="DEB67" s="137"/>
      <c r="DEC67" s="137"/>
      <c r="DED67" s="137"/>
      <c r="DEE67" s="137"/>
      <c r="DEF67" s="137"/>
      <c r="DEG67" s="137"/>
      <c r="DEH67" s="137"/>
      <c r="DEI67" s="137"/>
      <c r="DEJ67" s="137"/>
      <c r="DEK67" s="137"/>
      <c r="DEL67" s="137"/>
      <c r="DEM67" s="137"/>
      <c r="DEN67" s="137"/>
      <c r="DEO67" s="137"/>
      <c r="DEP67" s="137"/>
      <c r="DEQ67" s="137"/>
      <c r="DER67" s="137"/>
      <c r="DES67" s="137"/>
      <c r="DET67" s="137"/>
      <c r="DEU67" s="137"/>
      <c r="DEV67" s="137"/>
      <c r="DEW67" s="137"/>
      <c r="DEX67" s="137"/>
      <c r="DEY67" s="137"/>
      <c r="DEZ67" s="137"/>
      <c r="DFA67" s="137"/>
      <c r="DFB67" s="137"/>
      <c r="DFC67" s="137"/>
      <c r="DFD67" s="137"/>
      <c r="DFE67" s="137"/>
      <c r="DFF67" s="137"/>
      <c r="DFG67" s="137"/>
      <c r="DFH67" s="137"/>
      <c r="DFI67" s="137"/>
      <c r="DFJ67" s="137"/>
      <c r="DFK67" s="137"/>
      <c r="DFL67" s="137"/>
      <c r="DFM67" s="137"/>
      <c r="DFN67" s="137"/>
      <c r="DFO67" s="137"/>
      <c r="DFP67" s="137"/>
      <c r="DFQ67" s="137"/>
      <c r="DFR67" s="137"/>
      <c r="DFS67" s="137"/>
      <c r="DFT67" s="137"/>
      <c r="DFU67" s="137"/>
      <c r="DFV67" s="137"/>
      <c r="DFW67" s="137"/>
      <c r="DFX67" s="137"/>
      <c r="DFY67" s="137"/>
      <c r="DFZ67" s="137"/>
      <c r="DGA67" s="137"/>
      <c r="DGB67" s="137"/>
      <c r="DGC67" s="137"/>
      <c r="DGD67" s="137"/>
      <c r="DGE67" s="137"/>
      <c r="DGF67" s="137"/>
      <c r="DGG67" s="137"/>
      <c r="DGH67" s="137"/>
      <c r="DGI67" s="137"/>
      <c r="DGJ67" s="137"/>
      <c r="DGK67" s="137"/>
      <c r="DGL67" s="137"/>
      <c r="DGM67" s="137"/>
      <c r="DGN67" s="137"/>
      <c r="DGO67" s="137"/>
      <c r="DGP67" s="137"/>
      <c r="DGQ67" s="137"/>
      <c r="DGR67" s="137"/>
      <c r="DGS67" s="137"/>
      <c r="DGT67" s="137"/>
      <c r="DGU67" s="137"/>
      <c r="DGV67" s="137"/>
      <c r="DGW67" s="137"/>
      <c r="DGX67" s="137"/>
      <c r="DGY67" s="137"/>
      <c r="DGZ67" s="137"/>
      <c r="DHA67" s="137"/>
      <c r="DHB67" s="137"/>
      <c r="DHC67" s="137"/>
      <c r="DHD67" s="137"/>
      <c r="DHE67" s="137"/>
      <c r="DHF67" s="137"/>
      <c r="DHG67" s="137"/>
      <c r="DHH67" s="137"/>
      <c r="DHI67" s="137"/>
      <c r="DHJ67" s="137"/>
      <c r="DHK67" s="137"/>
      <c r="DHL67" s="137"/>
      <c r="DHM67" s="137"/>
      <c r="DHN67" s="137"/>
      <c r="DHO67" s="137"/>
      <c r="DHP67" s="137"/>
      <c r="DHQ67" s="137"/>
      <c r="DHR67" s="137"/>
      <c r="DHS67" s="137"/>
      <c r="DHT67" s="137"/>
      <c r="DHU67" s="137"/>
      <c r="DHV67" s="137"/>
      <c r="DHW67" s="137"/>
      <c r="DHX67" s="137"/>
      <c r="DHY67" s="137"/>
      <c r="DHZ67" s="137"/>
      <c r="DIA67" s="137"/>
      <c r="DIB67" s="137"/>
      <c r="DIC67" s="137"/>
      <c r="DID67" s="137"/>
      <c r="DIE67" s="137"/>
      <c r="DIF67" s="137"/>
      <c r="DIG67" s="137"/>
      <c r="DIH67" s="137"/>
      <c r="DII67" s="137"/>
      <c r="DIJ67" s="137"/>
      <c r="DIK67" s="137"/>
      <c r="DIL67" s="137"/>
      <c r="DIM67" s="137"/>
      <c r="DIN67" s="137"/>
      <c r="DIO67" s="137"/>
      <c r="DIP67" s="137"/>
      <c r="DIQ67" s="137"/>
      <c r="DIR67" s="137"/>
      <c r="DIS67" s="137"/>
      <c r="DIT67" s="137"/>
      <c r="DIU67" s="137"/>
      <c r="DIV67" s="137"/>
      <c r="DIW67" s="137"/>
      <c r="DIX67" s="137"/>
      <c r="DIY67" s="137"/>
      <c r="DIZ67" s="137"/>
      <c r="DJA67" s="137"/>
      <c r="DJB67" s="137"/>
      <c r="DJC67" s="137"/>
      <c r="DJD67" s="137"/>
      <c r="DJE67" s="137"/>
      <c r="DJF67" s="137"/>
      <c r="DJG67" s="137"/>
      <c r="DJH67" s="137"/>
      <c r="DJI67" s="137"/>
      <c r="DJJ67" s="137"/>
      <c r="DJK67" s="137"/>
      <c r="DJL67" s="137"/>
      <c r="DJM67" s="137"/>
      <c r="DJN67" s="137"/>
      <c r="DJO67" s="137"/>
      <c r="DJP67" s="137"/>
      <c r="DJQ67" s="137"/>
      <c r="DJR67" s="137"/>
      <c r="DJS67" s="137"/>
      <c r="DJT67" s="137"/>
      <c r="DJU67" s="137"/>
      <c r="DJV67" s="137"/>
      <c r="DJW67" s="137"/>
      <c r="DJX67" s="137"/>
      <c r="DJY67" s="137"/>
      <c r="DJZ67" s="137"/>
      <c r="DKA67" s="137"/>
      <c r="DKB67" s="137"/>
      <c r="DKC67" s="137"/>
      <c r="DKD67" s="137"/>
      <c r="DKE67" s="137"/>
      <c r="DKF67" s="137"/>
      <c r="DKG67" s="137"/>
      <c r="DKH67" s="137"/>
      <c r="DKI67" s="137"/>
      <c r="DKJ67" s="137"/>
      <c r="DKK67" s="137"/>
      <c r="DKL67" s="137"/>
      <c r="DKM67" s="137"/>
      <c r="DKN67" s="137"/>
      <c r="DKO67" s="137"/>
      <c r="DKP67" s="137"/>
      <c r="DKQ67" s="137"/>
      <c r="DKR67" s="137"/>
      <c r="DKS67" s="137"/>
      <c r="DKT67" s="137"/>
      <c r="DKU67" s="137"/>
      <c r="DKV67" s="137"/>
      <c r="DKW67" s="137"/>
      <c r="DKX67" s="137"/>
      <c r="DKY67" s="137"/>
      <c r="DKZ67" s="137"/>
      <c r="DLA67" s="137"/>
      <c r="DLB67" s="137"/>
      <c r="DLC67" s="137"/>
      <c r="DLD67" s="137"/>
      <c r="DLE67" s="137"/>
      <c r="DLF67" s="137"/>
      <c r="DLG67" s="137"/>
      <c r="DLH67" s="137"/>
      <c r="DLI67" s="137"/>
      <c r="DLJ67" s="137"/>
      <c r="DLK67" s="137"/>
      <c r="DLL67" s="137"/>
      <c r="DLM67" s="137"/>
      <c r="DLN67" s="137"/>
      <c r="DLO67" s="137"/>
      <c r="DLP67" s="137"/>
      <c r="DLQ67" s="137"/>
      <c r="DLR67" s="137"/>
      <c r="DLS67" s="137"/>
      <c r="DLT67" s="137"/>
      <c r="DLU67" s="137"/>
      <c r="DLV67" s="137"/>
      <c r="DLW67" s="137"/>
      <c r="DLX67" s="137"/>
      <c r="DLY67" s="137"/>
      <c r="DLZ67" s="137"/>
      <c r="DMA67" s="137"/>
      <c r="DMB67" s="137"/>
      <c r="DMC67" s="137"/>
      <c r="DMD67" s="137"/>
      <c r="DME67" s="137"/>
      <c r="DMF67" s="137"/>
      <c r="DMG67" s="137"/>
      <c r="DMH67" s="137"/>
      <c r="DMI67" s="137"/>
      <c r="DMJ67" s="137"/>
      <c r="DMK67" s="137"/>
      <c r="DML67" s="137"/>
      <c r="DMM67" s="137"/>
      <c r="DMN67" s="137"/>
      <c r="DMO67" s="137"/>
      <c r="DMP67" s="137"/>
      <c r="DMQ67" s="137"/>
      <c r="DMR67" s="137"/>
      <c r="DMS67" s="137"/>
      <c r="DMT67" s="137"/>
      <c r="DMU67" s="137"/>
      <c r="DMV67" s="137"/>
      <c r="DMW67" s="137"/>
      <c r="DMX67" s="137"/>
      <c r="DMY67" s="137"/>
      <c r="DMZ67" s="137"/>
      <c r="DNA67" s="137"/>
      <c r="DNB67" s="137"/>
      <c r="DNC67" s="137"/>
      <c r="DND67" s="137"/>
      <c r="DNE67" s="137"/>
      <c r="DNF67" s="137"/>
      <c r="DNG67" s="137"/>
      <c r="DNH67" s="137"/>
      <c r="DNI67" s="137"/>
      <c r="DNJ67" s="137"/>
      <c r="DNK67" s="137"/>
      <c r="DNL67" s="137"/>
      <c r="DNM67" s="137"/>
      <c r="DNN67" s="137"/>
      <c r="DNO67" s="137"/>
      <c r="DNP67" s="137"/>
      <c r="DNQ67" s="137"/>
      <c r="DNR67" s="137"/>
      <c r="DNS67" s="137"/>
      <c r="DNT67" s="137"/>
      <c r="DNU67" s="137"/>
      <c r="DNV67" s="137"/>
      <c r="DNW67" s="137"/>
      <c r="DNX67" s="137"/>
      <c r="DNY67" s="137"/>
      <c r="DNZ67" s="137"/>
      <c r="DOA67" s="137"/>
      <c r="DOB67" s="137"/>
      <c r="DOC67" s="137"/>
      <c r="DOD67" s="137"/>
      <c r="DOE67" s="137"/>
      <c r="DOF67" s="137"/>
      <c r="DOG67" s="137"/>
      <c r="DOH67" s="137"/>
      <c r="DOI67" s="137"/>
      <c r="DOJ67" s="137"/>
      <c r="DOK67" s="137"/>
      <c r="DOL67" s="137"/>
      <c r="DOM67" s="137"/>
      <c r="DON67" s="137"/>
      <c r="DOO67" s="137"/>
      <c r="DOP67" s="137"/>
      <c r="DOQ67" s="137"/>
      <c r="DOR67" s="137"/>
      <c r="DOS67" s="137"/>
      <c r="DOT67" s="137"/>
      <c r="DOU67" s="137"/>
      <c r="DOV67" s="137"/>
      <c r="DOW67" s="137"/>
      <c r="DOX67" s="137"/>
      <c r="DOY67" s="137"/>
      <c r="DOZ67" s="137"/>
      <c r="DPA67" s="137"/>
      <c r="DPB67" s="137"/>
      <c r="DPC67" s="137"/>
      <c r="DPD67" s="137"/>
      <c r="DPE67" s="137"/>
      <c r="DPF67" s="137"/>
      <c r="DPG67" s="137"/>
      <c r="DPH67" s="137"/>
      <c r="DPI67" s="137"/>
      <c r="DPJ67" s="137"/>
      <c r="DPK67" s="137"/>
      <c r="DPL67" s="137"/>
      <c r="DPM67" s="137"/>
      <c r="DPN67" s="137"/>
      <c r="DPO67" s="137"/>
      <c r="DPP67" s="137"/>
      <c r="DPQ67" s="137"/>
      <c r="DPR67" s="137"/>
      <c r="DPS67" s="137"/>
      <c r="DPT67" s="137"/>
      <c r="DPU67" s="137"/>
      <c r="DPV67" s="137"/>
      <c r="DPW67" s="137"/>
      <c r="DPX67" s="137"/>
      <c r="DPY67" s="137"/>
      <c r="DPZ67" s="137"/>
      <c r="DQA67" s="137"/>
      <c r="DQB67" s="137"/>
      <c r="DQC67" s="137"/>
      <c r="DQD67" s="137"/>
      <c r="DQE67" s="137"/>
      <c r="DQF67" s="137"/>
      <c r="DQG67" s="137"/>
      <c r="DQH67" s="137"/>
      <c r="DQI67" s="137"/>
      <c r="DQJ67" s="137"/>
      <c r="DQK67" s="137"/>
      <c r="DQL67" s="137"/>
      <c r="DQM67" s="137"/>
      <c r="DQN67" s="137"/>
      <c r="DQO67" s="137"/>
      <c r="DQP67" s="137"/>
      <c r="DQQ67" s="137"/>
      <c r="DQR67" s="137"/>
      <c r="DQS67" s="137"/>
      <c r="DQT67" s="137"/>
      <c r="DQU67" s="137"/>
      <c r="DQV67" s="137"/>
      <c r="DQW67" s="137"/>
      <c r="DQX67" s="137"/>
      <c r="DQY67" s="137"/>
      <c r="DQZ67" s="137"/>
      <c r="DRA67" s="137"/>
      <c r="DRB67" s="137"/>
      <c r="DRC67" s="137"/>
      <c r="DRD67" s="137"/>
      <c r="DRE67" s="137"/>
      <c r="DRF67" s="137"/>
      <c r="DRG67" s="137"/>
      <c r="DRH67" s="137"/>
      <c r="DRI67" s="137"/>
      <c r="DRJ67" s="137"/>
      <c r="DRK67" s="137"/>
      <c r="DRL67" s="137"/>
      <c r="DRM67" s="137"/>
      <c r="DRN67" s="137"/>
      <c r="DRO67" s="137"/>
      <c r="DRP67" s="137"/>
      <c r="DRQ67" s="137"/>
      <c r="DRR67" s="137"/>
      <c r="DRS67" s="137"/>
      <c r="DRT67" s="137"/>
      <c r="DRU67" s="137"/>
      <c r="DRV67" s="137"/>
      <c r="DRW67" s="137"/>
      <c r="DRX67" s="137"/>
      <c r="DRY67" s="137"/>
      <c r="DRZ67" s="137"/>
      <c r="DSA67" s="137"/>
      <c r="DSB67" s="137"/>
      <c r="DSC67" s="137"/>
      <c r="DSD67" s="137"/>
      <c r="DSE67" s="137"/>
      <c r="DSF67" s="137"/>
      <c r="DSG67" s="137"/>
      <c r="DSH67" s="137"/>
      <c r="DSI67" s="137"/>
      <c r="DSJ67" s="137"/>
      <c r="DSK67" s="137"/>
      <c r="DSL67" s="137"/>
      <c r="DSM67" s="137"/>
      <c r="DSN67" s="137"/>
      <c r="DSO67" s="137"/>
      <c r="DSP67" s="137"/>
      <c r="DSQ67" s="137"/>
      <c r="DSR67" s="137"/>
      <c r="DSS67" s="137"/>
      <c r="DST67" s="137"/>
      <c r="DSU67" s="137"/>
      <c r="DSV67" s="137"/>
      <c r="DSW67" s="137"/>
      <c r="DSX67" s="137"/>
      <c r="DSY67" s="137"/>
      <c r="DSZ67" s="137"/>
      <c r="DTA67" s="137"/>
      <c r="DTB67" s="137"/>
      <c r="DTC67" s="137"/>
      <c r="DTD67" s="137"/>
      <c r="DTE67" s="137"/>
      <c r="DTF67" s="137"/>
      <c r="DTG67" s="137"/>
      <c r="DTH67" s="137"/>
      <c r="DTI67" s="137"/>
      <c r="DTJ67" s="137"/>
      <c r="DTK67" s="137"/>
      <c r="DTL67" s="137"/>
      <c r="DTM67" s="137"/>
      <c r="DTN67" s="137"/>
      <c r="DTO67" s="137"/>
      <c r="DTP67" s="137"/>
      <c r="DTQ67" s="137"/>
      <c r="DTR67" s="137"/>
      <c r="DTS67" s="137"/>
      <c r="DTT67" s="137"/>
      <c r="DTU67" s="137"/>
      <c r="DTV67" s="137"/>
      <c r="DTW67" s="137"/>
      <c r="DTX67" s="137"/>
      <c r="DTY67" s="137"/>
      <c r="DTZ67" s="137"/>
      <c r="DUA67" s="137"/>
      <c r="DUB67" s="137"/>
      <c r="DUC67" s="137"/>
      <c r="DUD67" s="137"/>
      <c r="DUE67" s="137"/>
      <c r="DUF67" s="137"/>
      <c r="DUG67" s="137"/>
      <c r="DUH67" s="137"/>
      <c r="DUI67" s="137"/>
      <c r="DUJ67" s="137"/>
      <c r="DUK67" s="137"/>
      <c r="DUL67" s="137"/>
      <c r="DUM67" s="137"/>
      <c r="DUN67" s="137"/>
      <c r="DUO67" s="137"/>
      <c r="DUP67" s="137"/>
      <c r="DUQ67" s="137"/>
      <c r="DUR67" s="137"/>
      <c r="DUS67" s="137"/>
      <c r="DUT67" s="137"/>
      <c r="DUU67" s="137"/>
      <c r="DUV67" s="137"/>
      <c r="DUW67" s="137"/>
      <c r="DUX67" s="137"/>
      <c r="DUY67" s="137"/>
      <c r="DUZ67" s="137"/>
      <c r="DVA67" s="137"/>
      <c r="DVB67" s="137"/>
      <c r="DVC67" s="137"/>
      <c r="DVD67" s="137"/>
      <c r="DVE67" s="137"/>
      <c r="DVF67" s="137"/>
      <c r="DVG67" s="137"/>
      <c r="DVH67" s="137"/>
      <c r="DVI67" s="137"/>
      <c r="DVJ67" s="137"/>
      <c r="DVK67" s="137"/>
      <c r="DVL67" s="137"/>
      <c r="DVM67" s="137"/>
      <c r="DVN67" s="137"/>
      <c r="DVO67" s="137"/>
      <c r="DVP67" s="137"/>
      <c r="DVQ67" s="137"/>
      <c r="DVR67" s="137"/>
      <c r="DVS67" s="137"/>
      <c r="DVT67" s="137"/>
      <c r="DVU67" s="137"/>
      <c r="DVV67" s="137"/>
      <c r="DVW67" s="137"/>
      <c r="DVX67" s="137"/>
      <c r="DVY67" s="137"/>
      <c r="DVZ67" s="137"/>
      <c r="DWA67" s="137"/>
      <c r="DWB67" s="137"/>
      <c r="DWC67" s="137"/>
      <c r="DWD67" s="137"/>
      <c r="DWE67" s="137"/>
      <c r="DWF67" s="137"/>
      <c r="DWG67" s="137"/>
      <c r="DWH67" s="137"/>
      <c r="DWI67" s="137"/>
      <c r="DWJ67" s="137"/>
      <c r="DWK67" s="137"/>
      <c r="DWL67" s="137"/>
      <c r="DWM67" s="137"/>
      <c r="DWN67" s="137"/>
      <c r="DWO67" s="137"/>
      <c r="DWP67" s="137"/>
      <c r="DWQ67" s="137"/>
      <c r="DWR67" s="137"/>
      <c r="DWS67" s="137"/>
      <c r="DWT67" s="137"/>
      <c r="DWU67" s="137"/>
      <c r="DWV67" s="137"/>
      <c r="DWW67" s="137"/>
      <c r="DWX67" s="137"/>
      <c r="DWY67" s="137"/>
      <c r="DWZ67" s="137"/>
      <c r="DXA67" s="137"/>
      <c r="DXB67" s="137"/>
      <c r="DXC67" s="137"/>
      <c r="DXD67" s="137"/>
      <c r="DXE67" s="137"/>
      <c r="DXF67" s="137"/>
      <c r="DXG67" s="137"/>
      <c r="DXH67" s="137"/>
      <c r="DXI67" s="137"/>
      <c r="DXJ67" s="137"/>
      <c r="DXK67" s="137"/>
      <c r="DXL67" s="137"/>
      <c r="DXM67" s="137"/>
      <c r="DXN67" s="137"/>
      <c r="DXO67" s="137"/>
      <c r="DXP67" s="137"/>
      <c r="DXQ67" s="137"/>
      <c r="DXR67" s="137"/>
      <c r="DXS67" s="137"/>
      <c r="DXT67" s="137"/>
      <c r="DXU67" s="137"/>
      <c r="DXV67" s="137"/>
      <c r="DXW67" s="137"/>
      <c r="DXX67" s="137"/>
      <c r="DXY67" s="137"/>
      <c r="DXZ67" s="137"/>
      <c r="DYA67" s="137"/>
      <c r="DYB67" s="137"/>
      <c r="DYC67" s="137"/>
      <c r="DYD67" s="137"/>
      <c r="DYE67" s="137"/>
      <c r="DYF67" s="137"/>
      <c r="DYG67" s="137"/>
      <c r="DYH67" s="137"/>
      <c r="DYI67" s="137"/>
      <c r="DYJ67" s="137"/>
      <c r="DYK67" s="137"/>
      <c r="DYL67" s="137"/>
      <c r="DYM67" s="137"/>
      <c r="DYN67" s="137"/>
      <c r="DYO67" s="137"/>
      <c r="DYP67" s="137"/>
      <c r="DYQ67" s="137"/>
      <c r="DYR67" s="137"/>
      <c r="DYS67" s="137"/>
      <c r="DYT67" s="137"/>
      <c r="DYU67" s="137"/>
      <c r="DYV67" s="137"/>
      <c r="DYW67" s="137"/>
      <c r="DYX67" s="137"/>
      <c r="DYY67" s="137"/>
      <c r="DYZ67" s="137"/>
      <c r="DZA67" s="137"/>
      <c r="DZB67" s="137"/>
      <c r="DZC67" s="137"/>
      <c r="DZD67" s="137"/>
      <c r="DZE67" s="137"/>
      <c r="DZF67" s="137"/>
      <c r="DZG67" s="137"/>
      <c r="DZH67" s="137"/>
      <c r="DZI67" s="137"/>
      <c r="DZJ67" s="137"/>
      <c r="DZK67" s="137"/>
      <c r="DZL67" s="137"/>
      <c r="DZM67" s="137"/>
      <c r="DZN67" s="137"/>
      <c r="DZO67" s="137"/>
      <c r="DZP67" s="137"/>
      <c r="DZQ67" s="137"/>
      <c r="DZR67" s="137"/>
      <c r="DZS67" s="137"/>
      <c r="DZT67" s="137"/>
      <c r="DZU67" s="137"/>
      <c r="DZV67" s="137"/>
      <c r="DZW67" s="137"/>
      <c r="DZX67" s="137"/>
      <c r="DZY67" s="137"/>
      <c r="DZZ67" s="137"/>
      <c r="EAA67" s="137"/>
      <c r="EAB67" s="137"/>
      <c r="EAC67" s="137"/>
      <c r="EAD67" s="137"/>
      <c r="EAE67" s="137"/>
      <c r="EAF67" s="137"/>
      <c r="EAG67" s="137"/>
      <c r="EAH67" s="137"/>
      <c r="EAI67" s="137"/>
      <c r="EAJ67" s="137"/>
      <c r="EAK67" s="137"/>
      <c r="EAL67" s="137"/>
      <c r="EAM67" s="137"/>
      <c r="EAN67" s="137"/>
      <c r="EAO67" s="137"/>
      <c r="EAP67" s="137"/>
      <c r="EAQ67" s="137"/>
      <c r="EAR67" s="137"/>
      <c r="EAS67" s="137"/>
      <c r="EAT67" s="137"/>
      <c r="EAU67" s="137"/>
      <c r="EAV67" s="137"/>
      <c r="EAW67" s="137"/>
      <c r="EAX67" s="137"/>
      <c r="EAY67" s="137"/>
      <c r="EAZ67" s="137"/>
      <c r="EBA67" s="137"/>
      <c r="EBB67" s="137"/>
      <c r="EBC67" s="137"/>
      <c r="EBD67" s="137"/>
      <c r="EBE67" s="137"/>
      <c r="EBF67" s="137"/>
      <c r="EBG67" s="137"/>
      <c r="EBH67" s="137"/>
      <c r="EBI67" s="137"/>
      <c r="EBJ67" s="137"/>
      <c r="EBK67" s="137"/>
      <c r="EBL67" s="137"/>
      <c r="EBM67" s="137"/>
      <c r="EBN67" s="137"/>
      <c r="EBO67" s="137"/>
      <c r="EBP67" s="137"/>
      <c r="EBQ67" s="137"/>
      <c r="EBR67" s="137"/>
      <c r="EBS67" s="137"/>
      <c r="EBT67" s="137"/>
      <c r="EBU67" s="137"/>
      <c r="EBV67" s="137"/>
      <c r="EBW67" s="137"/>
      <c r="EBX67" s="137"/>
      <c r="EBY67" s="137"/>
      <c r="EBZ67" s="137"/>
      <c r="ECA67" s="137"/>
      <c r="ECB67" s="137"/>
      <c r="ECC67" s="137"/>
      <c r="ECD67" s="137"/>
      <c r="ECE67" s="137"/>
      <c r="ECF67" s="137"/>
      <c r="ECG67" s="137"/>
      <c r="ECH67" s="137"/>
      <c r="ECI67" s="137"/>
      <c r="ECJ67" s="137"/>
      <c r="ECK67" s="137"/>
      <c r="ECL67" s="137"/>
      <c r="ECM67" s="137"/>
      <c r="ECN67" s="137"/>
      <c r="ECO67" s="137"/>
      <c r="ECP67" s="137"/>
      <c r="ECQ67" s="137"/>
      <c r="ECR67" s="137"/>
      <c r="ECS67" s="137"/>
      <c r="ECT67" s="137"/>
      <c r="ECU67" s="137"/>
      <c r="ECV67" s="137"/>
      <c r="ECW67" s="137"/>
      <c r="ECX67" s="137"/>
      <c r="ECY67" s="137"/>
      <c r="ECZ67" s="137"/>
      <c r="EDA67" s="137"/>
      <c r="EDB67" s="137"/>
      <c r="EDC67" s="137"/>
      <c r="EDD67" s="137"/>
      <c r="EDE67" s="137"/>
      <c r="EDF67" s="137"/>
      <c r="EDG67" s="137"/>
      <c r="EDH67" s="137"/>
      <c r="EDI67" s="137"/>
      <c r="EDJ67" s="137"/>
      <c r="EDK67" s="137"/>
      <c r="EDL67" s="137"/>
      <c r="EDM67" s="137"/>
      <c r="EDN67" s="137"/>
      <c r="EDO67" s="137"/>
      <c r="EDP67" s="137"/>
      <c r="EDQ67" s="137"/>
      <c r="EDR67" s="137"/>
      <c r="EDS67" s="137"/>
      <c r="EDT67" s="137"/>
      <c r="EDU67" s="137"/>
      <c r="EDV67" s="137"/>
      <c r="EDW67" s="137"/>
      <c r="EDX67" s="137"/>
      <c r="EDY67" s="137"/>
      <c r="EDZ67" s="137"/>
      <c r="EEA67" s="137"/>
      <c r="EEB67" s="137"/>
      <c r="EEC67" s="137"/>
      <c r="EED67" s="137"/>
      <c r="EEE67" s="137"/>
      <c r="EEF67" s="137"/>
      <c r="EEG67" s="137"/>
      <c r="EEH67" s="137"/>
      <c r="EEI67" s="137"/>
      <c r="EEJ67" s="137"/>
      <c r="EEK67" s="137"/>
      <c r="EEL67" s="137"/>
      <c r="EEM67" s="137"/>
      <c r="EEN67" s="137"/>
      <c r="EEO67" s="137"/>
      <c r="EEP67" s="137"/>
      <c r="EEQ67" s="137"/>
      <c r="EER67" s="137"/>
      <c r="EES67" s="137"/>
      <c r="EET67" s="137"/>
      <c r="EEU67" s="137"/>
      <c r="EEV67" s="137"/>
      <c r="EEW67" s="137"/>
      <c r="EEX67" s="137"/>
      <c r="EEY67" s="137"/>
      <c r="EEZ67" s="137"/>
      <c r="EFA67" s="137"/>
      <c r="EFB67" s="137"/>
      <c r="EFC67" s="137"/>
      <c r="EFD67" s="137"/>
      <c r="EFE67" s="137"/>
      <c r="EFF67" s="137"/>
      <c r="EFG67" s="137"/>
      <c r="EFH67" s="137"/>
      <c r="EFI67" s="137"/>
      <c r="EFJ67" s="137"/>
      <c r="EFK67" s="137"/>
      <c r="EFL67" s="137"/>
      <c r="EFM67" s="137"/>
      <c r="EFN67" s="137"/>
      <c r="EFO67" s="137"/>
      <c r="EFP67" s="137"/>
      <c r="EFQ67" s="137"/>
      <c r="EFR67" s="137"/>
      <c r="EFS67" s="137"/>
      <c r="EFT67" s="137"/>
      <c r="EFU67" s="137"/>
      <c r="EFV67" s="137"/>
      <c r="EFW67" s="137"/>
      <c r="EFX67" s="137"/>
      <c r="EFY67" s="137"/>
      <c r="EFZ67" s="137"/>
      <c r="EGA67" s="137"/>
      <c r="EGB67" s="137"/>
      <c r="EGC67" s="137"/>
      <c r="EGD67" s="137"/>
      <c r="EGE67" s="137"/>
      <c r="EGF67" s="137"/>
      <c r="EGG67" s="137"/>
      <c r="EGH67" s="137"/>
      <c r="EGI67" s="137"/>
      <c r="EGJ67" s="137"/>
      <c r="EGK67" s="137"/>
      <c r="EGL67" s="137"/>
      <c r="EGM67" s="137"/>
      <c r="EGN67" s="137"/>
      <c r="EGO67" s="137"/>
      <c r="EGP67" s="137"/>
      <c r="EGQ67" s="137"/>
      <c r="EGR67" s="137"/>
      <c r="EGS67" s="137"/>
      <c r="EGT67" s="137"/>
      <c r="EGU67" s="137"/>
      <c r="EGV67" s="137"/>
      <c r="EGW67" s="137"/>
      <c r="EGX67" s="137"/>
      <c r="EGY67" s="137"/>
      <c r="EGZ67" s="137"/>
      <c r="EHA67" s="137"/>
      <c r="EHB67" s="137"/>
      <c r="EHC67" s="137"/>
      <c r="EHD67" s="137"/>
      <c r="EHE67" s="137"/>
      <c r="EHF67" s="137"/>
      <c r="EHG67" s="137"/>
      <c r="EHH67" s="137"/>
      <c r="EHI67" s="137"/>
      <c r="EHJ67" s="137"/>
      <c r="EHK67" s="137"/>
      <c r="EHL67" s="137"/>
      <c r="EHM67" s="137"/>
      <c r="EHN67" s="137"/>
      <c r="EHO67" s="137"/>
      <c r="EHP67" s="137"/>
      <c r="EHQ67" s="137"/>
      <c r="EHR67" s="137"/>
      <c r="EHS67" s="137"/>
      <c r="EHT67" s="137"/>
      <c r="EHU67" s="137"/>
      <c r="EHV67" s="137"/>
      <c r="EHW67" s="137"/>
      <c r="EHX67" s="137"/>
      <c r="EHY67" s="137"/>
      <c r="EHZ67" s="137"/>
      <c r="EIA67" s="137"/>
      <c r="EIB67" s="137"/>
      <c r="EIC67" s="137"/>
      <c r="EID67" s="137"/>
      <c r="EIE67" s="137"/>
      <c r="EIF67" s="137"/>
      <c r="EIG67" s="137"/>
      <c r="EIH67" s="137"/>
      <c r="EII67" s="137"/>
      <c r="EIJ67" s="137"/>
      <c r="EIK67" s="137"/>
      <c r="EIL67" s="137"/>
      <c r="EIM67" s="137"/>
      <c r="EIN67" s="137"/>
      <c r="EIO67" s="137"/>
      <c r="EIP67" s="137"/>
      <c r="EIQ67" s="137"/>
      <c r="EIR67" s="137"/>
      <c r="EIS67" s="137"/>
      <c r="EIT67" s="137"/>
      <c r="EIU67" s="137"/>
      <c r="EIV67" s="137"/>
      <c r="EIW67" s="137"/>
      <c r="EIX67" s="137"/>
      <c r="EIY67" s="137"/>
      <c r="EIZ67" s="137"/>
      <c r="EJA67" s="137"/>
      <c r="EJB67" s="137"/>
      <c r="EJC67" s="137"/>
      <c r="EJD67" s="137"/>
      <c r="EJE67" s="137"/>
      <c r="EJF67" s="137"/>
      <c r="EJG67" s="137"/>
      <c r="EJH67" s="137"/>
      <c r="EJI67" s="137"/>
      <c r="EJJ67" s="137"/>
      <c r="EJK67" s="137"/>
      <c r="EJL67" s="137"/>
      <c r="EJM67" s="137"/>
      <c r="EJN67" s="137"/>
      <c r="EJO67" s="137"/>
      <c r="EJP67" s="137"/>
      <c r="EJQ67" s="137"/>
      <c r="EJR67" s="137"/>
      <c r="EJS67" s="137"/>
      <c r="EJT67" s="137"/>
      <c r="EJU67" s="137"/>
      <c r="EJV67" s="137"/>
      <c r="EJW67" s="137"/>
      <c r="EJX67" s="137"/>
      <c r="EJY67" s="137"/>
      <c r="EJZ67" s="137"/>
      <c r="EKA67" s="137"/>
      <c r="EKB67" s="137"/>
      <c r="EKC67" s="137"/>
      <c r="EKD67" s="137"/>
      <c r="EKE67" s="137"/>
      <c r="EKF67" s="137"/>
      <c r="EKG67" s="137"/>
      <c r="EKH67" s="137"/>
      <c r="EKI67" s="137"/>
      <c r="EKJ67" s="137"/>
      <c r="EKK67" s="137"/>
      <c r="EKL67" s="137"/>
      <c r="EKM67" s="137"/>
      <c r="EKN67" s="137"/>
      <c r="EKO67" s="137"/>
      <c r="EKP67" s="137"/>
      <c r="EKQ67" s="137"/>
      <c r="EKR67" s="137"/>
      <c r="EKS67" s="137"/>
      <c r="EKT67" s="137"/>
      <c r="EKU67" s="137"/>
      <c r="EKV67" s="137"/>
      <c r="EKW67" s="137"/>
      <c r="EKX67" s="137"/>
      <c r="EKY67" s="137"/>
      <c r="EKZ67" s="137"/>
      <c r="ELA67" s="137"/>
      <c r="ELB67" s="137"/>
      <c r="ELC67" s="137"/>
      <c r="ELD67" s="137"/>
      <c r="ELE67" s="137"/>
      <c r="ELF67" s="137"/>
      <c r="ELG67" s="137"/>
      <c r="ELH67" s="137"/>
      <c r="ELI67" s="137"/>
      <c r="ELJ67" s="137"/>
      <c r="ELK67" s="137"/>
      <c r="ELL67" s="137"/>
      <c r="ELM67" s="137"/>
      <c r="ELN67" s="137"/>
      <c r="ELO67" s="137"/>
      <c r="ELP67" s="137"/>
      <c r="ELQ67" s="137"/>
      <c r="ELR67" s="137"/>
      <c r="ELS67" s="137"/>
      <c r="ELT67" s="137"/>
      <c r="ELU67" s="137"/>
      <c r="ELV67" s="137"/>
      <c r="ELW67" s="137"/>
      <c r="ELX67" s="137"/>
      <c r="ELY67" s="137"/>
      <c r="ELZ67" s="137"/>
      <c r="EMA67" s="137"/>
      <c r="EMB67" s="137"/>
      <c r="EMC67" s="137"/>
      <c r="EMD67" s="137"/>
      <c r="EME67" s="137"/>
      <c r="EMF67" s="137"/>
      <c r="EMG67" s="137"/>
      <c r="EMH67" s="137"/>
      <c r="EMI67" s="137"/>
      <c r="EMJ67" s="137"/>
      <c r="EMK67" s="137"/>
      <c r="EML67" s="137"/>
      <c r="EMM67" s="137"/>
      <c r="EMN67" s="137"/>
      <c r="EMO67" s="137"/>
      <c r="EMP67" s="137"/>
      <c r="EMQ67" s="137"/>
      <c r="EMR67" s="137"/>
      <c r="EMS67" s="137"/>
      <c r="EMT67" s="137"/>
      <c r="EMU67" s="137"/>
      <c r="EMV67" s="137"/>
      <c r="EMW67" s="137"/>
      <c r="EMX67" s="137"/>
      <c r="EMY67" s="137"/>
      <c r="EMZ67" s="137"/>
      <c r="ENA67" s="137"/>
      <c r="ENB67" s="137"/>
      <c r="ENC67" s="137"/>
      <c r="END67" s="137"/>
      <c r="ENE67" s="137"/>
      <c r="ENF67" s="137"/>
      <c r="ENG67" s="137"/>
      <c r="ENH67" s="137"/>
      <c r="ENI67" s="137"/>
      <c r="ENJ67" s="137"/>
      <c r="ENK67" s="137"/>
      <c r="ENL67" s="137"/>
      <c r="ENM67" s="137"/>
      <c r="ENN67" s="137"/>
      <c r="ENO67" s="137"/>
      <c r="ENP67" s="137"/>
      <c r="ENQ67" s="137"/>
      <c r="ENR67" s="137"/>
      <c r="ENS67" s="137"/>
      <c r="ENT67" s="137"/>
      <c r="ENU67" s="137"/>
      <c r="ENV67" s="137"/>
      <c r="ENW67" s="137"/>
      <c r="ENX67" s="137"/>
      <c r="ENY67" s="137"/>
      <c r="ENZ67" s="137"/>
      <c r="EOA67" s="137"/>
      <c r="EOB67" s="137"/>
      <c r="EOC67" s="137"/>
      <c r="EOD67" s="137"/>
      <c r="EOE67" s="137"/>
      <c r="EOF67" s="137"/>
      <c r="EOG67" s="137"/>
      <c r="EOH67" s="137"/>
      <c r="EOI67" s="137"/>
      <c r="EOJ67" s="137"/>
      <c r="EOK67" s="137"/>
      <c r="EOL67" s="137"/>
      <c r="EOM67" s="137"/>
      <c r="EON67" s="137"/>
      <c r="EOO67" s="137"/>
      <c r="EOP67" s="137"/>
      <c r="EOQ67" s="137"/>
      <c r="EOR67" s="137"/>
      <c r="EOS67" s="137"/>
      <c r="EOT67" s="137"/>
      <c r="EOU67" s="137"/>
      <c r="EOV67" s="137"/>
      <c r="EOW67" s="137"/>
      <c r="EOX67" s="137"/>
      <c r="EOY67" s="137"/>
      <c r="EOZ67" s="137"/>
      <c r="EPA67" s="137"/>
      <c r="EPB67" s="137"/>
      <c r="EPC67" s="137"/>
      <c r="EPD67" s="137"/>
      <c r="EPE67" s="137"/>
      <c r="EPF67" s="137"/>
      <c r="EPG67" s="137"/>
      <c r="EPH67" s="137"/>
      <c r="EPI67" s="137"/>
      <c r="EPJ67" s="137"/>
      <c r="EPK67" s="137"/>
      <c r="EPL67" s="137"/>
      <c r="EPM67" s="137"/>
      <c r="EPN67" s="137"/>
      <c r="EPO67" s="137"/>
      <c r="EPP67" s="137"/>
      <c r="EPQ67" s="137"/>
      <c r="EPR67" s="137"/>
      <c r="EPS67" s="137"/>
      <c r="EPT67" s="137"/>
      <c r="EPU67" s="137"/>
      <c r="EPV67" s="137"/>
      <c r="EPW67" s="137"/>
      <c r="EPX67" s="137"/>
      <c r="EPY67" s="137"/>
      <c r="EPZ67" s="137"/>
      <c r="EQA67" s="137"/>
      <c r="EQB67" s="137"/>
      <c r="EQC67" s="137"/>
      <c r="EQD67" s="137"/>
      <c r="EQE67" s="137"/>
      <c r="EQF67" s="137"/>
      <c r="EQG67" s="137"/>
      <c r="EQH67" s="137"/>
      <c r="EQI67" s="137"/>
      <c r="EQJ67" s="137"/>
      <c r="EQK67" s="137"/>
      <c r="EQL67" s="137"/>
      <c r="EQM67" s="137"/>
      <c r="EQN67" s="137"/>
      <c r="EQO67" s="137"/>
      <c r="EQP67" s="137"/>
      <c r="EQQ67" s="137"/>
      <c r="EQR67" s="137"/>
      <c r="EQS67" s="137"/>
      <c r="EQT67" s="137"/>
      <c r="EQU67" s="137"/>
      <c r="EQV67" s="137"/>
      <c r="EQW67" s="137"/>
      <c r="EQX67" s="137"/>
      <c r="EQY67" s="137"/>
      <c r="EQZ67" s="137"/>
      <c r="ERA67" s="137"/>
      <c r="ERB67" s="137"/>
      <c r="ERC67" s="137"/>
      <c r="ERD67" s="137"/>
      <c r="ERE67" s="137"/>
      <c r="ERF67" s="137"/>
      <c r="ERG67" s="137"/>
      <c r="ERH67" s="137"/>
      <c r="ERI67" s="137"/>
      <c r="ERJ67" s="137"/>
      <c r="ERK67" s="137"/>
      <c r="ERL67" s="137"/>
      <c r="ERM67" s="137"/>
      <c r="ERN67" s="137"/>
      <c r="ERO67" s="137"/>
      <c r="ERP67" s="137"/>
      <c r="ERQ67" s="137"/>
      <c r="ERR67" s="137"/>
      <c r="ERS67" s="137"/>
      <c r="ERT67" s="137"/>
      <c r="ERU67" s="137"/>
      <c r="ERV67" s="137"/>
      <c r="ERW67" s="137"/>
      <c r="ERX67" s="137"/>
      <c r="ERY67" s="137"/>
      <c r="ERZ67" s="137"/>
      <c r="ESA67" s="137"/>
      <c r="ESB67" s="137"/>
      <c r="ESC67" s="137"/>
      <c r="ESD67" s="137"/>
      <c r="ESE67" s="137"/>
      <c r="ESF67" s="137"/>
      <c r="ESG67" s="137"/>
      <c r="ESH67" s="137"/>
      <c r="ESI67" s="137"/>
      <c r="ESJ67" s="137"/>
      <c r="ESK67" s="137"/>
      <c r="ESL67" s="137"/>
      <c r="ESM67" s="137"/>
      <c r="ESN67" s="137"/>
      <c r="ESO67" s="137"/>
      <c r="ESP67" s="137"/>
      <c r="ESQ67" s="137"/>
      <c r="ESR67" s="137"/>
      <c r="ESS67" s="137"/>
      <c r="EST67" s="137"/>
      <c r="ESU67" s="137"/>
      <c r="ESV67" s="137"/>
      <c r="ESW67" s="137"/>
      <c r="ESX67" s="137"/>
      <c r="ESY67" s="137"/>
      <c r="ESZ67" s="137"/>
      <c r="ETA67" s="137"/>
      <c r="ETB67" s="137"/>
      <c r="ETC67" s="137"/>
      <c r="ETD67" s="137"/>
      <c r="ETE67" s="137"/>
      <c r="ETF67" s="137"/>
      <c r="ETG67" s="137"/>
      <c r="ETH67" s="137"/>
      <c r="ETI67" s="137"/>
      <c r="ETJ67" s="137"/>
      <c r="ETK67" s="137"/>
      <c r="ETL67" s="137"/>
      <c r="ETM67" s="137"/>
      <c r="ETN67" s="137"/>
      <c r="ETO67" s="137"/>
      <c r="ETP67" s="137"/>
      <c r="ETQ67" s="137"/>
      <c r="ETR67" s="137"/>
      <c r="ETS67" s="137"/>
      <c r="ETT67" s="137"/>
      <c r="ETU67" s="137"/>
      <c r="ETV67" s="137"/>
      <c r="ETW67" s="137"/>
      <c r="ETX67" s="137"/>
      <c r="ETY67" s="137"/>
      <c r="ETZ67" s="137"/>
      <c r="EUA67" s="137"/>
      <c r="EUB67" s="137"/>
      <c r="EUC67" s="137"/>
      <c r="EUD67" s="137"/>
      <c r="EUE67" s="137"/>
      <c r="EUF67" s="137"/>
      <c r="EUG67" s="137"/>
      <c r="EUH67" s="137"/>
      <c r="EUI67" s="137"/>
      <c r="EUJ67" s="137"/>
      <c r="EUK67" s="137"/>
      <c r="EUL67" s="137"/>
      <c r="EUM67" s="137"/>
      <c r="EUN67" s="137"/>
      <c r="EUO67" s="137"/>
      <c r="EUP67" s="137"/>
      <c r="EUQ67" s="137"/>
      <c r="EUR67" s="137"/>
      <c r="EUS67" s="137"/>
      <c r="EUT67" s="137"/>
      <c r="EUU67" s="137"/>
      <c r="EUV67" s="137"/>
      <c r="EUW67" s="137"/>
      <c r="EUX67" s="137"/>
      <c r="EUY67" s="137"/>
      <c r="EUZ67" s="137"/>
      <c r="EVA67" s="137"/>
      <c r="EVB67" s="137"/>
      <c r="EVC67" s="137"/>
      <c r="EVD67" s="137"/>
      <c r="EVE67" s="137"/>
      <c r="EVF67" s="137"/>
      <c r="EVG67" s="137"/>
      <c r="EVH67" s="137"/>
      <c r="EVI67" s="137"/>
      <c r="EVJ67" s="137"/>
      <c r="EVK67" s="137"/>
      <c r="EVL67" s="137"/>
      <c r="EVM67" s="137"/>
      <c r="EVN67" s="137"/>
      <c r="EVO67" s="137"/>
      <c r="EVP67" s="137"/>
      <c r="EVQ67" s="137"/>
      <c r="EVR67" s="137"/>
      <c r="EVS67" s="137"/>
      <c r="EVT67" s="137"/>
      <c r="EVU67" s="137"/>
      <c r="EVV67" s="137"/>
      <c r="EVW67" s="137"/>
      <c r="EVX67" s="137"/>
      <c r="EVY67" s="137"/>
      <c r="EVZ67" s="137"/>
      <c r="EWA67" s="137"/>
      <c r="EWB67" s="137"/>
      <c r="EWC67" s="137"/>
      <c r="EWD67" s="137"/>
      <c r="EWE67" s="137"/>
      <c r="EWF67" s="137"/>
      <c r="EWG67" s="137"/>
      <c r="EWH67" s="137"/>
      <c r="EWI67" s="137"/>
      <c r="EWJ67" s="137"/>
      <c r="EWK67" s="137"/>
      <c r="EWL67" s="137"/>
      <c r="EWM67" s="137"/>
      <c r="EWN67" s="137"/>
      <c r="EWO67" s="137"/>
      <c r="EWP67" s="137"/>
      <c r="EWQ67" s="137"/>
      <c r="EWR67" s="137"/>
      <c r="EWS67" s="137"/>
      <c r="EWT67" s="137"/>
      <c r="EWU67" s="137"/>
      <c r="EWV67" s="137"/>
      <c r="EWW67" s="137"/>
      <c r="EWX67" s="137"/>
      <c r="EWY67" s="137"/>
      <c r="EWZ67" s="137"/>
      <c r="EXA67" s="137"/>
      <c r="EXB67" s="137"/>
      <c r="EXC67" s="137"/>
      <c r="EXD67" s="137"/>
      <c r="EXE67" s="137"/>
      <c r="EXF67" s="137"/>
      <c r="EXG67" s="137"/>
      <c r="EXH67" s="137"/>
      <c r="EXI67" s="137"/>
      <c r="EXJ67" s="137"/>
      <c r="EXK67" s="137"/>
      <c r="EXL67" s="137"/>
      <c r="EXM67" s="137"/>
      <c r="EXN67" s="137"/>
      <c r="EXO67" s="137"/>
      <c r="EXP67" s="137"/>
      <c r="EXQ67" s="137"/>
      <c r="EXR67" s="137"/>
      <c r="EXS67" s="137"/>
      <c r="EXT67" s="137"/>
      <c r="EXU67" s="137"/>
      <c r="EXV67" s="137"/>
      <c r="EXW67" s="137"/>
      <c r="EXX67" s="137"/>
      <c r="EXY67" s="137"/>
      <c r="EXZ67" s="137"/>
      <c r="EYA67" s="137"/>
      <c r="EYB67" s="137"/>
      <c r="EYC67" s="137"/>
      <c r="EYD67" s="137"/>
      <c r="EYE67" s="137"/>
      <c r="EYF67" s="137"/>
      <c r="EYG67" s="137"/>
      <c r="EYH67" s="137"/>
      <c r="EYI67" s="137"/>
      <c r="EYJ67" s="137"/>
      <c r="EYK67" s="137"/>
      <c r="EYL67" s="137"/>
      <c r="EYM67" s="137"/>
      <c r="EYN67" s="137"/>
      <c r="EYO67" s="137"/>
      <c r="EYP67" s="137"/>
      <c r="EYQ67" s="137"/>
      <c r="EYR67" s="137"/>
      <c r="EYS67" s="137"/>
      <c r="EYT67" s="137"/>
      <c r="EYU67" s="137"/>
      <c r="EYV67" s="137"/>
      <c r="EYW67" s="137"/>
      <c r="EYX67" s="137"/>
      <c r="EYY67" s="137"/>
      <c r="EYZ67" s="137"/>
      <c r="EZA67" s="137"/>
      <c r="EZB67" s="137"/>
      <c r="EZC67" s="137"/>
      <c r="EZD67" s="137"/>
      <c r="EZE67" s="137"/>
      <c r="EZF67" s="137"/>
      <c r="EZG67" s="137"/>
      <c r="EZH67" s="137"/>
      <c r="EZI67" s="137"/>
      <c r="EZJ67" s="137"/>
      <c r="EZK67" s="137"/>
      <c r="EZL67" s="137"/>
      <c r="EZM67" s="137"/>
      <c r="EZN67" s="137"/>
      <c r="EZO67" s="137"/>
      <c r="EZP67" s="137"/>
      <c r="EZQ67" s="137"/>
      <c r="EZR67" s="137"/>
      <c r="EZS67" s="137"/>
      <c r="EZT67" s="137"/>
      <c r="EZU67" s="137"/>
      <c r="EZV67" s="137"/>
      <c r="EZW67" s="137"/>
      <c r="EZX67" s="137"/>
      <c r="EZY67" s="137"/>
      <c r="EZZ67" s="137"/>
      <c r="FAA67" s="137"/>
      <c r="FAB67" s="137"/>
      <c r="FAC67" s="137"/>
      <c r="FAD67" s="137"/>
      <c r="FAE67" s="137"/>
      <c r="FAF67" s="137"/>
      <c r="FAG67" s="137"/>
      <c r="FAH67" s="137"/>
      <c r="FAI67" s="137"/>
      <c r="FAJ67" s="137"/>
      <c r="FAK67" s="137"/>
      <c r="FAL67" s="137"/>
      <c r="FAM67" s="137"/>
      <c r="FAN67" s="137"/>
      <c r="FAO67" s="137"/>
      <c r="FAP67" s="137"/>
      <c r="FAQ67" s="137"/>
      <c r="FAR67" s="137"/>
      <c r="FAS67" s="137"/>
      <c r="FAT67" s="137"/>
      <c r="FAU67" s="137"/>
      <c r="FAV67" s="137"/>
      <c r="FAW67" s="137"/>
      <c r="FAX67" s="137"/>
      <c r="FAY67" s="137"/>
      <c r="FAZ67" s="137"/>
      <c r="FBA67" s="137"/>
      <c r="FBB67" s="137"/>
      <c r="FBC67" s="137"/>
      <c r="FBD67" s="137"/>
      <c r="FBE67" s="137"/>
      <c r="FBF67" s="137"/>
      <c r="FBG67" s="137"/>
      <c r="FBH67" s="137"/>
      <c r="FBI67" s="137"/>
      <c r="FBJ67" s="137"/>
      <c r="FBK67" s="137"/>
      <c r="FBL67" s="137"/>
      <c r="FBM67" s="137"/>
      <c r="FBN67" s="137"/>
      <c r="FBO67" s="137"/>
      <c r="FBP67" s="137"/>
      <c r="FBQ67" s="137"/>
      <c r="FBR67" s="137"/>
      <c r="FBS67" s="137"/>
      <c r="FBT67" s="137"/>
      <c r="FBU67" s="137"/>
      <c r="FBV67" s="137"/>
      <c r="FBW67" s="137"/>
      <c r="FBX67" s="137"/>
      <c r="FBY67" s="137"/>
      <c r="FBZ67" s="137"/>
      <c r="FCA67" s="137"/>
      <c r="FCB67" s="137"/>
      <c r="FCC67" s="137"/>
      <c r="FCD67" s="137"/>
      <c r="FCE67" s="137"/>
      <c r="FCF67" s="137"/>
      <c r="FCG67" s="137"/>
      <c r="FCH67" s="137"/>
      <c r="FCI67" s="137"/>
      <c r="FCJ67" s="137"/>
      <c r="FCK67" s="137"/>
      <c r="FCL67" s="137"/>
      <c r="FCM67" s="137"/>
      <c r="FCN67" s="137"/>
      <c r="FCO67" s="137"/>
      <c r="FCP67" s="137"/>
      <c r="FCQ67" s="137"/>
      <c r="FCR67" s="137"/>
      <c r="FCS67" s="137"/>
      <c r="FCT67" s="137"/>
      <c r="FCU67" s="137"/>
      <c r="FCV67" s="137"/>
      <c r="FCW67" s="137"/>
      <c r="FCX67" s="137"/>
      <c r="FCY67" s="137"/>
      <c r="FCZ67" s="137"/>
      <c r="FDA67" s="137"/>
      <c r="FDB67" s="137"/>
      <c r="FDC67" s="137"/>
      <c r="FDD67" s="137"/>
      <c r="FDE67" s="137"/>
      <c r="FDF67" s="137"/>
      <c r="FDG67" s="137"/>
      <c r="FDH67" s="137"/>
      <c r="FDI67" s="137"/>
      <c r="FDJ67" s="137"/>
      <c r="FDK67" s="137"/>
      <c r="FDL67" s="137"/>
      <c r="FDM67" s="137"/>
      <c r="FDN67" s="137"/>
      <c r="FDO67" s="137"/>
      <c r="FDP67" s="137"/>
      <c r="FDQ67" s="137"/>
      <c r="FDR67" s="137"/>
      <c r="FDS67" s="137"/>
      <c r="FDT67" s="137"/>
      <c r="FDU67" s="137"/>
      <c r="FDV67" s="137"/>
      <c r="FDW67" s="137"/>
      <c r="FDX67" s="137"/>
      <c r="FDY67" s="137"/>
      <c r="FDZ67" s="137"/>
      <c r="FEA67" s="137"/>
      <c r="FEB67" s="137"/>
      <c r="FEC67" s="137"/>
      <c r="FED67" s="137"/>
      <c r="FEE67" s="137"/>
      <c r="FEF67" s="137"/>
      <c r="FEG67" s="137"/>
      <c r="FEH67" s="137"/>
      <c r="FEI67" s="137"/>
      <c r="FEJ67" s="137"/>
      <c r="FEK67" s="137"/>
      <c r="FEL67" s="137"/>
      <c r="FEM67" s="137"/>
      <c r="FEN67" s="137"/>
      <c r="FEO67" s="137"/>
      <c r="FEP67" s="137"/>
      <c r="FEQ67" s="137"/>
      <c r="FER67" s="137"/>
      <c r="FES67" s="137"/>
      <c r="FET67" s="137"/>
      <c r="FEU67" s="137"/>
      <c r="FEV67" s="137"/>
      <c r="FEW67" s="137"/>
      <c r="FEX67" s="137"/>
      <c r="FEY67" s="137"/>
      <c r="FEZ67" s="137"/>
      <c r="FFA67" s="137"/>
      <c r="FFB67" s="137"/>
      <c r="FFC67" s="137"/>
      <c r="FFD67" s="137"/>
      <c r="FFE67" s="137"/>
      <c r="FFF67" s="137"/>
      <c r="FFG67" s="137"/>
      <c r="FFH67" s="137"/>
      <c r="FFI67" s="137"/>
      <c r="FFJ67" s="137"/>
      <c r="FFK67" s="137"/>
      <c r="FFL67" s="137"/>
      <c r="FFM67" s="137"/>
      <c r="FFN67" s="137"/>
      <c r="FFO67" s="137"/>
      <c r="FFP67" s="137"/>
      <c r="FFQ67" s="137"/>
      <c r="FFR67" s="137"/>
      <c r="FFS67" s="137"/>
      <c r="FFT67" s="137"/>
      <c r="FFU67" s="137"/>
      <c r="FFV67" s="137"/>
      <c r="FFW67" s="137"/>
      <c r="FFX67" s="137"/>
      <c r="FFY67" s="137"/>
      <c r="FFZ67" s="137"/>
      <c r="FGA67" s="137"/>
      <c r="FGB67" s="137"/>
      <c r="FGC67" s="137"/>
      <c r="FGD67" s="137"/>
      <c r="FGE67" s="137"/>
      <c r="FGF67" s="137"/>
      <c r="FGG67" s="137"/>
      <c r="FGH67" s="137"/>
      <c r="FGI67" s="137"/>
      <c r="FGJ67" s="137"/>
      <c r="FGK67" s="137"/>
      <c r="FGL67" s="137"/>
      <c r="FGM67" s="137"/>
      <c r="FGN67" s="137"/>
      <c r="FGO67" s="137"/>
      <c r="FGP67" s="137"/>
      <c r="FGQ67" s="137"/>
      <c r="FGR67" s="137"/>
      <c r="FGS67" s="137"/>
      <c r="FGT67" s="137"/>
      <c r="FGU67" s="137"/>
      <c r="FGV67" s="137"/>
      <c r="FGW67" s="137"/>
      <c r="FGX67" s="137"/>
      <c r="FGY67" s="137"/>
      <c r="FGZ67" s="137"/>
      <c r="FHA67" s="137"/>
      <c r="FHB67" s="137"/>
      <c r="FHC67" s="137"/>
      <c r="FHD67" s="137"/>
      <c r="FHE67" s="137"/>
      <c r="FHF67" s="137"/>
      <c r="FHG67" s="137"/>
      <c r="FHH67" s="137"/>
      <c r="FHI67" s="137"/>
      <c r="FHJ67" s="137"/>
      <c r="FHK67" s="137"/>
      <c r="FHL67" s="137"/>
      <c r="FHM67" s="137"/>
      <c r="FHN67" s="137"/>
      <c r="FHO67" s="137"/>
      <c r="FHP67" s="137"/>
      <c r="FHQ67" s="137"/>
      <c r="FHR67" s="137"/>
      <c r="FHS67" s="137"/>
      <c r="FHT67" s="137"/>
      <c r="FHU67" s="137"/>
      <c r="FHV67" s="137"/>
      <c r="FHW67" s="137"/>
      <c r="FHX67" s="137"/>
      <c r="FHY67" s="137"/>
      <c r="FHZ67" s="137"/>
      <c r="FIA67" s="137"/>
      <c r="FIB67" s="137"/>
      <c r="FIC67" s="137"/>
      <c r="FID67" s="137"/>
      <c r="FIE67" s="137"/>
      <c r="FIF67" s="137"/>
      <c r="FIG67" s="137"/>
      <c r="FIH67" s="137"/>
      <c r="FII67" s="137"/>
      <c r="FIJ67" s="137"/>
      <c r="FIK67" s="137"/>
      <c r="FIL67" s="137"/>
      <c r="FIM67" s="137"/>
      <c r="FIN67" s="137"/>
      <c r="FIO67" s="137"/>
      <c r="FIP67" s="137"/>
      <c r="FIQ67" s="137"/>
      <c r="FIR67" s="137"/>
      <c r="FIS67" s="137"/>
      <c r="FIT67" s="137"/>
      <c r="FIU67" s="137"/>
      <c r="FIV67" s="137"/>
      <c r="FIW67" s="137"/>
      <c r="FIX67" s="137"/>
      <c r="FIY67" s="137"/>
      <c r="FIZ67" s="137"/>
      <c r="FJA67" s="137"/>
      <c r="FJB67" s="137"/>
      <c r="FJC67" s="137"/>
      <c r="FJD67" s="137"/>
      <c r="FJE67" s="137"/>
      <c r="FJF67" s="137"/>
      <c r="FJG67" s="137"/>
      <c r="FJH67" s="137"/>
      <c r="FJI67" s="137"/>
      <c r="FJJ67" s="137"/>
      <c r="FJK67" s="137"/>
      <c r="FJL67" s="137"/>
      <c r="FJM67" s="137"/>
      <c r="FJN67" s="137"/>
      <c r="FJO67" s="137"/>
      <c r="FJP67" s="137"/>
      <c r="FJQ67" s="137"/>
      <c r="FJR67" s="137"/>
      <c r="FJS67" s="137"/>
      <c r="FJT67" s="137"/>
      <c r="FJU67" s="137"/>
      <c r="FJV67" s="137"/>
      <c r="FJW67" s="137"/>
      <c r="FJX67" s="137"/>
      <c r="FJY67" s="137"/>
      <c r="FJZ67" s="137"/>
      <c r="FKA67" s="137"/>
      <c r="FKB67" s="137"/>
      <c r="FKC67" s="137"/>
      <c r="FKD67" s="137"/>
      <c r="FKE67" s="137"/>
      <c r="FKF67" s="137"/>
      <c r="FKG67" s="137"/>
      <c r="FKH67" s="137"/>
      <c r="FKI67" s="137"/>
      <c r="FKJ67" s="137"/>
      <c r="FKK67" s="137"/>
      <c r="FKL67" s="137"/>
      <c r="FKM67" s="137"/>
      <c r="FKN67" s="137"/>
      <c r="FKO67" s="137"/>
      <c r="FKP67" s="137"/>
      <c r="FKQ67" s="137"/>
      <c r="FKR67" s="137"/>
      <c r="FKS67" s="137"/>
      <c r="FKT67" s="137"/>
      <c r="FKU67" s="137"/>
      <c r="FKV67" s="137"/>
      <c r="FKW67" s="137"/>
      <c r="FKX67" s="137"/>
      <c r="FKY67" s="137"/>
      <c r="FKZ67" s="137"/>
      <c r="FLA67" s="137"/>
      <c r="FLB67" s="137"/>
      <c r="FLC67" s="137"/>
      <c r="FLD67" s="137"/>
      <c r="FLE67" s="137"/>
      <c r="FLF67" s="137"/>
      <c r="FLG67" s="137"/>
      <c r="FLH67" s="137"/>
      <c r="FLI67" s="137"/>
      <c r="FLJ67" s="137"/>
      <c r="FLK67" s="137"/>
      <c r="FLL67" s="137"/>
      <c r="FLM67" s="137"/>
      <c r="FLN67" s="137"/>
      <c r="FLO67" s="137"/>
      <c r="FLP67" s="137"/>
      <c r="FLQ67" s="137"/>
      <c r="FLR67" s="137"/>
      <c r="FLS67" s="137"/>
      <c r="FLT67" s="137"/>
      <c r="FLU67" s="137"/>
      <c r="FLV67" s="137"/>
      <c r="FLW67" s="137"/>
      <c r="FLX67" s="137"/>
      <c r="FLY67" s="137"/>
      <c r="FLZ67" s="137"/>
      <c r="FMA67" s="137"/>
      <c r="FMB67" s="137"/>
      <c r="FMC67" s="137"/>
      <c r="FMD67" s="137"/>
      <c r="FME67" s="137"/>
      <c r="FMF67" s="137"/>
      <c r="FMG67" s="137"/>
      <c r="FMH67" s="137"/>
      <c r="FMI67" s="137"/>
      <c r="FMJ67" s="137"/>
      <c r="FMK67" s="137"/>
      <c r="FML67" s="137"/>
      <c r="FMM67" s="137"/>
      <c r="FMN67" s="137"/>
      <c r="FMO67" s="137"/>
      <c r="FMP67" s="137"/>
      <c r="FMQ67" s="137"/>
      <c r="FMR67" s="137"/>
      <c r="FMS67" s="137"/>
      <c r="FMT67" s="137"/>
      <c r="FMU67" s="137"/>
      <c r="FMV67" s="137"/>
      <c r="FMW67" s="137"/>
      <c r="FMX67" s="137"/>
      <c r="FMY67" s="137"/>
      <c r="FMZ67" s="137"/>
      <c r="FNA67" s="137"/>
      <c r="FNB67" s="137"/>
      <c r="FNC67" s="137"/>
      <c r="FND67" s="137"/>
      <c r="FNE67" s="137"/>
      <c r="FNF67" s="137"/>
      <c r="FNG67" s="137"/>
      <c r="FNH67" s="137"/>
      <c r="FNI67" s="137"/>
      <c r="FNJ67" s="137"/>
      <c r="FNK67" s="137"/>
      <c r="FNL67" s="137"/>
      <c r="FNM67" s="137"/>
      <c r="FNN67" s="137"/>
      <c r="FNO67" s="137"/>
      <c r="FNP67" s="137"/>
      <c r="FNQ67" s="137"/>
      <c r="FNR67" s="137"/>
      <c r="FNS67" s="137"/>
      <c r="FNT67" s="137"/>
      <c r="FNU67" s="137"/>
      <c r="FNV67" s="137"/>
      <c r="FNW67" s="137"/>
      <c r="FNX67" s="137"/>
      <c r="FNY67" s="137"/>
      <c r="FNZ67" s="137"/>
      <c r="FOA67" s="137"/>
      <c r="FOB67" s="137"/>
      <c r="FOC67" s="137"/>
      <c r="FOD67" s="137"/>
      <c r="FOE67" s="137"/>
      <c r="FOF67" s="137"/>
      <c r="FOG67" s="137"/>
      <c r="FOH67" s="137"/>
      <c r="FOI67" s="137"/>
      <c r="FOJ67" s="137"/>
      <c r="FOK67" s="137"/>
      <c r="FOL67" s="137"/>
      <c r="FOM67" s="137"/>
      <c r="FON67" s="137"/>
      <c r="FOO67" s="137"/>
      <c r="FOP67" s="137"/>
      <c r="FOQ67" s="137"/>
      <c r="FOR67" s="137"/>
      <c r="FOS67" s="137"/>
      <c r="FOT67" s="137"/>
      <c r="FOU67" s="137"/>
      <c r="FOV67" s="137"/>
      <c r="FOW67" s="137"/>
      <c r="FOX67" s="137"/>
      <c r="FOY67" s="137"/>
      <c r="FOZ67" s="137"/>
      <c r="FPA67" s="137"/>
      <c r="FPB67" s="137"/>
      <c r="FPC67" s="137"/>
      <c r="FPD67" s="137"/>
      <c r="FPE67" s="137"/>
      <c r="FPF67" s="137"/>
      <c r="FPG67" s="137"/>
      <c r="FPH67" s="137"/>
      <c r="FPI67" s="137"/>
      <c r="FPJ67" s="137"/>
      <c r="FPK67" s="137"/>
      <c r="FPL67" s="137"/>
      <c r="FPM67" s="137"/>
      <c r="FPN67" s="137"/>
      <c r="FPO67" s="137"/>
      <c r="FPP67" s="137"/>
      <c r="FPQ67" s="137"/>
      <c r="FPR67" s="137"/>
      <c r="FPS67" s="137"/>
      <c r="FPT67" s="137"/>
      <c r="FPU67" s="137"/>
      <c r="FPV67" s="137"/>
      <c r="FPW67" s="137"/>
      <c r="FPX67" s="137"/>
      <c r="FPY67" s="137"/>
      <c r="FPZ67" s="137"/>
      <c r="FQA67" s="137"/>
      <c r="FQB67" s="137"/>
      <c r="FQC67" s="137"/>
      <c r="FQD67" s="137"/>
      <c r="FQE67" s="137"/>
      <c r="FQF67" s="137"/>
      <c r="FQG67" s="137"/>
      <c r="FQH67" s="137"/>
      <c r="FQI67" s="137"/>
      <c r="FQJ67" s="137"/>
      <c r="FQK67" s="137"/>
      <c r="FQL67" s="137"/>
      <c r="FQM67" s="137"/>
      <c r="FQN67" s="137"/>
      <c r="FQO67" s="137"/>
      <c r="FQP67" s="137"/>
      <c r="FQQ67" s="137"/>
      <c r="FQR67" s="137"/>
      <c r="FQS67" s="137"/>
      <c r="FQT67" s="137"/>
      <c r="FQU67" s="137"/>
      <c r="FQV67" s="137"/>
      <c r="FQW67" s="137"/>
      <c r="FQX67" s="137"/>
      <c r="FQY67" s="137"/>
      <c r="FQZ67" s="137"/>
      <c r="FRA67" s="137"/>
      <c r="FRB67" s="137"/>
      <c r="FRC67" s="137"/>
      <c r="FRD67" s="137"/>
      <c r="FRE67" s="137"/>
      <c r="FRF67" s="137"/>
      <c r="FRG67" s="137"/>
      <c r="FRH67" s="137"/>
      <c r="FRI67" s="137"/>
      <c r="FRJ67" s="137"/>
      <c r="FRK67" s="137"/>
      <c r="FRL67" s="137"/>
      <c r="FRM67" s="137"/>
      <c r="FRN67" s="137"/>
      <c r="FRO67" s="137"/>
      <c r="FRP67" s="137"/>
      <c r="FRQ67" s="137"/>
      <c r="FRR67" s="137"/>
      <c r="FRS67" s="137"/>
      <c r="FRT67" s="137"/>
      <c r="FRU67" s="137"/>
      <c r="FRV67" s="137"/>
      <c r="FRW67" s="137"/>
      <c r="FRX67" s="137"/>
      <c r="FRY67" s="137"/>
      <c r="FRZ67" s="137"/>
      <c r="FSA67" s="137"/>
      <c r="FSB67" s="137"/>
      <c r="FSC67" s="137"/>
      <c r="FSD67" s="137"/>
      <c r="FSE67" s="137"/>
      <c r="FSF67" s="137"/>
      <c r="FSG67" s="137"/>
      <c r="FSH67" s="137"/>
      <c r="FSI67" s="137"/>
      <c r="FSJ67" s="137"/>
      <c r="FSK67" s="137"/>
      <c r="FSL67" s="137"/>
      <c r="FSM67" s="137"/>
      <c r="FSN67" s="137"/>
      <c r="FSO67" s="137"/>
      <c r="FSP67" s="137"/>
      <c r="FSQ67" s="137"/>
      <c r="FSR67" s="137"/>
      <c r="FSS67" s="137"/>
      <c r="FST67" s="137"/>
      <c r="FSU67" s="137"/>
      <c r="FSV67" s="137"/>
      <c r="FSW67" s="137"/>
      <c r="FSX67" s="137"/>
      <c r="FSY67" s="137"/>
      <c r="FSZ67" s="137"/>
      <c r="FTA67" s="137"/>
      <c r="FTB67" s="137"/>
      <c r="FTC67" s="137"/>
      <c r="FTD67" s="137"/>
      <c r="FTE67" s="137"/>
      <c r="FTF67" s="137"/>
      <c r="FTG67" s="137"/>
      <c r="FTH67" s="137"/>
      <c r="FTI67" s="137"/>
      <c r="FTJ67" s="137"/>
      <c r="FTK67" s="137"/>
      <c r="FTL67" s="137"/>
      <c r="FTM67" s="137"/>
      <c r="FTN67" s="137"/>
      <c r="FTO67" s="137"/>
      <c r="FTP67" s="137"/>
      <c r="FTQ67" s="137"/>
      <c r="FTR67" s="137"/>
      <c r="FTS67" s="137"/>
      <c r="FTT67" s="137"/>
      <c r="FTU67" s="137"/>
      <c r="FTV67" s="137"/>
      <c r="FTW67" s="137"/>
      <c r="FTX67" s="137"/>
      <c r="FTY67" s="137"/>
      <c r="FTZ67" s="137"/>
      <c r="FUA67" s="137"/>
      <c r="FUB67" s="137"/>
      <c r="FUC67" s="137"/>
      <c r="FUD67" s="137"/>
      <c r="FUE67" s="137"/>
      <c r="FUF67" s="137"/>
      <c r="FUG67" s="137"/>
      <c r="FUH67" s="137"/>
      <c r="FUI67" s="137"/>
      <c r="FUJ67" s="137"/>
      <c r="FUK67" s="137"/>
      <c r="FUL67" s="137"/>
      <c r="FUM67" s="137"/>
      <c r="FUN67" s="137"/>
      <c r="FUO67" s="137"/>
      <c r="FUP67" s="137"/>
      <c r="FUQ67" s="137"/>
      <c r="FUR67" s="137"/>
      <c r="FUS67" s="137"/>
      <c r="FUT67" s="137"/>
      <c r="FUU67" s="137"/>
      <c r="FUV67" s="137"/>
      <c r="FUW67" s="137"/>
      <c r="FUX67" s="137"/>
      <c r="FUY67" s="137"/>
      <c r="FUZ67" s="137"/>
      <c r="FVA67" s="137"/>
      <c r="FVB67" s="137"/>
      <c r="FVC67" s="137"/>
      <c r="FVD67" s="137"/>
      <c r="FVE67" s="137"/>
      <c r="FVF67" s="137"/>
      <c r="FVG67" s="137"/>
      <c r="FVH67" s="137"/>
      <c r="FVI67" s="137"/>
      <c r="FVJ67" s="137"/>
      <c r="FVK67" s="137"/>
      <c r="FVL67" s="137"/>
      <c r="FVM67" s="137"/>
      <c r="FVN67" s="137"/>
      <c r="FVO67" s="137"/>
      <c r="FVP67" s="137"/>
      <c r="FVQ67" s="137"/>
      <c r="FVR67" s="137"/>
      <c r="FVS67" s="137"/>
      <c r="FVT67" s="137"/>
      <c r="FVU67" s="137"/>
      <c r="FVV67" s="137"/>
      <c r="FVW67" s="137"/>
      <c r="FVX67" s="137"/>
      <c r="FVY67" s="137"/>
      <c r="FVZ67" s="137"/>
      <c r="FWA67" s="137"/>
      <c r="FWB67" s="137"/>
      <c r="FWC67" s="137"/>
      <c r="FWD67" s="137"/>
      <c r="FWE67" s="137"/>
      <c r="FWF67" s="137"/>
      <c r="FWG67" s="137"/>
      <c r="FWH67" s="137"/>
      <c r="FWI67" s="137"/>
      <c r="FWJ67" s="137"/>
      <c r="FWK67" s="137"/>
      <c r="FWL67" s="137"/>
      <c r="FWM67" s="137"/>
      <c r="FWN67" s="137"/>
      <c r="FWO67" s="137"/>
      <c r="FWP67" s="137"/>
      <c r="FWQ67" s="137"/>
      <c r="FWR67" s="137"/>
      <c r="FWS67" s="137"/>
      <c r="FWT67" s="137"/>
      <c r="FWU67" s="137"/>
      <c r="FWV67" s="137"/>
      <c r="FWW67" s="137"/>
      <c r="FWX67" s="137"/>
      <c r="FWY67" s="137"/>
      <c r="FWZ67" s="137"/>
      <c r="FXA67" s="137"/>
      <c r="FXB67" s="137"/>
      <c r="FXC67" s="137"/>
      <c r="FXD67" s="137"/>
      <c r="FXE67" s="137"/>
      <c r="FXF67" s="137"/>
      <c r="FXG67" s="137"/>
      <c r="FXH67" s="137"/>
      <c r="FXI67" s="137"/>
      <c r="FXJ67" s="137"/>
      <c r="FXK67" s="137"/>
      <c r="FXL67" s="137"/>
      <c r="FXM67" s="137"/>
      <c r="FXN67" s="137"/>
      <c r="FXO67" s="137"/>
      <c r="FXP67" s="137"/>
      <c r="FXQ67" s="137"/>
      <c r="FXR67" s="137"/>
      <c r="FXS67" s="137"/>
      <c r="FXT67" s="137"/>
      <c r="FXU67" s="137"/>
      <c r="FXV67" s="137"/>
      <c r="FXW67" s="137"/>
      <c r="FXX67" s="137"/>
      <c r="FXY67" s="137"/>
      <c r="FXZ67" s="137"/>
      <c r="FYA67" s="137"/>
      <c r="FYB67" s="137"/>
      <c r="FYC67" s="137"/>
      <c r="FYD67" s="137"/>
      <c r="FYE67" s="137"/>
      <c r="FYF67" s="137"/>
      <c r="FYG67" s="137"/>
      <c r="FYH67" s="137"/>
      <c r="FYI67" s="137"/>
      <c r="FYJ67" s="137"/>
      <c r="FYK67" s="137"/>
      <c r="FYL67" s="137"/>
      <c r="FYM67" s="137"/>
      <c r="FYN67" s="137"/>
      <c r="FYO67" s="137"/>
      <c r="FYP67" s="137"/>
      <c r="FYQ67" s="137"/>
      <c r="FYR67" s="137"/>
      <c r="FYS67" s="137"/>
      <c r="FYT67" s="137"/>
      <c r="FYU67" s="137"/>
      <c r="FYV67" s="137"/>
      <c r="FYW67" s="137"/>
      <c r="FYX67" s="137"/>
      <c r="FYY67" s="137"/>
      <c r="FYZ67" s="137"/>
      <c r="FZA67" s="137"/>
      <c r="FZB67" s="137"/>
      <c r="FZC67" s="137"/>
      <c r="FZD67" s="137"/>
      <c r="FZE67" s="137"/>
      <c r="FZF67" s="137"/>
      <c r="FZG67" s="137"/>
      <c r="FZH67" s="137"/>
      <c r="FZI67" s="137"/>
      <c r="FZJ67" s="137"/>
      <c r="FZK67" s="137"/>
      <c r="FZL67" s="137"/>
      <c r="FZM67" s="137"/>
      <c r="FZN67" s="137"/>
      <c r="FZO67" s="137"/>
      <c r="FZP67" s="137"/>
      <c r="FZQ67" s="137"/>
      <c r="FZR67" s="137"/>
      <c r="FZS67" s="137"/>
      <c r="FZT67" s="137"/>
      <c r="FZU67" s="137"/>
      <c r="FZV67" s="137"/>
      <c r="FZW67" s="137"/>
      <c r="FZX67" s="137"/>
      <c r="FZY67" s="137"/>
      <c r="FZZ67" s="137"/>
      <c r="GAA67" s="137"/>
      <c r="GAB67" s="137"/>
      <c r="GAC67" s="137"/>
      <c r="GAD67" s="137"/>
      <c r="GAE67" s="137"/>
      <c r="GAF67" s="137"/>
      <c r="GAG67" s="137"/>
      <c r="GAH67" s="137"/>
      <c r="GAI67" s="137"/>
      <c r="GAJ67" s="137"/>
      <c r="GAK67" s="137"/>
      <c r="GAL67" s="137"/>
      <c r="GAM67" s="137"/>
      <c r="GAN67" s="137"/>
      <c r="GAO67" s="137"/>
      <c r="GAP67" s="137"/>
      <c r="GAQ67" s="137"/>
      <c r="GAR67" s="137"/>
      <c r="GAS67" s="137"/>
      <c r="GAT67" s="137"/>
      <c r="GAU67" s="137"/>
      <c r="GAV67" s="137"/>
      <c r="GAW67" s="137"/>
      <c r="GAX67" s="137"/>
      <c r="GAY67" s="137"/>
      <c r="GAZ67" s="137"/>
      <c r="GBA67" s="137"/>
      <c r="GBB67" s="137"/>
      <c r="GBC67" s="137"/>
      <c r="GBD67" s="137"/>
      <c r="GBE67" s="137"/>
      <c r="GBF67" s="137"/>
      <c r="GBG67" s="137"/>
      <c r="GBH67" s="137"/>
      <c r="GBI67" s="137"/>
      <c r="GBJ67" s="137"/>
      <c r="GBK67" s="137"/>
      <c r="GBL67" s="137"/>
      <c r="GBM67" s="137"/>
      <c r="GBN67" s="137"/>
      <c r="GBO67" s="137"/>
      <c r="GBP67" s="137"/>
      <c r="GBQ67" s="137"/>
      <c r="GBR67" s="137"/>
      <c r="GBS67" s="137"/>
      <c r="GBT67" s="137"/>
      <c r="GBU67" s="137"/>
      <c r="GBV67" s="137"/>
      <c r="GBW67" s="137"/>
      <c r="GBX67" s="137"/>
      <c r="GBY67" s="137"/>
      <c r="GBZ67" s="137"/>
      <c r="GCA67" s="137"/>
      <c r="GCB67" s="137"/>
      <c r="GCC67" s="137"/>
      <c r="GCD67" s="137"/>
      <c r="GCE67" s="137"/>
      <c r="GCF67" s="137"/>
      <c r="GCG67" s="137"/>
      <c r="GCH67" s="137"/>
      <c r="GCI67" s="137"/>
      <c r="GCJ67" s="137"/>
      <c r="GCK67" s="137"/>
      <c r="GCL67" s="137"/>
      <c r="GCM67" s="137"/>
      <c r="GCN67" s="137"/>
      <c r="GCO67" s="137"/>
      <c r="GCP67" s="137"/>
      <c r="GCQ67" s="137"/>
      <c r="GCR67" s="137"/>
      <c r="GCS67" s="137"/>
      <c r="GCT67" s="137"/>
      <c r="GCU67" s="137"/>
      <c r="GCV67" s="137"/>
      <c r="GCW67" s="137"/>
      <c r="GCX67" s="137"/>
      <c r="GCY67" s="137"/>
      <c r="GCZ67" s="137"/>
      <c r="GDA67" s="137"/>
      <c r="GDB67" s="137"/>
      <c r="GDC67" s="137"/>
      <c r="GDD67" s="137"/>
      <c r="GDE67" s="137"/>
      <c r="GDF67" s="137"/>
      <c r="GDG67" s="137"/>
      <c r="GDH67" s="137"/>
      <c r="GDI67" s="137"/>
      <c r="GDJ67" s="137"/>
      <c r="GDK67" s="137"/>
      <c r="GDL67" s="137"/>
      <c r="GDM67" s="137"/>
      <c r="GDN67" s="137"/>
      <c r="GDO67" s="137"/>
      <c r="GDP67" s="137"/>
      <c r="GDQ67" s="137"/>
      <c r="GDR67" s="137"/>
      <c r="GDS67" s="137"/>
      <c r="GDT67" s="137"/>
      <c r="GDU67" s="137"/>
      <c r="GDV67" s="137"/>
      <c r="GDW67" s="137"/>
      <c r="GDX67" s="137"/>
      <c r="GDY67" s="137"/>
      <c r="GDZ67" s="137"/>
      <c r="GEA67" s="137"/>
      <c r="GEB67" s="137"/>
      <c r="GEC67" s="137"/>
      <c r="GED67" s="137"/>
      <c r="GEE67" s="137"/>
      <c r="GEF67" s="137"/>
      <c r="GEG67" s="137"/>
      <c r="GEH67" s="137"/>
      <c r="GEI67" s="137"/>
      <c r="GEJ67" s="137"/>
      <c r="GEK67" s="137"/>
      <c r="GEL67" s="137"/>
      <c r="GEM67" s="137"/>
      <c r="GEN67" s="137"/>
      <c r="GEO67" s="137"/>
      <c r="GEP67" s="137"/>
      <c r="GEQ67" s="137"/>
      <c r="GER67" s="137"/>
      <c r="GES67" s="137"/>
      <c r="GET67" s="137"/>
      <c r="GEU67" s="137"/>
      <c r="GEV67" s="137"/>
      <c r="GEW67" s="137"/>
      <c r="GEX67" s="137"/>
      <c r="GEY67" s="137"/>
      <c r="GEZ67" s="137"/>
      <c r="GFA67" s="137"/>
      <c r="GFB67" s="137"/>
      <c r="GFC67" s="137"/>
      <c r="GFD67" s="137"/>
      <c r="GFE67" s="137"/>
      <c r="GFF67" s="137"/>
      <c r="GFG67" s="137"/>
      <c r="GFH67" s="137"/>
      <c r="GFI67" s="137"/>
      <c r="GFJ67" s="137"/>
      <c r="GFK67" s="137"/>
      <c r="GFL67" s="137"/>
      <c r="GFM67" s="137"/>
      <c r="GFN67" s="137"/>
      <c r="GFO67" s="137"/>
      <c r="GFP67" s="137"/>
      <c r="GFQ67" s="137"/>
      <c r="GFR67" s="137"/>
      <c r="GFS67" s="137"/>
      <c r="GFT67" s="137"/>
      <c r="GFU67" s="137"/>
      <c r="GFV67" s="137"/>
      <c r="GFW67" s="137"/>
      <c r="GFX67" s="137"/>
      <c r="GFY67" s="137"/>
      <c r="GFZ67" s="137"/>
      <c r="GGA67" s="137"/>
      <c r="GGB67" s="137"/>
      <c r="GGC67" s="137"/>
      <c r="GGD67" s="137"/>
      <c r="GGE67" s="137"/>
      <c r="GGF67" s="137"/>
      <c r="GGG67" s="137"/>
      <c r="GGH67" s="137"/>
      <c r="GGI67" s="137"/>
      <c r="GGJ67" s="137"/>
      <c r="GGK67" s="137"/>
      <c r="GGL67" s="137"/>
      <c r="GGM67" s="137"/>
      <c r="GGN67" s="137"/>
      <c r="GGO67" s="137"/>
      <c r="GGP67" s="137"/>
      <c r="GGQ67" s="137"/>
      <c r="GGR67" s="137"/>
      <c r="GGS67" s="137"/>
      <c r="GGT67" s="137"/>
      <c r="GGU67" s="137"/>
      <c r="GGV67" s="137"/>
      <c r="GGW67" s="137"/>
      <c r="GGX67" s="137"/>
      <c r="GGY67" s="137"/>
      <c r="GGZ67" s="137"/>
      <c r="GHA67" s="137"/>
      <c r="GHB67" s="137"/>
      <c r="GHC67" s="137"/>
      <c r="GHD67" s="137"/>
      <c r="GHE67" s="137"/>
      <c r="GHF67" s="137"/>
      <c r="GHG67" s="137"/>
      <c r="GHH67" s="137"/>
      <c r="GHI67" s="137"/>
      <c r="GHJ67" s="137"/>
      <c r="GHK67" s="137"/>
      <c r="GHL67" s="137"/>
      <c r="GHM67" s="137"/>
      <c r="GHN67" s="137"/>
      <c r="GHO67" s="137"/>
      <c r="GHP67" s="137"/>
      <c r="GHQ67" s="137"/>
      <c r="GHR67" s="137"/>
      <c r="GHS67" s="137"/>
      <c r="GHT67" s="137"/>
      <c r="GHU67" s="137"/>
      <c r="GHV67" s="137"/>
      <c r="GHW67" s="137"/>
      <c r="GHX67" s="137"/>
      <c r="GHY67" s="137"/>
      <c r="GHZ67" s="137"/>
      <c r="GIA67" s="137"/>
      <c r="GIB67" s="137"/>
      <c r="GIC67" s="137"/>
      <c r="GID67" s="137"/>
      <c r="GIE67" s="137"/>
      <c r="GIF67" s="137"/>
      <c r="GIG67" s="137"/>
      <c r="GIH67" s="137"/>
      <c r="GII67" s="137"/>
      <c r="GIJ67" s="137"/>
      <c r="GIK67" s="137"/>
      <c r="GIL67" s="137"/>
      <c r="GIM67" s="137"/>
      <c r="GIN67" s="137"/>
      <c r="GIO67" s="137"/>
      <c r="GIP67" s="137"/>
      <c r="GIQ67" s="137"/>
      <c r="GIR67" s="137"/>
      <c r="GIS67" s="137"/>
      <c r="GIT67" s="137"/>
      <c r="GIU67" s="137"/>
      <c r="GIV67" s="137"/>
      <c r="GIW67" s="137"/>
      <c r="GIX67" s="137"/>
      <c r="GIY67" s="137"/>
      <c r="GIZ67" s="137"/>
      <c r="GJA67" s="137"/>
      <c r="GJB67" s="137"/>
      <c r="GJC67" s="137"/>
      <c r="GJD67" s="137"/>
      <c r="GJE67" s="137"/>
      <c r="GJF67" s="137"/>
      <c r="GJG67" s="137"/>
      <c r="GJH67" s="137"/>
      <c r="GJI67" s="137"/>
      <c r="GJJ67" s="137"/>
      <c r="GJK67" s="137"/>
      <c r="GJL67" s="137"/>
      <c r="GJM67" s="137"/>
      <c r="GJN67" s="137"/>
      <c r="GJO67" s="137"/>
      <c r="GJP67" s="137"/>
      <c r="GJQ67" s="137"/>
      <c r="GJR67" s="137"/>
      <c r="GJS67" s="137"/>
      <c r="GJT67" s="137"/>
      <c r="GJU67" s="137"/>
      <c r="GJV67" s="137"/>
      <c r="GJW67" s="137"/>
      <c r="GJX67" s="137"/>
      <c r="GJY67" s="137"/>
      <c r="GJZ67" s="137"/>
      <c r="GKA67" s="137"/>
      <c r="GKB67" s="137"/>
      <c r="GKC67" s="137"/>
      <c r="GKD67" s="137"/>
      <c r="GKE67" s="137"/>
      <c r="GKF67" s="137"/>
      <c r="GKG67" s="137"/>
      <c r="GKH67" s="137"/>
      <c r="GKI67" s="137"/>
      <c r="GKJ67" s="137"/>
      <c r="GKK67" s="137"/>
      <c r="GKL67" s="137"/>
      <c r="GKM67" s="137"/>
      <c r="GKN67" s="137"/>
      <c r="GKO67" s="137"/>
      <c r="GKP67" s="137"/>
      <c r="GKQ67" s="137"/>
      <c r="GKR67" s="137"/>
      <c r="GKS67" s="137"/>
      <c r="GKT67" s="137"/>
      <c r="GKU67" s="137"/>
      <c r="GKV67" s="137"/>
      <c r="GKW67" s="137"/>
      <c r="GKX67" s="137"/>
      <c r="GKY67" s="137"/>
      <c r="GKZ67" s="137"/>
      <c r="GLA67" s="137"/>
      <c r="GLB67" s="137"/>
      <c r="GLC67" s="137"/>
      <c r="GLD67" s="137"/>
      <c r="GLE67" s="137"/>
      <c r="GLF67" s="137"/>
      <c r="GLG67" s="137"/>
      <c r="GLH67" s="137"/>
      <c r="GLI67" s="137"/>
      <c r="GLJ67" s="137"/>
      <c r="GLK67" s="137"/>
      <c r="GLL67" s="137"/>
      <c r="GLM67" s="137"/>
      <c r="GLN67" s="137"/>
      <c r="GLO67" s="137"/>
      <c r="GLP67" s="137"/>
      <c r="GLQ67" s="137"/>
      <c r="GLR67" s="137"/>
      <c r="GLS67" s="137"/>
      <c r="GLT67" s="137"/>
      <c r="GLU67" s="137"/>
      <c r="GLV67" s="137"/>
      <c r="GLW67" s="137"/>
      <c r="GLX67" s="137"/>
      <c r="GLY67" s="137"/>
      <c r="GLZ67" s="137"/>
      <c r="GMA67" s="137"/>
      <c r="GMB67" s="137"/>
      <c r="GMC67" s="137"/>
      <c r="GMD67" s="137"/>
      <c r="GME67" s="137"/>
      <c r="GMF67" s="137"/>
      <c r="GMG67" s="137"/>
      <c r="GMH67" s="137"/>
      <c r="GMI67" s="137"/>
      <c r="GMJ67" s="137"/>
      <c r="GMK67" s="137"/>
      <c r="GML67" s="137"/>
      <c r="GMM67" s="137"/>
      <c r="GMN67" s="137"/>
      <c r="GMO67" s="137"/>
      <c r="GMP67" s="137"/>
      <c r="GMQ67" s="137"/>
      <c r="GMR67" s="137"/>
      <c r="GMS67" s="137"/>
      <c r="GMT67" s="137"/>
      <c r="GMU67" s="137"/>
      <c r="GMV67" s="137"/>
      <c r="GMW67" s="137"/>
      <c r="GMX67" s="137"/>
      <c r="GMY67" s="137"/>
      <c r="GMZ67" s="137"/>
      <c r="GNA67" s="137"/>
      <c r="GNB67" s="137"/>
      <c r="GNC67" s="137"/>
      <c r="GND67" s="137"/>
      <c r="GNE67" s="137"/>
      <c r="GNF67" s="137"/>
      <c r="GNG67" s="137"/>
      <c r="GNH67" s="137"/>
      <c r="GNI67" s="137"/>
      <c r="GNJ67" s="137"/>
      <c r="GNK67" s="137"/>
      <c r="GNL67" s="137"/>
      <c r="GNM67" s="137"/>
      <c r="GNN67" s="137"/>
      <c r="GNO67" s="137"/>
      <c r="GNP67" s="137"/>
      <c r="GNQ67" s="137"/>
      <c r="GNR67" s="137"/>
      <c r="GNS67" s="137"/>
      <c r="GNT67" s="137"/>
      <c r="GNU67" s="137"/>
      <c r="GNV67" s="137"/>
      <c r="GNW67" s="137"/>
      <c r="GNX67" s="137"/>
      <c r="GNY67" s="137"/>
      <c r="GNZ67" s="137"/>
      <c r="GOA67" s="137"/>
      <c r="GOB67" s="137"/>
      <c r="GOC67" s="137"/>
      <c r="GOD67" s="137"/>
      <c r="GOE67" s="137"/>
      <c r="GOF67" s="137"/>
      <c r="GOG67" s="137"/>
      <c r="GOH67" s="137"/>
      <c r="GOI67" s="137"/>
      <c r="GOJ67" s="137"/>
      <c r="GOK67" s="137"/>
      <c r="GOL67" s="137"/>
      <c r="GOM67" s="137"/>
      <c r="GON67" s="137"/>
      <c r="GOO67" s="137"/>
      <c r="GOP67" s="137"/>
      <c r="GOQ67" s="137"/>
      <c r="GOR67" s="137"/>
      <c r="GOS67" s="137"/>
      <c r="GOT67" s="137"/>
      <c r="GOU67" s="137"/>
      <c r="GOV67" s="137"/>
      <c r="GOW67" s="137"/>
      <c r="GOX67" s="137"/>
      <c r="GOY67" s="137"/>
      <c r="GOZ67" s="137"/>
      <c r="GPA67" s="137"/>
      <c r="GPB67" s="137"/>
      <c r="GPC67" s="137"/>
      <c r="GPD67" s="137"/>
      <c r="GPE67" s="137"/>
      <c r="GPF67" s="137"/>
      <c r="GPG67" s="137"/>
      <c r="GPH67" s="137"/>
      <c r="GPI67" s="137"/>
      <c r="GPJ67" s="137"/>
      <c r="GPK67" s="137"/>
      <c r="GPL67" s="137"/>
      <c r="GPM67" s="137"/>
      <c r="GPN67" s="137"/>
      <c r="GPO67" s="137"/>
      <c r="GPP67" s="137"/>
      <c r="GPQ67" s="137"/>
      <c r="GPR67" s="137"/>
      <c r="GPS67" s="137"/>
      <c r="GPT67" s="137"/>
      <c r="GPU67" s="137"/>
      <c r="GPV67" s="137"/>
      <c r="GPW67" s="137"/>
      <c r="GPX67" s="137"/>
      <c r="GPY67" s="137"/>
      <c r="GPZ67" s="137"/>
      <c r="GQA67" s="137"/>
      <c r="GQB67" s="137"/>
      <c r="GQC67" s="137"/>
      <c r="GQD67" s="137"/>
      <c r="GQE67" s="137"/>
      <c r="GQF67" s="137"/>
      <c r="GQG67" s="137"/>
      <c r="GQH67" s="137"/>
      <c r="GQI67" s="137"/>
      <c r="GQJ67" s="137"/>
      <c r="GQK67" s="137"/>
      <c r="GQL67" s="137"/>
      <c r="GQM67" s="137"/>
      <c r="GQN67" s="137"/>
      <c r="GQO67" s="137"/>
      <c r="GQP67" s="137"/>
      <c r="GQQ67" s="137"/>
      <c r="GQR67" s="137"/>
      <c r="GQS67" s="137"/>
      <c r="GQT67" s="137"/>
      <c r="GQU67" s="137"/>
      <c r="GQV67" s="137"/>
      <c r="GQW67" s="137"/>
      <c r="GQX67" s="137"/>
      <c r="GQY67" s="137"/>
      <c r="GQZ67" s="137"/>
      <c r="GRA67" s="137"/>
      <c r="GRB67" s="137"/>
      <c r="GRC67" s="137"/>
      <c r="GRD67" s="137"/>
      <c r="GRE67" s="137"/>
      <c r="GRF67" s="137"/>
      <c r="GRG67" s="137"/>
      <c r="GRH67" s="137"/>
      <c r="GRI67" s="137"/>
      <c r="GRJ67" s="137"/>
      <c r="GRK67" s="137"/>
      <c r="GRL67" s="137"/>
      <c r="GRM67" s="137"/>
      <c r="GRN67" s="137"/>
      <c r="GRO67" s="137"/>
      <c r="GRP67" s="137"/>
      <c r="GRQ67" s="137"/>
      <c r="GRR67" s="137"/>
      <c r="GRS67" s="137"/>
      <c r="GRT67" s="137"/>
      <c r="GRU67" s="137"/>
      <c r="GRV67" s="137"/>
      <c r="GRW67" s="137"/>
      <c r="GRX67" s="137"/>
      <c r="GRY67" s="137"/>
      <c r="GRZ67" s="137"/>
      <c r="GSA67" s="137"/>
      <c r="GSB67" s="137"/>
      <c r="GSC67" s="137"/>
      <c r="GSD67" s="137"/>
      <c r="GSE67" s="137"/>
      <c r="GSF67" s="137"/>
      <c r="GSG67" s="137"/>
      <c r="GSH67" s="137"/>
      <c r="GSI67" s="137"/>
      <c r="GSJ67" s="137"/>
      <c r="GSK67" s="137"/>
      <c r="GSL67" s="137"/>
      <c r="GSM67" s="137"/>
      <c r="GSN67" s="137"/>
      <c r="GSO67" s="137"/>
      <c r="GSP67" s="137"/>
      <c r="GSQ67" s="137"/>
      <c r="GSR67" s="137"/>
      <c r="GSS67" s="137"/>
      <c r="GST67" s="137"/>
      <c r="GSU67" s="137"/>
      <c r="GSV67" s="137"/>
      <c r="GSW67" s="137"/>
      <c r="GSX67" s="137"/>
      <c r="GSY67" s="137"/>
      <c r="GSZ67" s="137"/>
      <c r="GTA67" s="137"/>
      <c r="GTB67" s="137"/>
      <c r="GTC67" s="137"/>
      <c r="GTD67" s="137"/>
      <c r="GTE67" s="137"/>
      <c r="GTF67" s="137"/>
      <c r="GTG67" s="137"/>
      <c r="GTH67" s="137"/>
      <c r="GTI67" s="137"/>
      <c r="GTJ67" s="137"/>
      <c r="GTK67" s="137"/>
      <c r="GTL67" s="137"/>
      <c r="GTM67" s="137"/>
      <c r="GTN67" s="137"/>
      <c r="GTO67" s="137"/>
      <c r="GTP67" s="137"/>
      <c r="GTQ67" s="137"/>
      <c r="GTR67" s="137"/>
      <c r="GTS67" s="137"/>
      <c r="GTT67" s="137"/>
      <c r="GTU67" s="137"/>
      <c r="GTV67" s="137"/>
      <c r="GTW67" s="137"/>
      <c r="GTX67" s="137"/>
      <c r="GTY67" s="137"/>
      <c r="GTZ67" s="137"/>
      <c r="GUA67" s="137"/>
      <c r="GUB67" s="137"/>
      <c r="GUC67" s="137"/>
      <c r="GUD67" s="137"/>
      <c r="GUE67" s="137"/>
      <c r="GUF67" s="137"/>
      <c r="GUG67" s="137"/>
      <c r="GUH67" s="137"/>
      <c r="GUI67" s="137"/>
      <c r="GUJ67" s="137"/>
      <c r="GUK67" s="137"/>
      <c r="GUL67" s="137"/>
      <c r="GUM67" s="137"/>
      <c r="GUN67" s="137"/>
      <c r="GUO67" s="137"/>
      <c r="GUP67" s="137"/>
      <c r="GUQ67" s="137"/>
      <c r="GUR67" s="137"/>
      <c r="GUS67" s="137"/>
      <c r="GUT67" s="137"/>
      <c r="GUU67" s="137"/>
      <c r="GUV67" s="137"/>
      <c r="GUW67" s="137"/>
      <c r="GUX67" s="137"/>
      <c r="GUY67" s="137"/>
      <c r="GUZ67" s="137"/>
      <c r="GVA67" s="137"/>
      <c r="GVB67" s="137"/>
      <c r="GVC67" s="137"/>
      <c r="GVD67" s="137"/>
      <c r="GVE67" s="137"/>
      <c r="GVF67" s="137"/>
      <c r="GVG67" s="137"/>
      <c r="GVH67" s="137"/>
      <c r="GVI67" s="137"/>
      <c r="GVJ67" s="137"/>
      <c r="GVK67" s="137"/>
      <c r="GVL67" s="137"/>
      <c r="GVM67" s="137"/>
      <c r="GVN67" s="137"/>
      <c r="GVO67" s="137"/>
      <c r="GVP67" s="137"/>
      <c r="GVQ67" s="137"/>
      <c r="GVR67" s="137"/>
      <c r="GVS67" s="137"/>
      <c r="GVT67" s="137"/>
      <c r="GVU67" s="137"/>
      <c r="GVV67" s="137"/>
      <c r="GVW67" s="137"/>
      <c r="GVX67" s="137"/>
      <c r="GVY67" s="137"/>
      <c r="GVZ67" s="137"/>
      <c r="GWA67" s="137"/>
      <c r="GWB67" s="137"/>
      <c r="GWC67" s="137"/>
      <c r="GWD67" s="137"/>
      <c r="GWE67" s="137"/>
      <c r="GWF67" s="137"/>
      <c r="GWG67" s="137"/>
      <c r="GWH67" s="137"/>
      <c r="GWI67" s="137"/>
      <c r="GWJ67" s="137"/>
      <c r="GWK67" s="137"/>
      <c r="GWL67" s="137"/>
      <c r="GWM67" s="137"/>
      <c r="GWN67" s="137"/>
      <c r="GWO67" s="137"/>
      <c r="GWP67" s="137"/>
      <c r="GWQ67" s="137"/>
      <c r="GWR67" s="137"/>
      <c r="GWS67" s="137"/>
      <c r="GWT67" s="137"/>
      <c r="GWU67" s="137"/>
      <c r="GWV67" s="137"/>
      <c r="GWW67" s="137"/>
      <c r="GWX67" s="137"/>
      <c r="GWY67" s="137"/>
      <c r="GWZ67" s="137"/>
      <c r="GXA67" s="137"/>
      <c r="GXB67" s="137"/>
      <c r="GXC67" s="137"/>
      <c r="GXD67" s="137"/>
      <c r="GXE67" s="137"/>
      <c r="GXF67" s="137"/>
      <c r="GXG67" s="137"/>
      <c r="GXH67" s="137"/>
      <c r="GXI67" s="137"/>
      <c r="GXJ67" s="137"/>
      <c r="GXK67" s="137"/>
      <c r="GXL67" s="137"/>
      <c r="GXM67" s="137"/>
      <c r="GXN67" s="137"/>
      <c r="GXO67" s="137"/>
      <c r="GXP67" s="137"/>
      <c r="GXQ67" s="137"/>
      <c r="GXR67" s="137"/>
      <c r="GXS67" s="137"/>
      <c r="GXT67" s="137"/>
      <c r="GXU67" s="137"/>
      <c r="GXV67" s="137"/>
      <c r="GXW67" s="137"/>
      <c r="GXX67" s="137"/>
      <c r="GXY67" s="137"/>
      <c r="GXZ67" s="137"/>
      <c r="GYA67" s="137"/>
      <c r="GYB67" s="137"/>
      <c r="GYC67" s="137"/>
      <c r="GYD67" s="137"/>
      <c r="GYE67" s="137"/>
      <c r="GYF67" s="137"/>
      <c r="GYG67" s="137"/>
      <c r="GYH67" s="137"/>
      <c r="GYI67" s="137"/>
      <c r="GYJ67" s="137"/>
      <c r="GYK67" s="137"/>
      <c r="GYL67" s="137"/>
      <c r="GYM67" s="137"/>
      <c r="GYN67" s="137"/>
      <c r="GYO67" s="137"/>
      <c r="GYP67" s="137"/>
      <c r="GYQ67" s="137"/>
      <c r="GYR67" s="137"/>
      <c r="GYS67" s="137"/>
      <c r="GYT67" s="137"/>
      <c r="GYU67" s="137"/>
      <c r="GYV67" s="137"/>
      <c r="GYW67" s="137"/>
      <c r="GYX67" s="137"/>
      <c r="GYY67" s="137"/>
      <c r="GYZ67" s="137"/>
      <c r="GZA67" s="137"/>
      <c r="GZB67" s="137"/>
      <c r="GZC67" s="137"/>
      <c r="GZD67" s="137"/>
      <c r="GZE67" s="137"/>
      <c r="GZF67" s="137"/>
      <c r="GZG67" s="137"/>
      <c r="GZH67" s="137"/>
      <c r="GZI67" s="137"/>
      <c r="GZJ67" s="137"/>
      <c r="GZK67" s="137"/>
      <c r="GZL67" s="137"/>
      <c r="GZM67" s="137"/>
      <c r="GZN67" s="137"/>
      <c r="GZO67" s="137"/>
      <c r="GZP67" s="137"/>
      <c r="GZQ67" s="137"/>
      <c r="GZR67" s="137"/>
      <c r="GZS67" s="137"/>
      <c r="GZT67" s="137"/>
      <c r="GZU67" s="137"/>
      <c r="GZV67" s="137"/>
      <c r="GZW67" s="137"/>
      <c r="GZX67" s="137"/>
      <c r="GZY67" s="137"/>
      <c r="GZZ67" s="137"/>
      <c r="HAA67" s="137"/>
      <c r="HAB67" s="137"/>
      <c r="HAC67" s="137"/>
      <c r="HAD67" s="137"/>
      <c r="HAE67" s="137"/>
      <c r="HAF67" s="137"/>
      <c r="HAG67" s="137"/>
      <c r="HAH67" s="137"/>
      <c r="HAI67" s="137"/>
      <c r="HAJ67" s="137"/>
      <c r="HAK67" s="137"/>
      <c r="HAL67" s="137"/>
      <c r="HAM67" s="137"/>
      <c r="HAN67" s="137"/>
      <c r="HAO67" s="137"/>
      <c r="HAP67" s="137"/>
      <c r="HAQ67" s="137"/>
      <c r="HAR67" s="137"/>
      <c r="HAS67" s="137"/>
      <c r="HAT67" s="137"/>
      <c r="HAU67" s="137"/>
      <c r="HAV67" s="137"/>
      <c r="HAW67" s="137"/>
      <c r="HAX67" s="137"/>
      <c r="HAY67" s="137"/>
      <c r="HAZ67" s="137"/>
      <c r="HBA67" s="137"/>
      <c r="HBB67" s="137"/>
      <c r="HBC67" s="137"/>
      <c r="HBD67" s="137"/>
      <c r="HBE67" s="137"/>
      <c r="HBF67" s="137"/>
      <c r="HBG67" s="137"/>
      <c r="HBH67" s="137"/>
      <c r="HBI67" s="137"/>
      <c r="HBJ67" s="137"/>
      <c r="HBK67" s="137"/>
      <c r="HBL67" s="137"/>
      <c r="HBM67" s="137"/>
      <c r="HBN67" s="137"/>
      <c r="HBO67" s="137"/>
      <c r="HBP67" s="137"/>
      <c r="HBQ67" s="137"/>
      <c r="HBR67" s="137"/>
      <c r="HBS67" s="137"/>
      <c r="HBT67" s="137"/>
      <c r="HBU67" s="137"/>
      <c r="HBV67" s="137"/>
      <c r="HBW67" s="137"/>
      <c r="HBX67" s="137"/>
      <c r="HBY67" s="137"/>
      <c r="HBZ67" s="137"/>
      <c r="HCA67" s="137"/>
      <c r="HCB67" s="137"/>
      <c r="HCC67" s="137"/>
      <c r="HCD67" s="137"/>
      <c r="HCE67" s="137"/>
      <c r="HCF67" s="137"/>
      <c r="HCG67" s="137"/>
      <c r="HCH67" s="137"/>
      <c r="HCI67" s="137"/>
      <c r="HCJ67" s="137"/>
      <c r="HCK67" s="137"/>
      <c r="HCL67" s="137"/>
      <c r="HCM67" s="137"/>
      <c r="HCN67" s="137"/>
      <c r="HCO67" s="137"/>
      <c r="HCP67" s="137"/>
      <c r="HCQ67" s="137"/>
      <c r="HCR67" s="137"/>
      <c r="HCS67" s="137"/>
      <c r="HCT67" s="137"/>
      <c r="HCU67" s="137"/>
      <c r="HCV67" s="137"/>
      <c r="HCW67" s="137"/>
      <c r="HCX67" s="137"/>
      <c r="HCY67" s="137"/>
      <c r="HCZ67" s="137"/>
      <c r="HDA67" s="137"/>
      <c r="HDB67" s="137"/>
      <c r="HDC67" s="137"/>
      <c r="HDD67" s="137"/>
      <c r="HDE67" s="137"/>
      <c r="HDF67" s="137"/>
      <c r="HDG67" s="137"/>
      <c r="HDH67" s="137"/>
      <c r="HDI67" s="137"/>
      <c r="HDJ67" s="137"/>
      <c r="HDK67" s="137"/>
      <c r="HDL67" s="137"/>
      <c r="HDM67" s="137"/>
      <c r="HDN67" s="137"/>
      <c r="HDO67" s="137"/>
      <c r="HDP67" s="137"/>
      <c r="HDQ67" s="137"/>
      <c r="HDR67" s="137"/>
      <c r="HDS67" s="137"/>
      <c r="HDT67" s="137"/>
      <c r="HDU67" s="137"/>
      <c r="HDV67" s="137"/>
      <c r="HDW67" s="137"/>
      <c r="HDX67" s="137"/>
      <c r="HDY67" s="137"/>
      <c r="HDZ67" s="137"/>
      <c r="HEA67" s="137"/>
      <c r="HEB67" s="137"/>
      <c r="HEC67" s="137"/>
      <c r="HED67" s="137"/>
      <c r="HEE67" s="137"/>
      <c r="HEF67" s="137"/>
      <c r="HEG67" s="137"/>
      <c r="HEH67" s="137"/>
      <c r="HEI67" s="137"/>
      <c r="HEJ67" s="137"/>
      <c r="HEK67" s="137"/>
      <c r="HEL67" s="137"/>
      <c r="HEM67" s="137"/>
      <c r="HEN67" s="137"/>
      <c r="HEO67" s="137"/>
      <c r="HEP67" s="137"/>
      <c r="HEQ67" s="137"/>
      <c r="HER67" s="137"/>
      <c r="HES67" s="137"/>
      <c r="HET67" s="137"/>
      <c r="HEU67" s="137"/>
      <c r="HEV67" s="137"/>
      <c r="HEW67" s="137"/>
      <c r="HEX67" s="137"/>
      <c r="HEY67" s="137"/>
      <c r="HEZ67" s="137"/>
      <c r="HFA67" s="137"/>
      <c r="HFB67" s="137"/>
      <c r="HFC67" s="137"/>
      <c r="HFD67" s="137"/>
      <c r="HFE67" s="137"/>
      <c r="HFF67" s="137"/>
      <c r="HFG67" s="137"/>
      <c r="HFH67" s="137"/>
      <c r="HFI67" s="137"/>
      <c r="HFJ67" s="137"/>
      <c r="HFK67" s="137"/>
      <c r="HFL67" s="137"/>
      <c r="HFM67" s="137"/>
      <c r="HFN67" s="137"/>
      <c r="HFO67" s="137"/>
      <c r="HFP67" s="137"/>
      <c r="HFQ67" s="137"/>
      <c r="HFR67" s="137"/>
      <c r="HFS67" s="137"/>
      <c r="HFT67" s="137"/>
      <c r="HFU67" s="137"/>
      <c r="HFV67" s="137"/>
      <c r="HFW67" s="137"/>
      <c r="HFX67" s="137"/>
      <c r="HFY67" s="137"/>
      <c r="HFZ67" s="137"/>
      <c r="HGA67" s="137"/>
      <c r="HGB67" s="137"/>
      <c r="HGC67" s="137"/>
      <c r="HGD67" s="137"/>
      <c r="HGE67" s="137"/>
      <c r="HGF67" s="137"/>
      <c r="HGG67" s="137"/>
      <c r="HGH67" s="137"/>
      <c r="HGI67" s="137"/>
      <c r="HGJ67" s="137"/>
      <c r="HGK67" s="137"/>
      <c r="HGL67" s="137"/>
      <c r="HGM67" s="137"/>
      <c r="HGN67" s="137"/>
      <c r="HGO67" s="137"/>
      <c r="HGP67" s="137"/>
      <c r="HGQ67" s="137"/>
      <c r="HGR67" s="137"/>
      <c r="HGS67" s="137"/>
      <c r="HGT67" s="137"/>
      <c r="HGU67" s="137"/>
      <c r="HGV67" s="137"/>
      <c r="HGW67" s="137"/>
      <c r="HGX67" s="137"/>
      <c r="HGY67" s="137"/>
      <c r="HGZ67" s="137"/>
      <c r="HHA67" s="137"/>
      <c r="HHB67" s="137"/>
      <c r="HHC67" s="137"/>
      <c r="HHD67" s="137"/>
      <c r="HHE67" s="137"/>
      <c r="HHF67" s="137"/>
      <c r="HHG67" s="137"/>
      <c r="HHH67" s="137"/>
      <c r="HHI67" s="137"/>
      <c r="HHJ67" s="137"/>
      <c r="HHK67" s="137"/>
      <c r="HHL67" s="137"/>
      <c r="HHM67" s="137"/>
      <c r="HHN67" s="137"/>
      <c r="HHO67" s="137"/>
      <c r="HHP67" s="137"/>
      <c r="HHQ67" s="137"/>
      <c r="HHR67" s="137"/>
      <c r="HHS67" s="137"/>
      <c r="HHT67" s="137"/>
      <c r="HHU67" s="137"/>
      <c r="HHV67" s="137"/>
      <c r="HHW67" s="137"/>
      <c r="HHX67" s="137"/>
      <c r="HHY67" s="137"/>
      <c r="HHZ67" s="137"/>
      <c r="HIA67" s="137"/>
      <c r="HIB67" s="137"/>
      <c r="HIC67" s="137"/>
      <c r="HID67" s="137"/>
      <c r="HIE67" s="137"/>
      <c r="HIF67" s="137"/>
      <c r="HIG67" s="137"/>
      <c r="HIH67" s="137"/>
      <c r="HII67" s="137"/>
      <c r="HIJ67" s="137"/>
      <c r="HIK67" s="137"/>
      <c r="HIL67" s="137"/>
      <c r="HIM67" s="137"/>
      <c r="HIN67" s="137"/>
      <c r="HIO67" s="137"/>
      <c r="HIP67" s="137"/>
      <c r="HIQ67" s="137"/>
      <c r="HIR67" s="137"/>
      <c r="HIS67" s="137"/>
      <c r="HIT67" s="137"/>
      <c r="HIU67" s="137"/>
      <c r="HIV67" s="137"/>
      <c r="HIW67" s="137"/>
      <c r="HIX67" s="137"/>
      <c r="HIY67" s="137"/>
      <c r="HIZ67" s="137"/>
      <c r="HJA67" s="137"/>
      <c r="HJB67" s="137"/>
      <c r="HJC67" s="137"/>
      <c r="HJD67" s="137"/>
      <c r="HJE67" s="137"/>
      <c r="HJF67" s="137"/>
      <c r="HJG67" s="137"/>
      <c r="HJH67" s="137"/>
      <c r="HJI67" s="137"/>
      <c r="HJJ67" s="137"/>
      <c r="HJK67" s="137"/>
      <c r="HJL67" s="137"/>
      <c r="HJM67" s="137"/>
      <c r="HJN67" s="137"/>
      <c r="HJO67" s="137"/>
      <c r="HJP67" s="137"/>
      <c r="HJQ67" s="137"/>
      <c r="HJR67" s="137"/>
      <c r="HJS67" s="137"/>
      <c r="HJT67" s="137"/>
      <c r="HJU67" s="137"/>
      <c r="HJV67" s="137"/>
      <c r="HJW67" s="137"/>
      <c r="HJX67" s="137"/>
      <c r="HJY67" s="137"/>
      <c r="HJZ67" s="137"/>
      <c r="HKA67" s="137"/>
      <c r="HKB67" s="137"/>
      <c r="HKC67" s="137"/>
      <c r="HKD67" s="137"/>
      <c r="HKE67" s="137"/>
      <c r="HKF67" s="137"/>
      <c r="HKG67" s="137"/>
      <c r="HKH67" s="137"/>
      <c r="HKI67" s="137"/>
      <c r="HKJ67" s="137"/>
      <c r="HKK67" s="137"/>
      <c r="HKL67" s="137"/>
      <c r="HKM67" s="137"/>
      <c r="HKN67" s="137"/>
      <c r="HKO67" s="137"/>
      <c r="HKP67" s="137"/>
      <c r="HKQ67" s="137"/>
      <c r="HKR67" s="137"/>
      <c r="HKS67" s="137"/>
      <c r="HKT67" s="137"/>
      <c r="HKU67" s="137"/>
      <c r="HKV67" s="137"/>
      <c r="HKW67" s="137"/>
      <c r="HKX67" s="137"/>
      <c r="HKY67" s="137"/>
      <c r="HKZ67" s="137"/>
      <c r="HLA67" s="137"/>
      <c r="HLB67" s="137"/>
      <c r="HLC67" s="137"/>
      <c r="HLD67" s="137"/>
      <c r="HLE67" s="137"/>
      <c r="HLF67" s="137"/>
      <c r="HLG67" s="137"/>
      <c r="HLH67" s="137"/>
      <c r="HLI67" s="137"/>
      <c r="HLJ67" s="137"/>
      <c r="HLK67" s="137"/>
      <c r="HLL67" s="137"/>
      <c r="HLM67" s="137"/>
      <c r="HLN67" s="137"/>
      <c r="HLO67" s="137"/>
      <c r="HLP67" s="137"/>
      <c r="HLQ67" s="137"/>
      <c r="HLR67" s="137"/>
      <c r="HLS67" s="137"/>
      <c r="HLT67" s="137"/>
      <c r="HLU67" s="137"/>
      <c r="HLV67" s="137"/>
      <c r="HLW67" s="137"/>
      <c r="HLX67" s="137"/>
      <c r="HLY67" s="137"/>
      <c r="HLZ67" s="137"/>
      <c r="HMA67" s="137"/>
      <c r="HMB67" s="137"/>
      <c r="HMC67" s="137"/>
      <c r="HMD67" s="137"/>
      <c r="HME67" s="137"/>
      <c r="HMF67" s="137"/>
      <c r="HMG67" s="137"/>
      <c r="HMH67" s="137"/>
      <c r="HMI67" s="137"/>
      <c r="HMJ67" s="137"/>
      <c r="HMK67" s="137"/>
      <c r="HML67" s="137"/>
      <c r="HMM67" s="137"/>
      <c r="HMN67" s="137"/>
      <c r="HMO67" s="137"/>
      <c r="HMP67" s="137"/>
      <c r="HMQ67" s="137"/>
      <c r="HMR67" s="137"/>
      <c r="HMS67" s="137"/>
      <c r="HMT67" s="137"/>
      <c r="HMU67" s="137"/>
      <c r="HMV67" s="137"/>
      <c r="HMW67" s="137"/>
      <c r="HMX67" s="137"/>
      <c r="HMY67" s="137"/>
      <c r="HMZ67" s="137"/>
      <c r="HNA67" s="137"/>
      <c r="HNB67" s="137"/>
      <c r="HNC67" s="137"/>
      <c r="HND67" s="137"/>
      <c r="HNE67" s="137"/>
      <c r="HNF67" s="137"/>
      <c r="HNG67" s="137"/>
      <c r="HNH67" s="137"/>
      <c r="HNI67" s="137"/>
      <c r="HNJ67" s="137"/>
      <c r="HNK67" s="137"/>
      <c r="HNL67" s="137"/>
      <c r="HNM67" s="137"/>
      <c r="HNN67" s="137"/>
      <c r="HNO67" s="137"/>
      <c r="HNP67" s="137"/>
      <c r="HNQ67" s="137"/>
      <c r="HNR67" s="137"/>
      <c r="HNS67" s="137"/>
      <c r="HNT67" s="137"/>
      <c r="HNU67" s="137"/>
      <c r="HNV67" s="137"/>
      <c r="HNW67" s="137"/>
      <c r="HNX67" s="137"/>
      <c r="HNY67" s="137"/>
      <c r="HNZ67" s="137"/>
      <c r="HOA67" s="137"/>
      <c r="HOB67" s="137"/>
      <c r="HOC67" s="137"/>
      <c r="HOD67" s="137"/>
      <c r="HOE67" s="137"/>
      <c r="HOF67" s="137"/>
      <c r="HOG67" s="137"/>
      <c r="HOH67" s="137"/>
      <c r="HOI67" s="137"/>
      <c r="HOJ67" s="137"/>
      <c r="HOK67" s="137"/>
      <c r="HOL67" s="137"/>
      <c r="HOM67" s="137"/>
      <c r="HON67" s="137"/>
      <c r="HOO67" s="137"/>
      <c r="HOP67" s="137"/>
      <c r="HOQ67" s="137"/>
      <c r="HOR67" s="137"/>
      <c r="HOS67" s="137"/>
      <c r="HOT67" s="137"/>
      <c r="HOU67" s="137"/>
      <c r="HOV67" s="137"/>
      <c r="HOW67" s="137"/>
      <c r="HOX67" s="137"/>
      <c r="HOY67" s="137"/>
      <c r="HOZ67" s="137"/>
      <c r="HPA67" s="137"/>
      <c r="HPB67" s="137"/>
      <c r="HPC67" s="137"/>
      <c r="HPD67" s="137"/>
      <c r="HPE67" s="137"/>
      <c r="HPF67" s="137"/>
      <c r="HPG67" s="137"/>
      <c r="HPH67" s="137"/>
      <c r="HPI67" s="137"/>
      <c r="HPJ67" s="137"/>
      <c r="HPK67" s="137"/>
      <c r="HPL67" s="137"/>
      <c r="HPM67" s="137"/>
      <c r="HPN67" s="137"/>
      <c r="HPO67" s="137"/>
      <c r="HPP67" s="137"/>
      <c r="HPQ67" s="137"/>
      <c r="HPR67" s="137"/>
      <c r="HPS67" s="137"/>
      <c r="HPT67" s="137"/>
      <c r="HPU67" s="137"/>
      <c r="HPV67" s="137"/>
      <c r="HPW67" s="137"/>
      <c r="HPX67" s="137"/>
      <c r="HPY67" s="137"/>
      <c r="HPZ67" s="137"/>
      <c r="HQA67" s="137"/>
      <c r="HQB67" s="137"/>
      <c r="HQC67" s="137"/>
      <c r="HQD67" s="137"/>
      <c r="HQE67" s="137"/>
      <c r="HQF67" s="137"/>
      <c r="HQG67" s="137"/>
      <c r="HQH67" s="137"/>
      <c r="HQI67" s="137"/>
      <c r="HQJ67" s="137"/>
      <c r="HQK67" s="137"/>
      <c r="HQL67" s="137"/>
      <c r="HQM67" s="137"/>
      <c r="HQN67" s="137"/>
      <c r="HQO67" s="137"/>
      <c r="HQP67" s="137"/>
      <c r="HQQ67" s="137"/>
      <c r="HQR67" s="137"/>
      <c r="HQS67" s="137"/>
      <c r="HQT67" s="137"/>
      <c r="HQU67" s="137"/>
      <c r="HQV67" s="137"/>
      <c r="HQW67" s="137"/>
      <c r="HQX67" s="137"/>
      <c r="HQY67" s="137"/>
      <c r="HQZ67" s="137"/>
      <c r="HRA67" s="137"/>
      <c r="HRB67" s="137"/>
      <c r="HRC67" s="137"/>
      <c r="HRD67" s="137"/>
      <c r="HRE67" s="137"/>
      <c r="HRF67" s="137"/>
      <c r="HRG67" s="137"/>
      <c r="HRH67" s="137"/>
      <c r="HRI67" s="137"/>
      <c r="HRJ67" s="137"/>
      <c r="HRK67" s="137"/>
      <c r="HRL67" s="137"/>
      <c r="HRM67" s="137"/>
      <c r="HRN67" s="137"/>
      <c r="HRO67" s="137"/>
      <c r="HRP67" s="137"/>
      <c r="HRQ67" s="137"/>
      <c r="HRR67" s="137"/>
      <c r="HRS67" s="137"/>
      <c r="HRT67" s="137"/>
      <c r="HRU67" s="137"/>
      <c r="HRV67" s="137"/>
      <c r="HRW67" s="137"/>
      <c r="HRX67" s="137"/>
      <c r="HRY67" s="137"/>
      <c r="HRZ67" s="137"/>
      <c r="HSA67" s="137"/>
      <c r="HSB67" s="137"/>
      <c r="HSC67" s="137"/>
      <c r="HSD67" s="137"/>
      <c r="HSE67" s="137"/>
      <c r="HSF67" s="137"/>
      <c r="HSG67" s="137"/>
      <c r="HSH67" s="137"/>
      <c r="HSI67" s="137"/>
      <c r="HSJ67" s="137"/>
      <c r="HSK67" s="137"/>
      <c r="HSL67" s="137"/>
      <c r="HSM67" s="137"/>
      <c r="HSN67" s="137"/>
      <c r="HSO67" s="137"/>
      <c r="HSP67" s="137"/>
      <c r="HSQ67" s="137"/>
      <c r="HSR67" s="137"/>
      <c r="HSS67" s="137"/>
      <c r="HST67" s="137"/>
      <c r="HSU67" s="137"/>
      <c r="HSV67" s="137"/>
      <c r="HSW67" s="137"/>
      <c r="HSX67" s="137"/>
      <c r="HSY67" s="137"/>
      <c r="HSZ67" s="137"/>
      <c r="HTA67" s="137"/>
      <c r="HTB67" s="137"/>
      <c r="HTC67" s="137"/>
      <c r="HTD67" s="137"/>
      <c r="HTE67" s="137"/>
      <c r="HTF67" s="137"/>
      <c r="HTG67" s="137"/>
      <c r="HTH67" s="137"/>
      <c r="HTI67" s="137"/>
      <c r="HTJ67" s="137"/>
      <c r="HTK67" s="137"/>
      <c r="HTL67" s="137"/>
      <c r="HTM67" s="137"/>
      <c r="HTN67" s="137"/>
      <c r="HTO67" s="137"/>
      <c r="HTP67" s="137"/>
      <c r="HTQ67" s="137"/>
      <c r="HTR67" s="137"/>
      <c r="HTS67" s="137"/>
      <c r="HTT67" s="137"/>
      <c r="HTU67" s="137"/>
      <c r="HTV67" s="137"/>
      <c r="HTW67" s="137"/>
      <c r="HTX67" s="137"/>
      <c r="HTY67" s="137"/>
      <c r="HTZ67" s="137"/>
      <c r="HUA67" s="137"/>
      <c r="HUB67" s="137"/>
      <c r="HUC67" s="137"/>
      <c r="HUD67" s="137"/>
      <c r="HUE67" s="137"/>
      <c r="HUF67" s="137"/>
      <c r="HUG67" s="137"/>
      <c r="HUH67" s="137"/>
      <c r="HUI67" s="137"/>
      <c r="HUJ67" s="137"/>
      <c r="HUK67" s="137"/>
      <c r="HUL67" s="137"/>
      <c r="HUM67" s="137"/>
      <c r="HUN67" s="137"/>
      <c r="HUO67" s="137"/>
      <c r="HUP67" s="137"/>
      <c r="HUQ67" s="137"/>
      <c r="HUR67" s="137"/>
      <c r="HUS67" s="137"/>
      <c r="HUT67" s="137"/>
      <c r="HUU67" s="137"/>
      <c r="HUV67" s="137"/>
      <c r="HUW67" s="137"/>
      <c r="HUX67" s="137"/>
      <c r="HUY67" s="137"/>
      <c r="HUZ67" s="137"/>
      <c r="HVA67" s="137"/>
      <c r="HVB67" s="137"/>
      <c r="HVC67" s="137"/>
      <c r="HVD67" s="137"/>
      <c r="HVE67" s="137"/>
      <c r="HVF67" s="137"/>
      <c r="HVG67" s="137"/>
      <c r="HVH67" s="137"/>
      <c r="HVI67" s="137"/>
      <c r="HVJ67" s="137"/>
      <c r="HVK67" s="137"/>
      <c r="HVL67" s="137"/>
      <c r="HVM67" s="137"/>
      <c r="HVN67" s="137"/>
      <c r="HVO67" s="137"/>
      <c r="HVP67" s="137"/>
      <c r="HVQ67" s="137"/>
      <c r="HVR67" s="137"/>
      <c r="HVS67" s="137"/>
      <c r="HVT67" s="137"/>
      <c r="HVU67" s="137"/>
      <c r="HVV67" s="137"/>
      <c r="HVW67" s="137"/>
      <c r="HVX67" s="137"/>
      <c r="HVY67" s="137"/>
      <c r="HVZ67" s="137"/>
      <c r="HWA67" s="137"/>
      <c r="HWB67" s="137"/>
      <c r="HWC67" s="137"/>
      <c r="HWD67" s="137"/>
      <c r="HWE67" s="137"/>
      <c r="HWF67" s="137"/>
      <c r="HWG67" s="137"/>
      <c r="HWH67" s="137"/>
      <c r="HWI67" s="137"/>
      <c r="HWJ67" s="137"/>
      <c r="HWK67" s="137"/>
      <c r="HWL67" s="137"/>
      <c r="HWM67" s="137"/>
      <c r="HWN67" s="137"/>
      <c r="HWO67" s="137"/>
      <c r="HWP67" s="137"/>
      <c r="HWQ67" s="137"/>
      <c r="HWR67" s="137"/>
      <c r="HWS67" s="137"/>
      <c r="HWT67" s="137"/>
      <c r="HWU67" s="137"/>
      <c r="HWV67" s="137"/>
      <c r="HWW67" s="137"/>
      <c r="HWX67" s="137"/>
      <c r="HWY67" s="137"/>
      <c r="HWZ67" s="137"/>
      <c r="HXA67" s="137"/>
      <c r="HXB67" s="137"/>
      <c r="HXC67" s="137"/>
      <c r="HXD67" s="137"/>
      <c r="HXE67" s="137"/>
      <c r="HXF67" s="137"/>
      <c r="HXG67" s="137"/>
      <c r="HXH67" s="137"/>
      <c r="HXI67" s="137"/>
      <c r="HXJ67" s="137"/>
      <c r="HXK67" s="137"/>
      <c r="HXL67" s="137"/>
      <c r="HXM67" s="137"/>
      <c r="HXN67" s="137"/>
      <c r="HXO67" s="137"/>
      <c r="HXP67" s="137"/>
      <c r="HXQ67" s="137"/>
      <c r="HXR67" s="137"/>
      <c r="HXS67" s="137"/>
      <c r="HXT67" s="137"/>
      <c r="HXU67" s="137"/>
      <c r="HXV67" s="137"/>
      <c r="HXW67" s="137"/>
      <c r="HXX67" s="137"/>
      <c r="HXY67" s="137"/>
      <c r="HXZ67" s="137"/>
      <c r="HYA67" s="137"/>
      <c r="HYB67" s="137"/>
      <c r="HYC67" s="137"/>
      <c r="HYD67" s="137"/>
      <c r="HYE67" s="137"/>
      <c r="HYF67" s="137"/>
      <c r="HYG67" s="137"/>
      <c r="HYH67" s="137"/>
      <c r="HYI67" s="137"/>
      <c r="HYJ67" s="137"/>
      <c r="HYK67" s="137"/>
      <c r="HYL67" s="137"/>
      <c r="HYM67" s="137"/>
      <c r="HYN67" s="137"/>
      <c r="HYO67" s="137"/>
      <c r="HYP67" s="137"/>
      <c r="HYQ67" s="137"/>
      <c r="HYR67" s="137"/>
      <c r="HYS67" s="137"/>
      <c r="HYT67" s="137"/>
      <c r="HYU67" s="137"/>
      <c r="HYV67" s="137"/>
      <c r="HYW67" s="137"/>
      <c r="HYX67" s="137"/>
      <c r="HYY67" s="137"/>
      <c r="HYZ67" s="137"/>
      <c r="HZA67" s="137"/>
      <c r="HZB67" s="137"/>
      <c r="HZC67" s="137"/>
      <c r="HZD67" s="137"/>
      <c r="HZE67" s="137"/>
      <c r="HZF67" s="137"/>
      <c r="HZG67" s="137"/>
      <c r="HZH67" s="137"/>
      <c r="HZI67" s="137"/>
      <c r="HZJ67" s="137"/>
      <c r="HZK67" s="137"/>
      <c r="HZL67" s="137"/>
      <c r="HZM67" s="137"/>
      <c r="HZN67" s="137"/>
      <c r="HZO67" s="137"/>
      <c r="HZP67" s="137"/>
      <c r="HZQ67" s="137"/>
      <c r="HZR67" s="137"/>
      <c r="HZS67" s="137"/>
      <c r="HZT67" s="137"/>
      <c r="HZU67" s="137"/>
      <c r="HZV67" s="137"/>
      <c r="HZW67" s="137"/>
      <c r="HZX67" s="137"/>
      <c r="HZY67" s="137"/>
      <c r="HZZ67" s="137"/>
      <c r="IAA67" s="137"/>
      <c r="IAB67" s="137"/>
      <c r="IAC67" s="137"/>
      <c r="IAD67" s="137"/>
      <c r="IAE67" s="137"/>
      <c r="IAF67" s="137"/>
      <c r="IAG67" s="137"/>
      <c r="IAH67" s="137"/>
      <c r="IAI67" s="137"/>
      <c r="IAJ67" s="137"/>
      <c r="IAK67" s="137"/>
      <c r="IAL67" s="137"/>
      <c r="IAM67" s="137"/>
      <c r="IAN67" s="137"/>
      <c r="IAO67" s="137"/>
      <c r="IAP67" s="137"/>
      <c r="IAQ67" s="137"/>
      <c r="IAR67" s="137"/>
      <c r="IAS67" s="137"/>
      <c r="IAT67" s="137"/>
      <c r="IAU67" s="137"/>
      <c r="IAV67" s="137"/>
      <c r="IAW67" s="137"/>
      <c r="IAX67" s="137"/>
      <c r="IAY67" s="137"/>
      <c r="IAZ67" s="137"/>
      <c r="IBA67" s="137"/>
      <c r="IBB67" s="137"/>
      <c r="IBC67" s="137"/>
      <c r="IBD67" s="137"/>
      <c r="IBE67" s="137"/>
      <c r="IBF67" s="137"/>
      <c r="IBG67" s="137"/>
      <c r="IBH67" s="137"/>
      <c r="IBI67" s="137"/>
      <c r="IBJ67" s="137"/>
      <c r="IBK67" s="137"/>
      <c r="IBL67" s="137"/>
      <c r="IBM67" s="137"/>
      <c r="IBN67" s="137"/>
      <c r="IBO67" s="137"/>
      <c r="IBP67" s="137"/>
      <c r="IBQ67" s="137"/>
      <c r="IBR67" s="137"/>
      <c r="IBS67" s="137"/>
      <c r="IBT67" s="137"/>
      <c r="IBU67" s="137"/>
      <c r="IBV67" s="137"/>
      <c r="IBW67" s="137"/>
      <c r="IBX67" s="137"/>
      <c r="IBY67" s="137"/>
      <c r="IBZ67" s="137"/>
      <c r="ICA67" s="137"/>
      <c r="ICB67" s="137"/>
      <c r="ICC67" s="137"/>
      <c r="ICD67" s="137"/>
      <c r="ICE67" s="137"/>
      <c r="ICF67" s="137"/>
      <c r="ICG67" s="137"/>
      <c r="ICH67" s="137"/>
      <c r="ICI67" s="137"/>
      <c r="ICJ67" s="137"/>
      <c r="ICK67" s="137"/>
      <c r="ICL67" s="137"/>
      <c r="ICM67" s="137"/>
      <c r="ICN67" s="137"/>
      <c r="ICO67" s="137"/>
      <c r="ICP67" s="137"/>
      <c r="ICQ67" s="137"/>
      <c r="ICR67" s="137"/>
      <c r="ICS67" s="137"/>
      <c r="ICT67" s="137"/>
      <c r="ICU67" s="137"/>
      <c r="ICV67" s="137"/>
      <c r="ICW67" s="137"/>
      <c r="ICX67" s="137"/>
      <c r="ICY67" s="137"/>
      <c r="ICZ67" s="137"/>
      <c r="IDA67" s="137"/>
      <c r="IDB67" s="137"/>
      <c r="IDC67" s="137"/>
      <c r="IDD67" s="137"/>
      <c r="IDE67" s="137"/>
      <c r="IDF67" s="137"/>
      <c r="IDG67" s="137"/>
      <c r="IDH67" s="137"/>
      <c r="IDI67" s="137"/>
      <c r="IDJ67" s="137"/>
      <c r="IDK67" s="137"/>
      <c r="IDL67" s="137"/>
      <c r="IDM67" s="137"/>
      <c r="IDN67" s="137"/>
      <c r="IDO67" s="137"/>
      <c r="IDP67" s="137"/>
      <c r="IDQ67" s="137"/>
      <c r="IDR67" s="137"/>
      <c r="IDS67" s="137"/>
      <c r="IDT67" s="137"/>
      <c r="IDU67" s="137"/>
      <c r="IDV67" s="137"/>
      <c r="IDW67" s="137"/>
      <c r="IDX67" s="137"/>
      <c r="IDY67" s="137"/>
      <c r="IDZ67" s="137"/>
      <c r="IEA67" s="137"/>
      <c r="IEB67" s="137"/>
      <c r="IEC67" s="137"/>
      <c r="IED67" s="137"/>
      <c r="IEE67" s="137"/>
      <c r="IEF67" s="137"/>
      <c r="IEG67" s="137"/>
      <c r="IEH67" s="137"/>
      <c r="IEI67" s="137"/>
      <c r="IEJ67" s="137"/>
      <c r="IEK67" s="137"/>
      <c r="IEL67" s="137"/>
      <c r="IEM67" s="137"/>
      <c r="IEN67" s="137"/>
      <c r="IEO67" s="137"/>
      <c r="IEP67" s="137"/>
      <c r="IEQ67" s="137"/>
      <c r="IER67" s="137"/>
      <c r="IES67" s="137"/>
      <c r="IET67" s="137"/>
      <c r="IEU67" s="137"/>
      <c r="IEV67" s="137"/>
      <c r="IEW67" s="137"/>
      <c r="IEX67" s="137"/>
      <c r="IEY67" s="137"/>
      <c r="IEZ67" s="137"/>
      <c r="IFA67" s="137"/>
      <c r="IFB67" s="137"/>
      <c r="IFC67" s="137"/>
      <c r="IFD67" s="137"/>
      <c r="IFE67" s="137"/>
      <c r="IFF67" s="137"/>
      <c r="IFG67" s="137"/>
      <c r="IFH67" s="137"/>
      <c r="IFI67" s="137"/>
      <c r="IFJ67" s="137"/>
      <c r="IFK67" s="137"/>
      <c r="IFL67" s="137"/>
      <c r="IFM67" s="137"/>
      <c r="IFN67" s="137"/>
      <c r="IFO67" s="137"/>
      <c r="IFP67" s="137"/>
      <c r="IFQ67" s="137"/>
      <c r="IFR67" s="137"/>
      <c r="IFS67" s="137"/>
      <c r="IFT67" s="137"/>
      <c r="IFU67" s="137"/>
      <c r="IFV67" s="137"/>
      <c r="IFW67" s="137"/>
      <c r="IFX67" s="137"/>
      <c r="IFY67" s="137"/>
      <c r="IFZ67" s="137"/>
      <c r="IGA67" s="137"/>
      <c r="IGB67" s="137"/>
      <c r="IGC67" s="137"/>
      <c r="IGD67" s="137"/>
      <c r="IGE67" s="137"/>
      <c r="IGF67" s="137"/>
      <c r="IGG67" s="137"/>
      <c r="IGH67" s="137"/>
      <c r="IGI67" s="137"/>
      <c r="IGJ67" s="137"/>
      <c r="IGK67" s="137"/>
      <c r="IGL67" s="137"/>
      <c r="IGM67" s="137"/>
      <c r="IGN67" s="137"/>
      <c r="IGO67" s="137"/>
      <c r="IGP67" s="137"/>
      <c r="IGQ67" s="137"/>
      <c r="IGR67" s="137"/>
      <c r="IGS67" s="137"/>
      <c r="IGT67" s="137"/>
      <c r="IGU67" s="137"/>
      <c r="IGV67" s="137"/>
      <c r="IGW67" s="137"/>
      <c r="IGX67" s="137"/>
      <c r="IGY67" s="137"/>
      <c r="IGZ67" s="137"/>
      <c r="IHA67" s="137"/>
      <c r="IHB67" s="137"/>
      <c r="IHC67" s="137"/>
      <c r="IHD67" s="137"/>
      <c r="IHE67" s="137"/>
      <c r="IHF67" s="137"/>
      <c r="IHG67" s="137"/>
      <c r="IHH67" s="137"/>
      <c r="IHI67" s="137"/>
      <c r="IHJ67" s="137"/>
      <c r="IHK67" s="137"/>
      <c r="IHL67" s="137"/>
      <c r="IHM67" s="137"/>
      <c r="IHN67" s="137"/>
      <c r="IHO67" s="137"/>
      <c r="IHP67" s="137"/>
      <c r="IHQ67" s="137"/>
      <c r="IHR67" s="137"/>
      <c r="IHS67" s="137"/>
      <c r="IHT67" s="137"/>
      <c r="IHU67" s="137"/>
      <c r="IHV67" s="137"/>
      <c r="IHW67" s="137"/>
      <c r="IHX67" s="137"/>
      <c r="IHY67" s="137"/>
      <c r="IHZ67" s="137"/>
      <c r="IIA67" s="137"/>
      <c r="IIB67" s="137"/>
      <c r="IIC67" s="137"/>
      <c r="IID67" s="137"/>
      <c r="IIE67" s="137"/>
      <c r="IIF67" s="137"/>
      <c r="IIG67" s="137"/>
      <c r="IIH67" s="137"/>
      <c r="III67" s="137"/>
      <c r="IIJ67" s="137"/>
      <c r="IIK67" s="137"/>
      <c r="IIL67" s="137"/>
      <c r="IIM67" s="137"/>
      <c r="IIN67" s="137"/>
      <c r="IIO67" s="137"/>
      <c r="IIP67" s="137"/>
      <c r="IIQ67" s="137"/>
      <c r="IIR67" s="137"/>
      <c r="IIS67" s="137"/>
      <c r="IIT67" s="137"/>
      <c r="IIU67" s="137"/>
      <c r="IIV67" s="137"/>
      <c r="IIW67" s="137"/>
      <c r="IIX67" s="137"/>
      <c r="IIY67" s="137"/>
      <c r="IIZ67" s="137"/>
      <c r="IJA67" s="137"/>
      <c r="IJB67" s="137"/>
      <c r="IJC67" s="137"/>
      <c r="IJD67" s="137"/>
      <c r="IJE67" s="137"/>
      <c r="IJF67" s="137"/>
      <c r="IJG67" s="137"/>
      <c r="IJH67" s="137"/>
      <c r="IJI67" s="137"/>
      <c r="IJJ67" s="137"/>
      <c r="IJK67" s="137"/>
      <c r="IJL67" s="137"/>
      <c r="IJM67" s="137"/>
      <c r="IJN67" s="137"/>
      <c r="IJO67" s="137"/>
      <c r="IJP67" s="137"/>
      <c r="IJQ67" s="137"/>
      <c r="IJR67" s="137"/>
      <c r="IJS67" s="137"/>
      <c r="IJT67" s="137"/>
      <c r="IJU67" s="137"/>
      <c r="IJV67" s="137"/>
      <c r="IJW67" s="137"/>
      <c r="IJX67" s="137"/>
      <c r="IJY67" s="137"/>
      <c r="IJZ67" s="137"/>
      <c r="IKA67" s="137"/>
      <c r="IKB67" s="137"/>
      <c r="IKC67" s="137"/>
      <c r="IKD67" s="137"/>
      <c r="IKE67" s="137"/>
      <c r="IKF67" s="137"/>
      <c r="IKG67" s="137"/>
      <c r="IKH67" s="137"/>
      <c r="IKI67" s="137"/>
      <c r="IKJ67" s="137"/>
      <c r="IKK67" s="137"/>
      <c r="IKL67" s="137"/>
      <c r="IKM67" s="137"/>
      <c r="IKN67" s="137"/>
      <c r="IKO67" s="137"/>
      <c r="IKP67" s="137"/>
      <c r="IKQ67" s="137"/>
      <c r="IKR67" s="137"/>
      <c r="IKS67" s="137"/>
      <c r="IKT67" s="137"/>
      <c r="IKU67" s="137"/>
      <c r="IKV67" s="137"/>
      <c r="IKW67" s="137"/>
      <c r="IKX67" s="137"/>
      <c r="IKY67" s="137"/>
      <c r="IKZ67" s="137"/>
      <c r="ILA67" s="137"/>
      <c r="ILB67" s="137"/>
      <c r="ILC67" s="137"/>
      <c r="ILD67" s="137"/>
      <c r="ILE67" s="137"/>
      <c r="ILF67" s="137"/>
      <c r="ILG67" s="137"/>
      <c r="ILH67" s="137"/>
      <c r="ILI67" s="137"/>
      <c r="ILJ67" s="137"/>
      <c r="ILK67" s="137"/>
      <c r="ILL67" s="137"/>
      <c r="ILM67" s="137"/>
      <c r="ILN67" s="137"/>
      <c r="ILO67" s="137"/>
      <c r="ILP67" s="137"/>
      <c r="ILQ67" s="137"/>
      <c r="ILR67" s="137"/>
      <c r="ILS67" s="137"/>
      <c r="ILT67" s="137"/>
      <c r="ILU67" s="137"/>
      <c r="ILV67" s="137"/>
      <c r="ILW67" s="137"/>
      <c r="ILX67" s="137"/>
      <c r="ILY67" s="137"/>
      <c r="ILZ67" s="137"/>
      <c r="IMA67" s="137"/>
      <c r="IMB67" s="137"/>
      <c r="IMC67" s="137"/>
      <c r="IMD67" s="137"/>
      <c r="IME67" s="137"/>
      <c r="IMF67" s="137"/>
      <c r="IMG67" s="137"/>
      <c r="IMH67" s="137"/>
      <c r="IMI67" s="137"/>
      <c r="IMJ67" s="137"/>
      <c r="IMK67" s="137"/>
      <c r="IML67" s="137"/>
      <c r="IMM67" s="137"/>
      <c r="IMN67" s="137"/>
      <c r="IMO67" s="137"/>
      <c r="IMP67" s="137"/>
      <c r="IMQ67" s="137"/>
      <c r="IMR67" s="137"/>
      <c r="IMS67" s="137"/>
      <c r="IMT67" s="137"/>
      <c r="IMU67" s="137"/>
      <c r="IMV67" s="137"/>
      <c r="IMW67" s="137"/>
      <c r="IMX67" s="137"/>
      <c r="IMY67" s="137"/>
      <c r="IMZ67" s="137"/>
      <c r="INA67" s="137"/>
      <c r="INB67" s="137"/>
      <c r="INC67" s="137"/>
      <c r="IND67" s="137"/>
      <c r="INE67" s="137"/>
      <c r="INF67" s="137"/>
      <c r="ING67" s="137"/>
      <c r="INH67" s="137"/>
      <c r="INI67" s="137"/>
      <c r="INJ67" s="137"/>
      <c r="INK67" s="137"/>
      <c r="INL67" s="137"/>
      <c r="INM67" s="137"/>
      <c r="INN67" s="137"/>
      <c r="INO67" s="137"/>
      <c r="INP67" s="137"/>
      <c r="INQ67" s="137"/>
      <c r="INR67" s="137"/>
      <c r="INS67" s="137"/>
      <c r="INT67" s="137"/>
      <c r="INU67" s="137"/>
      <c r="INV67" s="137"/>
      <c r="INW67" s="137"/>
      <c r="INX67" s="137"/>
      <c r="INY67" s="137"/>
      <c r="INZ67" s="137"/>
      <c r="IOA67" s="137"/>
      <c r="IOB67" s="137"/>
      <c r="IOC67" s="137"/>
      <c r="IOD67" s="137"/>
      <c r="IOE67" s="137"/>
      <c r="IOF67" s="137"/>
      <c r="IOG67" s="137"/>
      <c r="IOH67" s="137"/>
      <c r="IOI67" s="137"/>
      <c r="IOJ67" s="137"/>
      <c r="IOK67" s="137"/>
      <c r="IOL67" s="137"/>
      <c r="IOM67" s="137"/>
      <c r="ION67" s="137"/>
      <c r="IOO67" s="137"/>
      <c r="IOP67" s="137"/>
      <c r="IOQ67" s="137"/>
      <c r="IOR67" s="137"/>
      <c r="IOS67" s="137"/>
      <c r="IOT67" s="137"/>
      <c r="IOU67" s="137"/>
      <c r="IOV67" s="137"/>
      <c r="IOW67" s="137"/>
      <c r="IOX67" s="137"/>
      <c r="IOY67" s="137"/>
      <c r="IOZ67" s="137"/>
      <c r="IPA67" s="137"/>
      <c r="IPB67" s="137"/>
      <c r="IPC67" s="137"/>
      <c r="IPD67" s="137"/>
      <c r="IPE67" s="137"/>
      <c r="IPF67" s="137"/>
      <c r="IPG67" s="137"/>
      <c r="IPH67" s="137"/>
      <c r="IPI67" s="137"/>
      <c r="IPJ67" s="137"/>
      <c r="IPK67" s="137"/>
      <c r="IPL67" s="137"/>
      <c r="IPM67" s="137"/>
      <c r="IPN67" s="137"/>
      <c r="IPO67" s="137"/>
      <c r="IPP67" s="137"/>
      <c r="IPQ67" s="137"/>
      <c r="IPR67" s="137"/>
      <c r="IPS67" s="137"/>
      <c r="IPT67" s="137"/>
      <c r="IPU67" s="137"/>
      <c r="IPV67" s="137"/>
      <c r="IPW67" s="137"/>
      <c r="IPX67" s="137"/>
      <c r="IPY67" s="137"/>
      <c r="IPZ67" s="137"/>
      <c r="IQA67" s="137"/>
      <c r="IQB67" s="137"/>
      <c r="IQC67" s="137"/>
      <c r="IQD67" s="137"/>
      <c r="IQE67" s="137"/>
      <c r="IQF67" s="137"/>
      <c r="IQG67" s="137"/>
      <c r="IQH67" s="137"/>
      <c r="IQI67" s="137"/>
      <c r="IQJ67" s="137"/>
      <c r="IQK67" s="137"/>
      <c r="IQL67" s="137"/>
      <c r="IQM67" s="137"/>
      <c r="IQN67" s="137"/>
      <c r="IQO67" s="137"/>
      <c r="IQP67" s="137"/>
      <c r="IQQ67" s="137"/>
      <c r="IQR67" s="137"/>
      <c r="IQS67" s="137"/>
      <c r="IQT67" s="137"/>
      <c r="IQU67" s="137"/>
      <c r="IQV67" s="137"/>
      <c r="IQW67" s="137"/>
      <c r="IQX67" s="137"/>
      <c r="IQY67" s="137"/>
      <c r="IQZ67" s="137"/>
      <c r="IRA67" s="137"/>
      <c r="IRB67" s="137"/>
      <c r="IRC67" s="137"/>
      <c r="IRD67" s="137"/>
      <c r="IRE67" s="137"/>
      <c r="IRF67" s="137"/>
      <c r="IRG67" s="137"/>
      <c r="IRH67" s="137"/>
      <c r="IRI67" s="137"/>
      <c r="IRJ67" s="137"/>
      <c r="IRK67" s="137"/>
      <c r="IRL67" s="137"/>
      <c r="IRM67" s="137"/>
      <c r="IRN67" s="137"/>
      <c r="IRO67" s="137"/>
      <c r="IRP67" s="137"/>
      <c r="IRQ67" s="137"/>
      <c r="IRR67" s="137"/>
      <c r="IRS67" s="137"/>
      <c r="IRT67" s="137"/>
      <c r="IRU67" s="137"/>
      <c r="IRV67" s="137"/>
      <c r="IRW67" s="137"/>
      <c r="IRX67" s="137"/>
      <c r="IRY67" s="137"/>
      <c r="IRZ67" s="137"/>
      <c r="ISA67" s="137"/>
      <c r="ISB67" s="137"/>
      <c r="ISC67" s="137"/>
      <c r="ISD67" s="137"/>
      <c r="ISE67" s="137"/>
      <c r="ISF67" s="137"/>
      <c r="ISG67" s="137"/>
      <c r="ISH67" s="137"/>
      <c r="ISI67" s="137"/>
      <c r="ISJ67" s="137"/>
      <c r="ISK67" s="137"/>
      <c r="ISL67" s="137"/>
      <c r="ISM67" s="137"/>
      <c r="ISN67" s="137"/>
      <c r="ISO67" s="137"/>
      <c r="ISP67" s="137"/>
      <c r="ISQ67" s="137"/>
      <c r="ISR67" s="137"/>
      <c r="ISS67" s="137"/>
      <c r="IST67" s="137"/>
      <c r="ISU67" s="137"/>
      <c r="ISV67" s="137"/>
      <c r="ISW67" s="137"/>
      <c r="ISX67" s="137"/>
      <c r="ISY67" s="137"/>
      <c r="ISZ67" s="137"/>
      <c r="ITA67" s="137"/>
      <c r="ITB67" s="137"/>
      <c r="ITC67" s="137"/>
      <c r="ITD67" s="137"/>
      <c r="ITE67" s="137"/>
      <c r="ITF67" s="137"/>
      <c r="ITG67" s="137"/>
      <c r="ITH67" s="137"/>
      <c r="ITI67" s="137"/>
      <c r="ITJ67" s="137"/>
      <c r="ITK67" s="137"/>
      <c r="ITL67" s="137"/>
      <c r="ITM67" s="137"/>
      <c r="ITN67" s="137"/>
      <c r="ITO67" s="137"/>
      <c r="ITP67" s="137"/>
      <c r="ITQ67" s="137"/>
      <c r="ITR67" s="137"/>
      <c r="ITS67" s="137"/>
      <c r="ITT67" s="137"/>
      <c r="ITU67" s="137"/>
      <c r="ITV67" s="137"/>
      <c r="ITW67" s="137"/>
      <c r="ITX67" s="137"/>
      <c r="ITY67" s="137"/>
      <c r="ITZ67" s="137"/>
      <c r="IUA67" s="137"/>
      <c r="IUB67" s="137"/>
      <c r="IUC67" s="137"/>
      <c r="IUD67" s="137"/>
      <c r="IUE67" s="137"/>
      <c r="IUF67" s="137"/>
      <c r="IUG67" s="137"/>
      <c r="IUH67" s="137"/>
      <c r="IUI67" s="137"/>
      <c r="IUJ67" s="137"/>
      <c r="IUK67" s="137"/>
      <c r="IUL67" s="137"/>
      <c r="IUM67" s="137"/>
      <c r="IUN67" s="137"/>
      <c r="IUO67" s="137"/>
      <c r="IUP67" s="137"/>
      <c r="IUQ67" s="137"/>
      <c r="IUR67" s="137"/>
      <c r="IUS67" s="137"/>
      <c r="IUT67" s="137"/>
      <c r="IUU67" s="137"/>
      <c r="IUV67" s="137"/>
      <c r="IUW67" s="137"/>
      <c r="IUX67" s="137"/>
      <c r="IUY67" s="137"/>
      <c r="IUZ67" s="137"/>
      <c r="IVA67" s="137"/>
      <c r="IVB67" s="137"/>
      <c r="IVC67" s="137"/>
      <c r="IVD67" s="137"/>
      <c r="IVE67" s="137"/>
      <c r="IVF67" s="137"/>
      <c r="IVG67" s="137"/>
      <c r="IVH67" s="137"/>
      <c r="IVI67" s="137"/>
      <c r="IVJ67" s="137"/>
      <c r="IVK67" s="137"/>
      <c r="IVL67" s="137"/>
      <c r="IVM67" s="137"/>
      <c r="IVN67" s="137"/>
      <c r="IVO67" s="137"/>
      <c r="IVP67" s="137"/>
      <c r="IVQ67" s="137"/>
      <c r="IVR67" s="137"/>
      <c r="IVS67" s="137"/>
      <c r="IVT67" s="137"/>
      <c r="IVU67" s="137"/>
      <c r="IVV67" s="137"/>
      <c r="IVW67" s="137"/>
      <c r="IVX67" s="137"/>
      <c r="IVY67" s="137"/>
      <c r="IVZ67" s="137"/>
      <c r="IWA67" s="137"/>
      <c r="IWB67" s="137"/>
      <c r="IWC67" s="137"/>
      <c r="IWD67" s="137"/>
      <c r="IWE67" s="137"/>
      <c r="IWF67" s="137"/>
      <c r="IWG67" s="137"/>
      <c r="IWH67" s="137"/>
      <c r="IWI67" s="137"/>
      <c r="IWJ67" s="137"/>
      <c r="IWK67" s="137"/>
      <c r="IWL67" s="137"/>
      <c r="IWM67" s="137"/>
      <c r="IWN67" s="137"/>
      <c r="IWO67" s="137"/>
      <c r="IWP67" s="137"/>
      <c r="IWQ67" s="137"/>
      <c r="IWR67" s="137"/>
      <c r="IWS67" s="137"/>
      <c r="IWT67" s="137"/>
      <c r="IWU67" s="137"/>
      <c r="IWV67" s="137"/>
      <c r="IWW67" s="137"/>
      <c r="IWX67" s="137"/>
      <c r="IWY67" s="137"/>
      <c r="IWZ67" s="137"/>
      <c r="IXA67" s="137"/>
      <c r="IXB67" s="137"/>
      <c r="IXC67" s="137"/>
      <c r="IXD67" s="137"/>
      <c r="IXE67" s="137"/>
      <c r="IXF67" s="137"/>
      <c r="IXG67" s="137"/>
      <c r="IXH67" s="137"/>
      <c r="IXI67" s="137"/>
      <c r="IXJ67" s="137"/>
      <c r="IXK67" s="137"/>
      <c r="IXL67" s="137"/>
      <c r="IXM67" s="137"/>
      <c r="IXN67" s="137"/>
      <c r="IXO67" s="137"/>
      <c r="IXP67" s="137"/>
      <c r="IXQ67" s="137"/>
      <c r="IXR67" s="137"/>
      <c r="IXS67" s="137"/>
      <c r="IXT67" s="137"/>
      <c r="IXU67" s="137"/>
      <c r="IXV67" s="137"/>
      <c r="IXW67" s="137"/>
      <c r="IXX67" s="137"/>
      <c r="IXY67" s="137"/>
      <c r="IXZ67" s="137"/>
      <c r="IYA67" s="137"/>
      <c r="IYB67" s="137"/>
      <c r="IYC67" s="137"/>
      <c r="IYD67" s="137"/>
      <c r="IYE67" s="137"/>
      <c r="IYF67" s="137"/>
      <c r="IYG67" s="137"/>
      <c r="IYH67" s="137"/>
      <c r="IYI67" s="137"/>
      <c r="IYJ67" s="137"/>
      <c r="IYK67" s="137"/>
      <c r="IYL67" s="137"/>
      <c r="IYM67" s="137"/>
      <c r="IYN67" s="137"/>
      <c r="IYO67" s="137"/>
      <c r="IYP67" s="137"/>
      <c r="IYQ67" s="137"/>
      <c r="IYR67" s="137"/>
      <c r="IYS67" s="137"/>
      <c r="IYT67" s="137"/>
      <c r="IYU67" s="137"/>
      <c r="IYV67" s="137"/>
      <c r="IYW67" s="137"/>
      <c r="IYX67" s="137"/>
      <c r="IYY67" s="137"/>
      <c r="IYZ67" s="137"/>
      <c r="IZA67" s="137"/>
      <c r="IZB67" s="137"/>
      <c r="IZC67" s="137"/>
      <c r="IZD67" s="137"/>
      <c r="IZE67" s="137"/>
      <c r="IZF67" s="137"/>
      <c r="IZG67" s="137"/>
      <c r="IZH67" s="137"/>
      <c r="IZI67" s="137"/>
      <c r="IZJ67" s="137"/>
      <c r="IZK67" s="137"/>
      <c r="IZL67" s="137"/>
      <c r="IZM67" s="137"/>
      <c r="IZN67" s="137"/>
      <c r="IZO67" s="137"/>
      <c r="IZP67" s="137"/>
      <c r="IZQ67" s="137"/>
      <c r="IZR67" s="137"/>
      <c r="IZS67" s="137"/>
      <c r="IZT67" s="137"/>
      <c r="IZU67" s="137"/>
      <c r="IZV67" s="137"/>
      <c r="IZW67" s="137"/>
      <c r="IZX67" s="137"/>
      <c r="IZY67" s="137"/>
      <c r="IZZ67" s="137"/>
      <c r="JAA67" s="137"/>
      <c r="JAB67" s="137"/>
      <c r="JAC67" s="137"/>
      <c r="JAD67" s="137"/>
      <c r="JAE67" s="137"/>
      <c r="JAF67" s="137"/>
      <c r="JAG67" s="137"/>
      <c r="JAH67" s="137"/>
      <c r="JAI67" s="137"/>
      <c r="JAJ67" s="137"/>
      <c r="JAK67" s="137"/>
      <c r="JAL67" s="137"/>
      <c r="JAM67" s="137"/>
      <c r="JAN67" s="137"/>
      <c r="JAO67" s="137"/>
      <c r="JAP67" s="137"/>
      <c r="JAQ67" s="137"/>
      <c r="JAR67" s="137"/>
      <c r="JAS67" s="137"/>
      <c r="JAT67" s="137"/>
      <c r="JAU67" s="137"/>
      <c r="JAV67" s="137"/>
      <c r="JAW67" s="137"/>
      <c r="JAX67" s="137"/>
      <c r="JAY67" s="137"/>
      <c r="JAZ67" s="137"/>
      <c r="JBA67" s="137"/>
      <c r="JBB67" s="137"/>
      <c r="JBC67" s="137"/>
      <c r="JBD67" s="137"/>
      <c r="JBE67" s="137"/>
      <c r="JBF67" s="137"/>
      <c r="JBG67" s="137"/>
      <c r="JBH67" s="137"/>
      <c r="JBI67" s="137"/>
      <c r="JBJ67" s="137"/>
      <c r="JBK67" s="137"/>
      <c r="JBL67" s="137"/>
      <c r="JBM67" s="137"/>
      <c r="JBN67" s="137"/>
      <c r="JBO67" s="137"/>
      <c r="JBP67" s="137"/>
      <c r="JBQ67" s="137"/>
      <c r="JBR67" s="137"/>
      <c r="JBS67" s="137"/>
      <c r="JBT67" s="137"/>
      <c r="JBU67" s="137"/>
      <c r="JBV67" s="137"/>
      <c r="JBW67" s="137"/>
      <c r="JBX67" s="137"/>
      <c r="JBY67" s="137"/>
      <c r="JBZ67" s="137"/>
      <c r="JCA67" s="137"/>
      <c r="JCB67" s="137"/>
      <c r="JCC67" s="137"/>
      <c r="JCD67" s="137"/>
      <c r="JCE67" s="137"/>
      <c r="JCF67" s="137"/>
      <c r="JCG67" s="137"/>
      <c r="JCH67" s="137"/>
      <c r="JCI67" s="137"/>
      <c r="JCJ67" s="137"/>
      <c r="JCK67" s="137"/>
      <c r="JCL67" s="137"/>
      <c r="JCM67" s="137"/>
      <c r="JCN67" s="137"/>
      <c r="JCO67" s="137"/>
      <c r="JCP67" s="137"/>
      <c r="JCQ67" s="137"/>
      <c r="JCR67" s="137"/>
      <c r="JCS67" s="137"/>
      <c r="JCT67" s="137"/>
      <c r="JCU67" s="137"/>
      <c r="JCV67" s="137"/>
      <c r="JCW67" s="137"/>
      <c r="JCX67" s="137"/>
      <c r="JCY67" s="137"/>
      <c r="JCZ67" s="137"/>
      <c r="JDA67" s="137"/>
      <c r="JDB67" s="137"/>
      <c r="JDC67" s="137"/>
      <c r="JDD67" s="137"/>
      <c r="JDE67" s="137"/>
      <c r="JDF67" s="137"/>
      <c r="JDG67" s="137"/>
      <c r="JDH67" s="137"/>
      <c r="JDI67" s="137"/>
      <c r="JDJ67" s="137"/>
      <c r="JDK67" s="137"/>
      <c r="JDL67" s="137"/>
      <c r="JDM67" s="137"/>
      <c r="JDN67" s="137"/>
      <c r="JDO67" s="137"/>
      <c r="JDP67" s="137"/>
      <c r="JDQ67" s="137"/>
      <c r="JDR67" s="137"/>
      <c r="JDS67" s="137"/>
      <c r="JDT67" s="137"/>
      <c r="JDU67" s="137"/>
      <c r="JDV67" s="137"/>
      <c r="JDW67" s="137"/>
      <c r="JDX67" s="137"/>
      <c r="JDY67" s="137"/>
      <c r="JDZ67" s="137"/>
      <c r="JEA67" s="137"/>
      <c r="JEB67" s="137"/>
      <c r="JEC67" s="137"/>
      <c r="JED67" s="137"/>
      <c r="JEE67" s="137"/>
      <c r="JEF67" s="137"/>
      <c r="JEG67" s="137"/>
      <c r="JEH67" s="137"/>
      <c r="JEI67" s="137"/>
      <c r="JEJ67" s="137"/>
      <c r="JEK67" s="137"/>
      <c r="JEL67" s="137"/>
      <c r="JEM67" s="137"/>
      <c r="JEN67" s="137"/>
      <c r="JEO67" s="137"/>
      <c r="JEP67" s="137"/>
      <c r="JEQ67" s="137"/>
      <c r="JER67" s="137"/>
      <c r="JES67" s="137"/>
      <c r="JET67" s="137"/>
      <c r="JEU67" s="137"/>
      <c r="JEV67" s="137"/>
      <c r="JEW67" s="137"/>
      <c r="JEX67" s="137"/>
      <c r="JEY67" s="137"/>
      <c r="JEZ67" s="137"/>
      <c r="JFA67" s="137"/>
      <c r="JFB67" s="137"/>
      <c r="JFC67" s="137"/>
      <c r="JFD67" s="137"/>
      <c r="JFE67" s="137"/>
      <c r="JFF67" s="137"/>
      <c r="JFG67" s="137"/>
      <c r="JFH67" s="137"/>
      <c r="JFI67" s="137"/>
      <c r="JFJ67" s="137"/>
      <c r="JFK67" s="137"/>
      <c r="JFL67" s="137"/>
      <c r="JFM67" s="137"/>
      <c r="JFN67" s="137"/>
      <c r="JFO67" s="137"/>
      <c r="JFP67" s="137"/>
      <c r="JFQ67" s="137"/>
      <c r="JFR67" s="137"/>
      <c r="JFS67" s="137"/>
      <c r="JFT67" s="137"/>
      <c r="JFU67" s="137"/>
      <c r="JFV67" s="137"/>
      <c r="JFW67" s="137"/>
      <c r="JFX67" s="137"/>
      <c r="JFY67" s="137"/>
      <c r="JFZ67" s="137"/>
      <c r="JGA67" s="137"/>
      <c r="JGB67" s="137"/>
      <c r="JGC67" s="137"/>
      <c r="JGD67" s="137"/>
      <c r="JGE67" s="137"/>
      <c r="JGF67" s="137"/>
      <c r="JGG67" s="137"/>
      <c r="JGH67" s="137"/>
      <c r="JGI67" s="137"/>
      <c r="JGJ67" s="137"/>
      <c r="JGK67" s="137"/>
      <c r="JGL67" s="137"/>
      <c r="JGM67" s="137"/>
      <c r="JGN67" s="137"/>
      <c r="JGO67" s="137"/>
      <c r="JGP67" s="137"/>
      <c r="JGQ67" s="137"/>
      <c r="JGR67" s="137"/>
      <c r="JGS67" s="137"/>
      <c r="JGT67" s="137"/>
      <c r="JGU67" s="137"/>
      <c r="JGV67" s="137"/>
      <c r="JGW67" s="137"/>
      <c r="JGX67" s="137"/>
      <c r="JGY67" s="137"/>
      <c r="JGZ67" s="137"/>
      <c r="JHA67" s="137"/>
      <c r="JHB67" s="137"/>
      <c r="JHC67" s="137"/>
      <c r="JHD67" s="137"/>
      <c r="JHE67" s="137"/>
      <c r="JHF67" s="137"/>
      <c r="JHG67" s="137"/>
      <c r="JHH67" s="137"/>
      <c r="JHI67" s="137"/>
      <c r="JHJ67" s="137"/>
      <c r="JHK67" s="137"/>
      <c r="JHL67" s="137"/>
      <c r="JHM67" s="137"/>
      <c r="JHN67" s="137"/>
      <c r="JHO67" s="137"/>
      <c r="JHP67" s="137"/>
      <c r="JHQ67" s="137"/>
      <c r="JHR67" s="137"/>
      <c r="JHS67" s="137"/>
      <c r="JHT67" s="137"/>
      <c r="JHU67" s="137"/>
      <c r="JHV67" s="137"/>
      <c r="JHW67" s="137"/>
      <c r="JHX67" s="137"/>
      <c r="JHY67" s="137"/>
      <c r="JHZ67" s="137"/>
      <c r="JIA67" s="137"/>
      <c r="JIB67" s="137"/>
      <c r="JIC67" s="137"/>
      <c r="JID67" s="137"/>
      <c r="JIE67" s="137"/>
      <c r="JIF67" s="137"/>
      <c r="JIG67" s="137"/>
      <c r="JIH67" s="137"/>
      <c r="JII67" s="137"/>
      <c r="JIJ67" s="137"/>
      <c r="JIK67" s="137"/>
      <c r="JIL67" s="137"/>
      <c r="JIM67" s="137"/>
      <c r="JIN67" s="137"/>
      <c r="JIO67" s="137"/>
      <c r="JIP67" s="137"/>
      <c r="JIQ67" s="137"/>
      <c r="JIR67" s="137"/>
      <c r="JIS67" s="137"/>
      <c r="JIT67" s="137"/>
      <c r="JIU67" s="137"/>
      <c r="JIV67" s="137"/>
      <c r="JIW67" s="137"/>
      <c r="JIX67" s="137"/>
      <c r="JIY67" s="137"/>
      <c r="JIZ67" s="137"/>
      <c r="JJA67" s="137"/>
      <c r="JJB67" s="137"/>
      <c r="JJC67" s="137"/>
      <c r="JJD67" s="137"/>
      <c r="JJE67" s="137"/>
      <c r="JJF67" s="137"/>
      <c r="JJG67" s="137"/>
      <c r="JJH67" s="137"/>
      <c r="JJI67" s="137"/>
      <c r="JJJ67" s="137"/>
      <c r="JJK67" s="137"/>
      <c r="JJL67" s="137"/>
      <c r="JJM67" s="137"/>
      <c r="JJN67" s="137"/>
      <c r="JJO67" s="137"/>
      <c r="JJP67" s="137"/>
      <c r="JJQ67" s="137"/>
      <c r="JJR67" s="137"/>
      <c r="JJS67" s="137"/>
      <c r="JJT67" s="137"/>
      <c r="JJU67" s="137"/>
      <c r="JJV67" s="137"/>
      <c r="JJW67" s="137"/>
      <c r="JJX67" s="137"/>
      <c r="JJY67" s="137"/>
      <c r="JJZ67" s="137"/>
      <c r="JKA67" s="137"/>
      <c r="JKB67" s="137"/>
      <c r="JKC67" s="137"/>
      <c r="JKD67" s="137"/>
      <c r="JKE67" s="137"/>
      <c r="JKF67" s="137"/>
      <c r="JKG67" s="137"/>
      <c r="JKH67" s="137"/>
      <c r="JKI67" s="137"/>
      <c r="JKJ67" s="137"/>
      <c r="JKK67" s="137"/>
      <c r="JKL67" s="137"/>
      <c r="JKM67" s="137"/>
      <c r="JKN67" s="137"/>
      <c r="JKO67" s="137"/>
      <c r="JKP67" s="137"/>
      <c r="JKQ67" s="137"/>
      <c r="JKR67" s="137"/>
      <c r="JKS67" s="137"/>
      <c r="JKT67" s="137"/>
      <c r="JKU67" s="137"/>
      <c r="JKV67" s="137"/>
      <c r="JKW67" s="137"/>
      <c r="JKX67" s="137"/>
      <c r="JKY67" s="137"/>
      <c r="JKZ67" s="137"/>
      <c r="JLA67" s="137"/>
      <c r="JLB67" s="137"/>
      <c r="JLC67" s="137"/>
      <c r="JLD67" s="137"/>
      <c r="JLE67" s="137"/>
      <c r="JLF67" s="137"/>
      <c r="JLG67" s="137"/>
      <c r="JLH67" s="137"/>
      <c r="JLI67" s="137"/>
      <c r="JLJ67" s="137"/>
      <c r="JLK67" s="137"/>
      <c r="JLL67" s="137"/>
      <c r="JLM67" s="137"/>
      <c r="JLN67" s="137"/>
      <c r="JLO67" s="137"/>
      <c r="JLP67" s="137"/>
      <c r="JLQ67" s="137"/>
      <c r="JLR67" s="137"/>
      <c r="JLS67" s="137"/>
      <c r="JLT67" s="137"/>
      <c r="JLU67" s="137"/>
      <c r="JLV67" s="137"/>
      <c r="JLW67" s="137"/>
      <c r="JLX67" s="137"/>
      <c r="JLY67" s="137"/>
      <c r="JLZ67" s="137"/>
      <c r="JMA67" s="137"/>
      <c r="JMB67" s="137"/>
      <c r="JMC67" s="137"/>
      <c r="JMD67" s="137"/>
      <c r="JME67" s="137"/>
      <c r="JMF67" s="137"/>
      <c r="JMG67" s="137"/>
      <c r="JMH67" s="137"/>
      <c r="JMI67" s="137"/>
      <c r="JMJ67" s="137"/>
      <c r="JMK67" s="137"/>
      <c r="JML67" s="137"/>
      <c r="JMM67" s="137"/>
      <c r="JMN67" s="137"/>
      <c r="JMO67" s="137"/>
      <c r="JMP67" s="137"/>
      <c r="JMQ67" s="137"/>
      <c r="JMR67" s="137"/>
      <c r="JMS67" s="137"/>
      <c r="JMT67" s="137"/>
      <c r="JMU67" s="137"/>
      <c r="JMV67" s="137"/>
      <c r="JMW67" s="137"/>
      <c r="JMX67" s="137"/>
      <c r="JMY67" s="137"/>
      <c r="JMZ67" s="137"/>
      <c r="JNA67" s="137"/>
      <c r="JNB67" s="137"/>
      <c r="JNC67" s="137"/>
      <c r="JND67" s="137"/>
      <c r="JNE67" s="137"/>
      <c r="JNF67" s="137"/>
      <c r="JNG67" s="137"/>
      <c r="JNH67" s="137"/>
      <c r="JNI67" s="137"/>
      <c r="JNJ67" s="137"/>
      <c r="JNK67" s="137"/>
      <c r="JNL67" s="137"/>
      <c r="JNM67" s="137"/>
      <c r="JNN67" s="137"/>
      <c r="JNO67" s="137"/>
      <c r="JNP67" s="137"/>
      <c r="JNQ67" s="137"/>
      <c r="JNR67" s="137"/>
      <c r="JNS67" s="137"/>
      <c r="JNT67" s="137"/>
      <c r="JNU67" s="137"/>
      <c r="JNV67" s="137"/>
      <c r="JNW67" s="137"/>
      <c r="JNX67" s="137"/>
      <c r="JNY67" s="137"/>
      <c r="JNZ67" s="137"/>
      <c r="JOA67" s="137"/>
      <c r="JOB67" s="137"/>
      <c r="JOC67" s="137"/>
      <c r="JOD67" s="137"/>
      <c r="JOE67" s="137"/>
      <c r="JOF67" s="137"/>
      <c r="JOG67" s="137"/>
      <c r="JOH67" s="137"/>
      <c r="JOI67" s="137"/>
      <c r="JOJ67" s="137"/>
      <c r="JOK67" s="137"/>
      <c r="JOL67" s="137"/>
      <c r="JOM67" s="137"/>
      <c r="JON67" s="137"/>
      <c r="JOO67" s="137"/>
      <c r="JOP67" s="137"/>
      <c r="JOQ67" s="137"/>
      <c r="JOR67" s="137"/>
      <c r="JOS67" s="137"/>
      <c r="JOT67" s="137"/>
      <c r="JOU67" s="137"/>
      <c r="JOV67" s="137"/>
      <c r="JOW67" s="137"/>
      <c r="JOX67" s="137"/>
      <c r="JOY67" s="137"/>
      <c r="JOZ67" s="137"/>
      <c r="JPA67" s="137"/>
      <c r="JPB67" s="137"/>
      <c r="JPC67" s="137"/>
      <c r="JPD67" s="137"/>
      <c r="JPE67" s="137"/>
      <c r="JPF67" s="137"/>
      <c r="JPG67" s="137"/>
      <c r="JPH67" s="137"/>
      <c r="JPI67" s="137"/>
      <c r="JPJ67" s="137"/>
      <c r="JPK67" s="137"/>
      <c r="JPL67" s="137"/>
      <c r="JPM67" s="137"/>
      <c r="JPN67" s="137"/>
      <c r="JPO67" s="137"/>
      <c r="JPP67" s="137"/>
      <c r="JPQ67" s="137"/>
      <c r="JPR67" s="137"/>
      <c r="JPS67" s="137"/>
      <c r="JPT67" s="137"/>
      <c r="JPU67" s="137"/>
      <c r="JPV67" s="137"/>
      <c r="JPW67" s="137"/>
      <c r="JPX67" s="137"/>
      <c r="JPY67" s="137"/>
      <c r="JPZ67" s="137"/>
      <c r="JQA67" s="137"/>
      <c r="JQB67" s="137"/>
      <c r="JQC67" s="137"/>
      <c r="JQD67" s="137"/>
      <c r="JQE67" s="137"/>
      <c r="JQF67" s="137"/>
      <c r="JQG67" s="137"/>
      <c r="JQH67" s="137"/>
      <c r="JQI67" s="137"/>
      <c r="JQJ67" s="137"/>
      <c r="JQK67" s="137"/>
      <c r="JQL67" s="137"/>
      <c r="JQM67" s="137"/>
      <c r="JQN67" s="137"/>
      <c r="JQO67" s="137"/>
      <c r="JQP67" s="137"/>
      <c r="JQQ67" s="137"/>
      <c r="JQR67" s="137"/>
      <c r="JQS67" s="137"/>
      <c r="JQT67" s="137"/>
      <c r="JQU67" s="137"/>
      <c r="JQV67" s="137"/>
      <c r="JQW67" s="137"/>
      <c r="JQX67" s="137"/>
      <c r="JQY67" s="137"/>
      <c r="JQZ67" s="137"/>
      <c r="JRA67" s="137"/>
      <c r="JRB67" s="137"/>
      <c r="JRC67" s="137"/>
      <c r="JRD67" s="137"/>
      <c r="JRE67" s="137"/>
      <c r="JRF67" s="137"/>
      <c r="JRG67" s="137"/>
      <c r="JRH67" s="137"/>
      <c r="JRI67" s="137"/>
      <c r="JRJ67" s="137"/>
      <c r="JRK67" s="137"/>
      <c r="JRL67" s="137"/>
      <c r="JRM67" s="137"/>
      <c r="JRN67" s="137"/>
      <c r="JRO67" s="137"/>
      <c r="JRP67" s="137"/>
      <c r="JRQ67" s="137"/>
      <c r="JRR67" s="137"/>
      <c r="JRS67" s="137"/>
      <c r="JRT67" s="137"/>
      <c r="JRU67" s="137"/>
      <c r="JRV67" s="137"/>
      <c r="JRW67" s="137"/>
      <c r="JRX67" s="137"/>
      <c r="JRY67" s="137"/>
      <c r="JRZ67" s="137"/>
      <c r="JSA67" s="137"/>
      <c r="JSB67" s="137"/>
      <c r="JSC67" s="137"/>
      <c r="JSD67" s="137"/>
      <c r="JSE67" s="137"/>
      <c r="JSF67" s="137"/>
      <c r="JSG67" s="137"/>
      <c r="JSH67" s="137"/>
      <c r="JSI67" s="137"/>
      <c r="JSJ67" s="137"/>
      <c r="JSK67" s="137"/>
      <c r="JSL67" s="137"/>
      <c r="JSM67" s="137"/>
      <c r="JSN67" s="137"/>
      <c r="JSO67" s="137"/>
      <c r="JSP67" s="137"/>
      <c r="JSQ67" s="137"/>
      <c r="JSR67" s="137"/>
      <c r="JSS67" s="137"/>
      <c r="JST67" s="137"/>
      <c r="JSU67" s="137"/>
      <c r="JSV67" s="137"/>
      <c r="JSW67" s="137"/>
      <c r="JSX67" s="137"/>
      <c r="JSY67" s="137"/>
      <c r="JSZ67" s="137"/>
      <c r="JTA67" s="137"/>
      <c r="JTB67" s="137"/>
      <c r="JTC67" s="137"/>
      <c r="JTD67" s="137"/>
      <c r="JTE67" s="137"/>
      <c r="JTF67" s="137"/>
      <c r="JTG67" s="137"/>
      <c r="JTH67" s="137"/>
      <c r="JTI67" s="137"/>
      <c r="JTJ67" s="137"/>
      <c r="JTK67" s="137"/>
      <c r="JTL67" s="137"/>
      <c r="JTM67" s="137"/>
      <c r="JTN67" s="137"/>
      <c r="JTO67" s="137"/>
      <c r="JTP67" s="137"/>
      <c r="JTQ67" s="137"/>
      <c r="JTR67" s="137"/>
      <c r="JTS67" s="137"/>
      <c r="JTT67" s="137"/>
      <c r="JTU67" s="137"/>
      <c r="JTV67" s="137"/>
      <c r="JTW67" s="137"/>
      <c r="JTX67" s="137"/>
      <c r="JTY67" s="137"/>
      <c r="JTZ67" s="137"/>
      <c r="JUA67" s="137"/>
      <c r="JUB67" s="137"/>
      <c r="JUC67" s="137"/>
      <c r="JUD67" s="137"/>
      <c r="JUE67" s="137"/>
      <c r="JUF67" s="137"/>
      <c r="JUG67" s="137"/>
      <c r="JUH67" s="137"/>
      <c r="JUI67" s="137"/>
      <c r="JUJ67" s="137"/>
      <c r="JUK67" s="137"/>
      <c r="JUL67" s="137"/>
      <c r="JUM67" s="137"/>
      <c r="JUN67" s="137"/>
      <c r="JUO67" s="137"/>
      <c r="JUP67" s="137"/>
      <c r="JUQ67" s="137"/>
      <c r="JUR67" s="137"/>
      <c r="JUS67" s="137"/>
      <c r="JUT67" s="137"/>
      <c r="JUU67" s="137"/>
      <c r="JUV67" s="137"/>
      <c r="JUW67" s="137"/>
      <c r="JUX67" s="137"/>
      <c r="JUY67" s="137"/>
      <c r="JUZ67" s="137"/>
      <c r="JVA67" s="137"/>
      <c r="JVB67" s="137"/>
      <c r="JVC67" s="137"/>
      <c r="JVD67" s="137"/>
      <c r="JVE67" s="137"/>
      <c r="JVF67" s="137"/>
      <c r="JVG67" s="137"/>
      <c r="JVH67" s="137"/>
      <c r="JVI67" s="137"/>
      <c r="JVJ67" s="137"/>
      <c r="JVK67" s="137"/>
      <c r="JVL67" s="137"/>
      <c r="JVM67" s="137"/>
      <c r="JVN67" s="137"/>
      <c r="JVO67" s="137"/>
      <c r="JVP67" s="137"/>
      <c r="JVQ67" s="137"/>
      <c r="JVR67" s="137"/>
      <c r="JVS67" s="137"/>
      <c r="JVT67" s="137"/>
      <c r="JVU67" s="137"/>
      <c r="JVV67" s="137"/>
      <c r="JVW67" s="137"/>
      <c r="JVX67" s="137"/>
      <c r="JVY67" s="137"/>
      <c r="JVZ67" s="137"/>
      <c r="JWA67" s="137"/>
      <c r="JWB67" s="137"/>
      <c r="JWC67" s="137"/>
      <c r="JWD67" s="137"/>
      <c r="JWE67" s="137"/>
      <c r="JWF67" s="137"/>
      <c r="JWG67" s="137"/>
      <c r="JWH67" s="137"/>
      <c r="JWI67" s="137"/>
      <c r="JWJ67" s="137"/>
      <c r="JWK67" s="137"/>
      <c r="JWL67" s="137"/>
      <c r="JWM67" s="137"/>
      <c r="JWN67" s="137"/>
      <c r="JWO67" s="137"/>
      <c r="JWP67" s="137"/>
      <c r="JWQ67" s="137"/>
      <c r="JWR67" s="137"/>
      <c r="JWS67" s="137"/>
      <c r="JWT67" s="137"/>
      <c r="JWU67" s="137"/>
      <c r="JWV67" s="137"/>
      <c r="JWW67" s="137"/>
      <c r="JWX67" s="137"/>
      <c r="JWY67" s="137"/>
      <c r="JWZ67" s="137"/>
      <c r="JXA67" s="137"/>
      <c r="JXB67" s="137"/>
      <c r="JXC67" s="137"/>
      <c r="JXD67" s="137"/>
      <c r="JXE67" s="137"/>
      <c r="JXF67" s="137"/>
      <c r="JXG67" s="137"/>
      <c r="JXH67" s="137"/>
      <c r="JXI67" s="137"/>
      <c r="JXJ67" s="137"/>
      <c r="JXK67" s="137"/>
      <c r="JXL67" s="137"/>
      <c r="JXM67" s="137"/>
      <c r="JXN67" s="137"/>
      <c r="JXO67" s="137"/>
      <c r="JXP67" s="137"/>
      <c r="JXQ67" s="137"/>
      <c r="JXR67" s="137"/>
      <c r="JXS67" s="137"/>
      <c r="JXT67" s="137"/>
      <c r="JXU67" s="137"/>
      <c r="JXV67" s="137"/>
      <c r="JXW67" s="137"/>
      <c r="JXX67" s="137"/>
      <c r="JXY67" s="137"/>
      <c r="JXZ67" s="137"/>
      <c r="JYA67" s="137"/>
      <c r="JYB67" s="137"/>
      <c r="JYC67" s="137"/>
      <c r="JYD67" s="137"/>
      <c r="JYE67" s="137"/>
      <c r="JYF67" s="137"/>
      <c r="JYG67" s="137"/>
      <c r="JYH67" s="137"/>
      <c r="JYI67" s="137"/>
      <c r="JYJ67" s="137"/>
      <c r="JYK67" s="137"/>
      <c r="JYL67" s="137"/>
      <c r="JYM67" s="137"/>
      <c r="JYN67" s="137"/>
      <c r="JYO67" s="137"/>
      <c r="JYP67" s="137"/>
      <c r="JYQ67" s="137"/>
      <c r="JYR67" s="137"/>
      <c r="JYS67" s="137"/>
      <c r="JYT67" s="137"/>
      <c r="JYU67" s="137"/>
      <c r="JYV67" s="137"/>
      <c r="JYW67" s="137"/>
      <c r="JYX67" s="137"/>
      <c r="JYY67" s="137"/>
      <c r="JYZ67" s="137"/>
      <c r="JZA67" s="137"/>
      <c r="JZB67" s="137"/>
      <c r="JZC67" s="137"/>
      <c r="JZD67" s="137"/>
      <c r="JZE67" s="137"/>
      <c r="JZF67" s="137"/>
      <c r="JZG67" s="137"/>
      <c r="JZH67" s="137"/>
      <c r="JZI67" s="137"/>
      <c r="JZJ67" s="137"/>
      <c r="JZK67" s="137"/>
      <c r="JZL67" s="137"/>
      <c r="JZM67" s="137"/>
      <c r="JZN67" s="137"/>
      <c r="JZO67" s="137"/>
      <c r="JZP67" s="137"/>
      <c r="JZQ67" s="137"/>
      <c r="JZR67" s="137"/>
      <c r="JZS67" s="137"/>
      <c r="JZT67" s="137"/>
      <c r="JZU67" s="137"/>
      <c r="JZV67" s="137"/>
      <c r="JZW67" s="137"/>
      <c r="JZX67" s="137"/>
      <c r="JZY67" s="137"/>
      <c r="JZZ67" s="137"/>
      <c r="KAA67" s="137"/>
      <c r="KAB67" s="137"/>
      <c r="KAC67" s="137"/>
      <c r="KAD67" s="137"/>
      <c r="KAE67" s="137"/>
      <c r="KAF67" s="137"/>
      <c r="KAG67" s="137"/>
      <c r="KAH67" s="137"/>
      <c r="KAI67" s="137"/>
      <c r="KAJ67" s="137"/>
      <c r="KAK67" s="137"/>
      <c r="KAL67" s="137"/>
      <c r="KAM67" s="137"/>
      <c r="KAN67" s="137"/>
      <c r="KAO67" s="137"/>
      <c r="KAP67" s="137"/>
      <c r="KAQ67" s="137"/>
      <c r="KAR67" s="137"/>
      <c r="KAS67" s="137"/>
      <c r="KAT67" s="137"/>
      <c r="KAU67" s="137"/>
      <c r="KAV67" s="137"/>
      <c r="KAW67" s="137"/>
      <c r="KAX67" s="137"/>
      <c r="KAY67" s="137"/>
      <c r="KAZ67" s="137"/>
      <c r="KBA67" s="137"/>
      <c r="KBB67" s="137"/>
      <c r="KBC67" s="137"/>
      <c r="KBD67" s="137"/>
      <c r="KBE67" s="137"/>
      <c r="KBF67" s="137"/>
      <c r="KBG67" s="137"/>
      <c r="KBH67" s="137"/>
      <c r="KBI67" s="137"/>
      <c r="KBJ67" s="137"/>
      <c r="KBK67" s="137"/>
      <c r="KBL67" s="137"/>
      <c r="KBM67" s="137"/>
      <c r="KBN67" s="137"/>
      <c r="KBO67" s="137"/>
      <c r="KBP67" s="137"/>
      <c r="KBQ67" s="137"/>
      <c r="KBR67" s="137"/>
      <c r="KBS67" s="137"/>
      <c r="KBT67" s="137"/>
      <c r="KBU67" s="137"/>
      <c r="KBV67" s="137"/>
      <c r="KBW67" s="137"/>
      <c r="KBX67" s="137"/>
      <c r="KBY67" s="137"/>
      <c r="KBZ67" s="137"/>
      <c r="KCA67" s="137"/>
      <c r="KCB67" s="137"/>
      <c r="KCC67" s="137"/>
      <c r="KCD67" s="137"/>
      <c r="KCE67" s="137"/>
      <c r="KCF67" s="137"/>
      <c r="KCG67" s="137"/>
      <c r="KCH67" s="137"/>
      <c r="KCI67" s="137"/>
      <c r="KCJ67" s="137"/>
      <c r="KCK67" s="137"/>
      <c r="KCL67" s="137"/>
      <c r="KCM67" s="137"/>
      <c r="KCN67" s="137"/>
      <c r="KCO67" s="137"/>
      <c r="KCP67" s="137"/>
      <c r="KCQ67" s="137"/>
      <c r="KCR67" s="137"/>
      <c r="KCS67" s="137"/>
      <c r="KCT67" s="137"/>
      <c r="KCU67" s="137"/>
      <c r="KCV67" s="137"/>
      <c r="KCW67" s="137"/>
      <c r="KCX67" s="137"/>
      <c r="KCY67" s="137"/>
      <c r="KCZ67" s="137"/>
      <c r="KDA67" s="137"/>
      <c r="KDB67" s="137"/>
      <c r="KDC67" s="137"/>
      <c r="KDD67" s="137"/>
      <c r="KDE67" s="137"/>
      <c r="KDF67" s="137"/>
      <c r="KDG67" s="137"/>
      <c r="KDH67" s="137"/>
      <c r="KDI67" s="137"/>
      <c r="KDJ67" s="137"/>
      <c r="KDK67" s="137"/>
      <c r="KDL67" s="137"/>
      <c r="KDM67" s="137"/>
      <c r="KDN67" s="137"/>
      <c r="KDO67" s="137"/>
      <c r="KDP67" s="137"/>
      <c r="KDQ67" s="137"/>
      <c r="KDR67" s="137"/>
      <c r="KDS67" s="137"/>
      <c r="KDT67" s="137"/>
      <c r="KDU67" s="137"/>
      <c r="KDV67" s="137"/>
      <c r="KDW67" s="137"/>
      <c r="KDX67" s="137"/>
      <c r="KDY67" s="137"/>
      <c r="KDZ67" s="137"/>
      <c r="KEA67" s="137"/>
      <c r="KEB67" s="137"/>
      <c r="KEC67" s="137"/>
      <c r="KED67" s="137"/>
      <c r="KEE67" s="137"/>
      <c r="KEF67" s="137"/>
      <c r="KEG67" s="137"/>
      <c r="KEH67" s="137"/>
      <c r="KEI67" s="137"/>
      <c r="KEJ67" s="137"/>
      <c r="KEK67" s="137"/>
      <c r="KEL67" s="137"/>
      <c r="KEM67" s="137"/>
      <c r="KEN67" s="137"/>
      <c r="KEO67" s="137"/>
      <c r="KEP67" s="137"/>
      <c r="KEQ67" s="137"/>
      <c r="KER67" s="137"/>
      <c r="KES67" s="137"/>
      <c r="KET67" s="137"/>
      <c r="KEU67" s="137"/>
      <c r="KEV67" s="137"/>
      <c r="KEW67" s="137"/>
      <c r="KEX67" s="137"/>
      <c r="KEY67" s="137"/>
      <c r="KEZ67" s="137"/>
      <c r="KFA67" s="137"/>
      <c r="KFB67" s="137"/>
      <c r="KFC67" s="137"/>
      <c r="KFD67" s="137"/>
      <c r="KFE67" s="137"/>
      <c r="KFF67" s="137"/>
      <c r="KFG67" s="137"/>
      <c r="KFH67" s="137"/>
      <c r="KFI67" s="137"/>
      <c r="KFJ67" s="137"/>
      <c r="KFK67" s="137"/>
      <c r="KFL67" s="137"/>
      <c r="KFM67" s="137"/>
      <c r="KFN67" s="137"/>
      <c r="KFO67" s="137"/>
      <c r="KFP67" s="137"/>
      <c r="KFQ67" s="137"/>
      <c r="KFR67" s="137"/>
      <c r="KFS67" s="137"/>
      <c r="KFT67" s="137"/>
      <c r="KFU67" s="137"/>
      <c r="KFV67" s="137"/>
      <c r="KFW67" s="137"/>
      <c r="KFX67" s="137"/>
      <c r="KFY67" s="137"/>
      <c r="KFZ67" s="137"/>
      <c r="KGA67" s="137"/>
      <c r="KGB67" s="137"/>
      <c r="KGC67" s="137"/>
      <c r="KGD67" s="137"/>
      <c r="KGE67" s="137"/>
      <c r="KGF67" s="137"/>
      <c r="KGG67" s="137"/>
      <c r="KGH67" s="137"/>
      <c r="KGI67" s="137"/>
      <c r="KGJ67" s="137"/>
      <c r="KGK67" s="137"/>
      <c r="KGL67" s="137"/>
      <c r="KGM67" s="137"/>
      <c r="KGN67" s="137"/>
      <c r="KGO67" s="137"/>
      <c r="KGP67" s="137"/>
      <c r="KGQ67" s="137"/>
      <c r="KGR67" s="137"/>
      <c r="KGS67" s="137"/>
      <c r="KGT67" s="137"/>
      <c r="KGU67" s="137"/>
      <c r="KGV67" s="137"/>
      <c r="KGW67" s="137"/>
      <c r="KGX67" s="137"/>
      <c r="KGY67" s="137"/>
      <c r="KGZ67" s="137"/>
      <c r="KHA67" s="137"/>
      <c r="KHB67" s="137"/>
      <c r="KHC67" s="137"/>
      <c r="KHD67" s="137"/>
      <c r="KHE67" s="137"/>
      <c r="KHF67" s="137"/>
      <c r="KHG67" s="137"/>
      <c r="KHH67" s="137"/>
      <c r="KHI67" s="137"/>
      <c r="KHJ67" s="137"/>
      <c r="KHK67" s="137"/>
      <c r="KHL67" s="137"/>
      <c r="KHM67" s="137"/>
      <c r="KHN67" s="137"/>
      <c r="KHO67" s="137"/>
      <c r="KHP67" s="137"/>
      <c r="KHQ67" s="137"/>
      <c r="KHR67" s="137"/>
      <c r="KHS67" s="137"/>
      <c r="KHT67" s="137"/>
      <c r="KHU67" s="137"/>
      <c r="KHV67" s="137"/>
      <c r="KHW67" s="137"/>
      <c r="KHX67" s="137"/>
      <c r="KHY67" s="137"/>
      <c r="KHZ67" s="137"/>
      <c r="KIA67" s="137"/>
      <c r="KIB67" s="137"/>
      <c r="KIC67" s="137"/>
      <c r="KID67" s="137"/>
      <c r="KIE67" s="137"/>
      <c r="KIF67" s="137"/>
      <c r="KIG67" s="137"/>
      <c r="KIH67" s="137"/>
      <c r="KII67" s="137"/>
      <c r="KIJ67" s="137"/>
      <c r="KIK67" s="137"/>
      <c r="KIL67" s="137"/>
      <c r="KIM67" s="137"/>
      <c r="KIN67" s="137"/>
      <c r="KIO67" s="137"/>
      <c r="KIP67" s="137"/>
      <c r="KIQ67" s="137"/>
      <c r="KIR67" s="137"/>
      <c r="KIS67" s="137"/>
      <c r="KIT67" s="137"/>
      <c r="KIU67" s="137"/>
      <c r="KIV67" s="137"/>
      <c r="KIW67" s="137"/>
      <c r="KIX67" s="137"/>
      <c r="KIY67" s="137"/>
      <c r="KIZ67" s="137"/>
      <c r="KJA67" s="137"/>
      <c r="KJB67" s="137"/>
      <c r="KJC67" s="137"/>
      <c r="KJD67" s="137"/>
      <c r="KJE67" s="137"/>
      <c r="KJF67" s="137"/>
      <c r="KJG67" s="137"/>
      <c r="KJH67" s="137"/>
      <c r="KJI67" s="137"/>
      <c r="KJJ67" s="137"/>
      <c r="KJK67" s="137"/>
      <c r="KJL67" s="137"/>
      <c r="KJM67" s="137"/>
      <c r="KJN67" s="137"/>
      <c r="KJO67" s="137"/>
      <c r="KJP67" s="137"/>
      <c r="KJQ67" s="137"/>
      <c r="KJR67" s="137"/>
      <c r="KJS67" s="137"/>
      <c r="KJT67" s="137"/>
      <c r="KJU67" s="137"/>
      <c r="KJV67" s="137"/>
      <c r="KJW67" s="137"/>
      <c r="KJX67" s="137"/>
      <c r="KJY67" s="137"/>
      <c r="KJZ67" s="137"/>
      <c r="KKA67" s="137"/>
      <c r="KKB67" s="137"/>
      <c r="KKC67" s="137"/>
      <c r="KKD67" s="137"/>
      <c r="KKE67" s="137"/>
      <c r="KKF67" s="137"/>
      <c r="KKG67" s="137"/>
      <c r="KKH67" s="137"/>
      <c r="KKI67" s="137"/>
      <c r="KKJ67" s="137"/>
      <c r="KKK67" s="137"/>
      <c r="KKL67" s="137"/>
      <c r="KKM67" s="137"/>
      <c r="KKN67" s="137"/>
      <c r="KKO67" s="137"/>
      <c r="KKP67" s="137"/>
      <c r="KKQ67" s="137"/>
      <c r="KKR67" s="137"/>
      <c r="KKS67" s="137"/>
      <c r="KKT67" s="137"/>
      <c r="KKU67" s="137"/>
      <c r="KKV67" s="137"/>
      <c r="KKW67" s="137"/>
      <c r="KKX67" s="137"/>
      <c r="KKY67" s="137"/>
      <c r="KKZ67" s="137"/>
      <c r="KLA67" s="137"/>
      <c r="KLB67" s="137"/>
      <c r="KLC67" s="137"/>
      <c r="KLD67" s="137"/>
      <c r="KLE67" s="137"/>
      <c r="KLF67" s="137"/>
      <c r="KLG67" s="137"/>
      <c r="KLH67" s="137"/>
      <c r="KLI67" s="137"/>
      <c r="KLJ67" s="137"/>
      <c r="KLK67" s="137"/>
      <c r="KLL67" s="137"/>
      <c r="KLM67" s="137"/>
      <c r="KLN67" s="137"/>
      <c r="KLO67" s="137"/>
      <c r="KLP67" s="137"/>
      <c r="KLQ67" s="137"/>
      <c r="KLR67" s="137"/>
      <c r="KLS67" s="137"/>
      <c r="KLT67" s="137"/>
      <c r="KLU67" s="137"/>
      <c r="KLV67" s="137"/>
      <c r="KLW67" s="137"/>
      <c r="KLX67" s="137"/>
      <c r="KLY67" s="137"/>
      <c r="KLZ67" s="137"/>
      <c r="KMA67" s="137"/>
      <c r="KMB67" s="137"/>
      <c r="KMC67" s="137"/>
      <c r="KMD67" s="137"/>
      <c r="KME67" s="137"/>
      <c r="KMF67" s="137"/>
      <c r="KMG67" s="137"/>
      <c r="KMH67" s="137"/>
      <c r="KMI67" s="137"/>
      <c r="KMJ67" s="137"/>
      <c r="KMK67" s="137"/>
      <c r="KML67" s="137"/>
      <c r="KMM67" s="137"/>
      <c r="KMN67" s="137"/>
      <c r="KMO67" s="137"/>
      <c r="KMP67" s="137"/>
      <c r="KMQ67" s="137"/>
      <c r="KMR67" s="137"/>
      <c r="KMS67" s="137"/>
      <c r="KMT67" s="137"/>
      <c r="KMU67" s="137"/>
      <c r="KMV67" s="137"/>
      <c r="KMW67" s="137"/>
      <c r="KMX67" s="137"/>
      <c r="KMY67" s="137"/>
      <c r="KMZ67" s="137"/>
      <c r="KNA67" s="137"/>
      <c r="KNB67" s="137"/>
      <c r="KNC67" s="137"/>
      <c r="KND67" s="137"/>
      <c r="KNE67" s="137"/>
      <c r="KNF67" s="137"/>
      <c r="KNG67" s="137"/>
      <c r="KNH67" s="137"/>
      <c r="KNI67" s="137"/>
      <c r="KNJ67" s="137"/>
      <c r="KNK67" s="137"/>
      <c r="KNL67" s="137"/>
      <c r="KNM67" s="137"/>
      <c r="KNN67" s="137"/>
      <c r="KNO67" s="137"/>
      <c r="KNP67" s="137"/>
      <c r="KNQ67" s="137"/>
      <c r="KNR67" s="137"/>
      <c r="KNS67" s="137"/>
      <c r="KNT67" s="137"/>
      <c r="KNU67" s="137"/>
      <c r="KNV67" s="137"/>
      <c r="KNW67" s="137"/>
      <c r="KNX67" s="137"/>
      <c r="KNY67" s="137"/>
      <c r="KNZ67" s="137"/>
      <c r="KOA67" s="137"/>
      <c r="KOB67" s="137"/>
      <c r="KOC67" s="137"/>
      <c r="KOD67" s="137"/>
      <c r="KOE67" s="137"/>
      <c r="KOF67" s="137"/>
      <c r="KOG67" s="137"/>
      <c r="KOH67" s="137"/>
      <c r="KOI67" s="137"/>
      <c r="KOJ67" s="137"/>
      <c r="KOK67" s="137"/>
      <c r="KOL67" s="137"/>
      <c r="KOM67" s="137"/>
      <c r="KON67" s="137"/>
      <c r="KOO67" s="137"/>
      <c r="KOP67" s="137"/>
      <c r="KOQ67" s="137"/>
      <c r="KOR67" s="137"/>
      <c r="KOS67" s="137"/>
      <c r="KOT67" s="137"/>
      <c r="KOU67" s="137"/>
      <c r="KOV67" s="137"/>
      <c r="KOW67" s="137"/>
      <c r="KOX67" s="137"/>
      <c r="KOY67" s="137"/>
      <c r="KOZ67" s="137"/>
      <c r="KPA67" s="137"/>
      <c r="KPB67" s="137"/>
      <c r="KPC67" s="137"/>
      <c r="KPD67" s="137"/>
      <c r="KPE67" s="137"/>
      <c r="KPF67" s="137"/>
      <c r="KPG67" s="137"/>
      <c r="KPH67" s="137"/>
      <c r="KPI67" s="137"/>
      <c r="KPJ67" s="137"/>
      <c r="KPK67" s="137"/>
      <c r="KPL67" s="137"/>
      <c r="KPM67" s="137"/>
      <c r="KPN67" s="137"/>
      <c r="KPO67" s="137"/>
      <c r="KPP67" s="137"/>
      <c r="KPQ67" s="137"/>
      <c r="KPR67" s="137"/>
      <c r="KPS67" s="137"/>
      <c r="KPT67" s="137"/>
      <c r="KPU67" s="137"/>
      <c r="KPV67" s="137"/>
      <c r="KPW67" s="137"/>
      <c r="KPX67" s="137"/>
      <c r="KPY67" s="137"/>
      <c r="KPZ67" s="137"/>
      <c r="KQA67" s="137"/>
      <c r="KQB67" s="137"/>
      <c r="KQC67" s="137"/>
      <c r="KQD67" s="137"/>
      <c r="KQE67" s="137"/>
      <c r="KQF67" s="137"/>
      <c r="KQG67" s="137"/>
      <c r="KQH67" s="137"/>
      <c r="KQI67" s="137"/>
      <c r="KQJ67" s="137"/>
      <c r="KQK67" s="137"/>
      <c r="KQL67" s="137"/>
      <c r="KQM67" s="137"/>
      <c r="KQN67" s="137"/>
      <c r="KQO67" s="137"/>
      <c r="KQP67" s="137"/>
      <c r="KQQ67" s="137"/>
      <c r="KQR67" s="137"/>
      <c r="KQS67" s="137"/>
      <c r="KQT67" s="137"/>
      <c r="KQU67" s="137"/>
      <c r="KQV67" s="137"/>
      <c r="KQW67" s="137"/>
      <c r="KQX67" s="137"/>
      <c r="KQY67" s="137"/>
      <c r="KQZ67" s="137"/>
      <c r="KRA67" s="137"/>
      <c r="KRB67" s="137"/>
      <c r="KRC67" s="137"/>
      <c r="KRD67" s="137"/>
      <c r="KRE67" s="137"/>
      <c r="KRF67" s="137"/>
      <c r="KRG67" s="137"/>
      <c r="KRH67" s="137"/>
      <c r="KRI67" s="137"/>
      <c r="KRJ67" s="137"/>
      <c r="KRK67" s="137"/>
      <c r="KRL67" s="137"/>
      <c r="KRM67" s="137"/>
      <c r="KRN67" s="137"/>
      <c r="KRO67" s="137"/>
      <c r="KRP67" s="137"/>
      <c r="KRQ67" s="137"/>
      <c r="KRR67" s="137"/>
      <c r="KRS67" s="137"/>
      <c r="KRT67" s="137"/>
      <c r="KRU67" s="137"/>
      <c r="KRV67" s="137"/>
      <c r="KRW67" s="137"/>
      <c r="KRX67" s="137"/>
      <c r="KRY67" s="137"/>
      <c r="KRZ67" s="137"/>
      <c r="KSA67" s="137"/>
      <c r="KSB67" s="137"/>
      <c r="KSC67" s="137"/>
      <c r="KSD67" s="137"/>
      <c r="KSE67" s="137"/>
      <c r="KSF67" s="137"/>
      <c r="KSG67" s="137"/>
      <c r="KSH67" s="137"/>
      <c r="KSI67" s="137"/>
      <c r="KSJ67" s="137"/>
      <c r="KSK67" s="137"/>
      <c r="KSL67" s="137"/>
      <c r="KSM67" s="137"/>
      <c r="KSN67" s="137"/>
      <c r="KSO67" s="137"/>
      <c r="KSP67" s="137"/>
      <c r="KSQ67" s="137"/>
      <c r="KSR67" s="137"/>
      <c r="KSS67" s="137"/>
      <c r="KST67" s="137"/>
      <c r="KSU67" s="137"/>
      <c r="KSV67" s="137"/>
      <c r="KSW67" s="137"/>
      <c r="KSX67" s="137"/>
      <c r="KSY67" s="137"/>
      <c r="KSZ67" s="137"/>
      <c r="KTA67" s="137"/>
      <c r="KTB67" s="137"/>
      <c r="KTC67" s="137"/>
      <c r="KTD67" s="137"/>
      <c r="KTE67" s="137"/>
      <c r="KTF67" s="137"/>
      <c r="KTG67" s="137"/>
      <c r="KTH67" s="137"/>
      <c r="KTI67" s="137"/>
      <c r="KTJ67" s="137"/>
      <c r="KTK67" s="137"/>
      <c r="KTL67" s="137"/>
      <c r="KTM67" s="137"/>
      <c r="KTN67" s="137"/>
      <c r="KTO67" s="137"/>
      <c r="KTP67" s="137"/>
      <c r="KTQ67" s="137"/>
      <c r="KTR67" s="137"/>
      <c r="KTS67" s="137"/>
      <c r="KTT67" s="137"/>
      <c r="KTU67" s="137"/>
      <c r="KTV67" s="137"/>
      <c r="KTW67" s="137"/>
      <c r="KTX67" s="137"/>
      <c r="KTY67" s="137"/>
      <c r="KTZ67" s="137"/>
      <c r="KUA67" s="137"/>
      <c r="KUB67" s="137"/>
      <c r="KUC67" s="137"/>
      <c r="KUD67" s="137"/>
      <c r="KUE67" s="137"/>
      <c r="KUF67" s="137"/>
      <c r="KUG67" s="137"/>
      <c r="KUH67" s="137"/>
      <c r="KUI67" s="137"/>
      <c r="KUJ67" s="137"/>
      <c r="KUK67" s="137"/>
      <c r="KUL67" s="137"/>
      <c r="KUM67" s="137"/>
      <c r="KUN67" s="137"/>
      <c r="KUO67" s="137"/>
      <c r="KUP67" s="137"/>
      <c r="KUQ67" s="137"/>
      <c r="KUR67" s="137"/>
      <c r="KUS67" s="137"/>
      <c r="KUT67" s="137"/>
      <c r="KUU67" s="137"/>
      <c r="KUV67" s="137"/>
      <c r="KUW67" s="137"/>
      <c r="KUX67" s="137"/>
      <c r="KUY67" s="137"/>
      <c r="KUZ67" s="137"/>
      <c r="KVA67" s="137"/>
      <c r="KVB67" s="137"/>
      <c r="KVC67" s="137"/>
      <c r="KVD67" s="137"/>
      <c r="KVE67" s="137"/>
      <c r="KVF67" s="137"/>
      <c r="KVG67" s="137"/>
      <c r="KVH67" s="137"/>
      <c r="KVI67" s="137"/>
      <c r="KVJ67" s="137"/>
      <c r="KVK67" s="137"/>
      <c r="KVL67" s="137"/>
      <c r="KVM67" s="137"/>
      <c r="KVN67" s="137"/>
      <c r="KVO67" s="137"/>
      <c r="KVP67" s="137"/>
      <c r="KVQ67" s="137"/>
      <c r="KVR67" s="137"/>
      <c r="KVS67" s="137"/>
      <c r="KVT67" s="137"/>
      <c r="KVU67" s="137"/>
      <c r="KVV67" s="137"/>
      <c r="KVW67" s="137"/>
      <c r="KVX67" s="137"/>
      <c r="KVY67" s="137"/>
      <c r="KVZ67" s="137"/>
      <c r="KWA67" s="137"/>
      <c r="KWB67" s="137"/>
      <c r="KWC67" s="137"/>
      <c r="KWD67" s="137"/>
      <c r="KWE67" s="137"/>
      <c r="KWF67" s="137"/>
      <c r="KWG67" s="137"/>
      <c r="KWH67" s="137"/>
      <c r="KWI67" s="137"/>
      <c r="KWJ67" s="137"/>
      <c r="KWK67" s="137"/>
      <c r="KWL67" s="137"/>
      <c r="KWM67" s="137"/>
      <c r="KWN67" s="137"/>
      <c r="KWO67" s="137"/>
      <c r="KWP67" s="137"/>
      <c r="KWQ67" s="137"/>
      <c r="KWR67" s="137"/>
      <c r="KWS67" s="137"/>
      <c r="KWT67" s="137"/>
      <c r="KWU67" s="137"/>
      <c r="KWV67" s="137"/>
      <c r="KWW67" s="137"/>
      <c r="KWX67" s="137"/>
      <c r="KWY67" s="137"/>
      <c r="KWZ67" s="137"/>
      <c r="KXA67" s="137"/>
      <c r="KXB67" s="137"/>
      <c r="KXC67" s="137"/>
      <c r="KXD67" s="137"/>
      <c r="KXE67" s="137"/>
      <c r="KXF67" s="137"/>
      <c r="KXG67" s="137"/>
      <c r="KXH67" s="137"/>
      <c r="KXI67" s="137"/>
      <c r="KXJ67" s="137"/>
      <c r="KXK67" s="137"/>
      <c r="KXL67" s="137"/>
      <c r="KXM67" s="137"/>
      <c r="KXN67" s="137"/>
      <c r="KXO67" s="137"/>
      <c r="KXP67" s="137"/>
      <c r="KXQ67" s="137"/>
      <c r="KXR67" s="137"/>
      <c r="KXS67" s="137"/>
      <c r="KXT67" s="137"/>
      <c r="KXU67" s="137"/>
      <c r="KXV67" s="137"/>
      <c r="KXW67" s="137"/>
      <c r="KXX67" s="137"/>
      <c r="KXY67" s="137"/>
      <c r="KXZ67" s="137"/>
      <c r="KYA67" s="137"/>
      <c r="KYB67" s="137"/>
      <c r="KYC67" s="137"/>
      <c r="KYD67" s="137"/>
      <c r="KYE67" s="137"/>
      <c r="KYF67" s="137"/>
      <c r="KYG67" s="137"/>
      <c r="KYH67" s="137"/>
      <c r="KYI67" s="137"/>
      <c r="KYJ67" s="137"/>
      <c r="KYK67" s="137"/>
      <c r="KYL67" s="137"/>
      <c r="KYM67" s="137"/>
      <c r="KYN67" s="137"/>
      <c r="KYO67" s="137"/>
      <c r="KYP67" s="137"/>
      <c r="KYQ67" s="137"/>
      <c r="KYR67" s="137"/>
      <c r="KYS67" s="137"/>
      <c r="KYT67" s="137"/>
      <c r="KYU67" s="137"/>
      <c r="KYV67" s="137"/>
      <c r="KYW67" s="137"/>
      <c r="KYX67" s="137"/>
      <c r="KYY67" s="137"/>
      <c r="KYZ67" s="137"/>
      <c r="KZA67" s="137"/>
      <c r="KZB67" s="137"/>
      <c r="KZC67" s="137"/>
      <c r="KZD67" s="137"/>
      <c r="KZE67" s="137"/>
      <c r="KZF67" s="137"/>
      <c r="KZG67" s="137"/>
      <c r="KZH67" s="137"/>
      <c r="KZI67" s="137"/>
      <c r="KZJ67" s="137"/>
      <c r="KZK67" s="137"/>
      <c r="KZL67" s="137"/>
      <c r="KZM67" s="137"/>
      <c r="KZN67" s="137"/>
      <c r="KZO67" s="137"/>
      <c r="KZP67" s="137"/>
      <c r="KZQ67" s="137"/>
      <c r="KZR67" s="137"/>
      <c r="KZS67" s="137"/>
      <c r="KZT67" s="137"/>
      <c r="KZU67" s="137"/>
      <c r="KZV67" s="137"/>
      <c r="KZW67" s="137"/>
      <c r="KZX67" s="137"/>
      <c r="KZY67" s="137"/>
      <c r="KZZ67" s="137"/>
      <c r="LAA67" s="137"/>
      <c r="LAB67" s="137"/>
      <c r="LAC67" s="137"/>
      <c r="LAD67" s="137"/>
      <c r="LAE67" s="137"/>
      <c r="LAF67" s="137"/>
      <c r="LAG67" s="137"/>
      <c r="LAH67" s="137"/>
      <c r="LAI67" s="137"/>
      <c r="LAJ67" s="137"/>
      <c r="LAK67" s="137"/>
      <c r="LAL67" s="137"/>
      <c r="LAM67" s="137"/>
      <c r="LAN67" s="137"/>
      <c r="LAO67" s="137"/>
      <c r="LAP67" s="137"/>
      <c r="LAQ67" s="137"/>
      <c r="LAR67" s="137"/>
      <c r="LAS67" s="137"/>
      <c r="LAT67" s="137"/>
      <c r="LAU67" s="137"/>
      <c r="LAV67" s="137"/>
      <c r="LAW67" s="137"/>
      <c r="LAX67" s="137"/>
      <c r="LAY67" s="137"/>
      <c r="LAZ67" s="137"/>
      <c r="LBA67" s="137"/>
      <c r="LBB67" s="137"/>
      <c r="LBC67" s="137"/>
      <c r="LBD67" s="137"/>
      <c r="LBE67" s="137"/>
      <c r="LBF67" s="137"/>
      <c r="LBG67" s="137"/>
      <c r="LBH67" s="137"/>
      <c r="LBI67" s="137"/>
      <c r="LBJ67" s="137"/>
      <c r="LBK67" s="137"/>
      <c r="LBL67" s="137"/>
      <c r="LBM67" s="137"/>
      <c r="LBN67" s="137"/>
      <c r="LBO67" s="137"/>
      <c r="LBP67" s="137"/>
      <c r="LBQ67" s="137"/>
      <c r="LBR67" s="137"/>
      <c r="LBS67" s="137"/>
      <c r="LBT67" s="137"/>
      <c r="LBU67" s="137"/>
      <c r="LBV67" s="137"/>
      <c r="LBW67" s="137"/>
      <c r="LBX67" s="137"/>
      <c r="LBY67" s="137"/>
      <c r="LBZ67" s="137"/>
      <c r="LCA67" s="137"/>
      <c r="LCB67" s="137"/>
      <c r="LCC67" s="137"/>
      <c r="LCD67" s="137"/>
      <c r="LCE67" s="137"/>
      <c r="LCF67" s="137"/>
      <c r="LCG67" s="137"/>
      <c r="LCH67" s="137"/>
      <c r="LCI67" s="137"/>
      <c r="LCJ67" s="137"/>
      <c r="LCK67" s="137"/>
      <c r="LCL67" s="137"/>
      <c r="LCM67" s="137"/>
      <c r="LCN67" s="137"/>
      <c r="LCO67" s="137"/>
      <c r="LCP67" s="137"/>
      <c r="LCQ67" s="137"/>
      <c r="LCR67" s="137"/>
      <c r="LCS67" s="137"/>
      <c r="LCT67" s="137"/>
      <c r="LCU67" s="137"/>
      <c r="LCV67" s="137"/>
      <c r="LCW67" s="137"/>
      <c r="LCX67" s="137"/>
      <c r="LCY67" s="137"/>
      <c r="LCZ67" s="137"/>
      <c r="LDA67" s="137"/>
      <c r="LDB67" s="137"/>
      <c r="LDC67" s="137"/>
      <c r="LDD67" s="137"/>
      <c r="LDE67" s="137"/>
      <c r="LDF67" s="137"/>
      <c r="LDG67" s="137"/>
      <c r="LDH67" s="137"/>
      <c r="LDI67" s="137"/>
      <c r="LDJ67" s="137"/>
      <c r="LDK67" s="137"/>
      <c r="LDL67" s="137"/>
      <c r="LDM67" s="137"/>
      <c r="LDN67" s="137"/>
      <c r="LDO67" s="137"/>
      <c r="LDP67" s="137"/>
      <c r="LDQ67" s="137"/>
      <c r="LDR67" s="137"/>
      <c r="LDS67" s="137"/>
      <c r="LDT67" s="137"/>
      <c r="LDU67" s="137"/>
      <c r="LDV67" s="137"/>
      <c r="LDW67" s="137"/>
      <c r="LDX67" s="137"/>
      <c r="LDY67" s="137"/>
      <c r="LDZ67" s="137"/>
      <c r="LEA67" s="137"/>
      <c r="LEB67" s="137"/>
      <c r="LEC67" s="137"/>
      <c r="LED67" s="137"/>
      <c r="LEE67" s="137"/>
      <c r="LEF67" s="137"/>
      <c r="LEG67" s="137"/>
      <c r="LEH67" s="137"/>
      <c r="LEI67" s="137"/>
      <c r="LEJ67" s="137"/>
      <c r="LEK67" s="137"/>
      <c r="LEL67" s="137"/>
      <c r="LEM67" s="137"/>
      <c r="LEN67" s="137"/>
      <c r="LEO67" s="137"/>
      <c r="LEP67" s="137"/>
      <c r="LEQ67" s="137"/>
      <c r="LER67" s="137"/>
      <c r="LES67" s="137"/>
      <c r="LET67" s="137"/>
      <c r="LEU67" s="137"/>
      <c r="LEV67" s="137"/>
      <c r="LEW67" s="137"/>
      <c r="LEX67" s="137"/>
      <c r="LEY67" s="137"/>
      <c r="LEZ67" s="137"/>
      <c r="LFA67" s="137"/>
      <c r="LFB67" s="137"/>
      <c r="LFC67" s="137"/>
      <c r="LFD67" s="137"/>
      <c r="LFE67" s="137"/>
      <c r="LFF67" s="137"/>
      <c r="LFG67" s="137"/>
      <c r="LFH67" s="137"/>
      <c r="LFI67" s="137"/>
      <c r="LFJ67" s="137"/>
      <c r="LFK67" s="137"/>
      <c r="LFL67" s="137"/>
      <c r="LFM67" s="137"/>
      <c r="LFN67" s="137"/>
      <c r="LFO67" s="137"/>
      <c r="LFP67" s="137"/>
      <c r="LFQ67" s="137"/>
      <c r="LFR67" s="137"/>
      <c r="LFS67" s="137"/>
      <c r="LFT67" s="137"/>
      <c r="LFU67" s="137"/>
      <c r="LFV67" s="137"/>
      <c r="LFW67" s="137"/>
      <c r="LFX67" s="137"/>
      <c r="LFY67" s="137"/>
      <c r="LFZ67" s="137"/>
      <c r="LGA67" s="137"/>
      <c r="LGB67" s="137"/>
      <c r="LGC67" s="137"/>
      <c r="LGD67" s="137"/>
      <c r="LGE67" s="137"/>
      <c r="LGF67" s="137"/>
      <c r="LGG67" s="137"/>
      <c r="LGH67" s="137"/>
      <c r="LGI67" s="137"/>
      <c r="LGJ67" s="137"/>
      <c r="LGK67" s="137"/>
      <c r="LGL67" s="137"/>
      <c r="LGM67" s="137"/>
      <c r="LGN67" s="137"/>
      <c r="LGO67" s="137"/>
      <c r="LGP67" s="137"/>
      <c r="LGQ67" s="137"/>
      <c r="LGR67" s="137"/>
      <c r="LGS67" s="137"/>
      <c r="LGT67" s="137"/>
      <c r="LGU67" s="137"/>
      <c r="LGV67" s="137"/>
      <c r="LGW67" s="137"/>
      <c r="LGX67" s="137"/>
      <c r="LGY67" s="137"/>
      <c r="LGZ67" s="137"/>
      <c r="LHA67" s="137"/>
      <c r="LHB67" s="137"/>
      <c r="LHC67" s="137"/>
      <c r="LHD67" s="137"/>
      <c r="LHE67" s="137"/>
      <c r="LHF67" s="137"/>
      <c r="LHG67" s="137"/>
      <c r="LHH67" s="137"/>
      <c r="LHI67" s="137"/>
      <c r="LHJ67" s="137"/>
      <c r="LHK67" s="137"/>
      <c r="LHL67" s="137"/>
      <c r="LHM67" s="137"/>
      <c r="LHN67" s="137"/>
      <c r="LHO67" s="137"/>
      <c r="LHP67" s="137"/>
      <c r="LHQ67" s="137"/>
      <c r="LHR67" s="137"/>
      <c r="LHS67" s="137"/>
      <c r="LHT67" s="137"/>
      <c r="LHU67" s="137"/>
      <c r="LHV67" s="137"/>
      <c r="LHW67" s="137"/>
      <c r="LHX67" s="137"/>
      <c r="LHY67" s="137"/>
      <c r="LHZ67" s="137"/>
      <c r="LIA67" s="137"/>
      <c r="LIB67" s="137"/>
      <c r="LIC67" s="137"/>
      <c r="LID67" s="137"/>
      <c r="LIE67" s="137"/>
      <c r="LIF67" s="137"/>
      <c r="LIG67" s="137"/>
      <c r="LIH67" s="137"/>
      <c r="LII67" s="137"/>
      <c r="LIJ67" s="137"/>
      <c r="LIK67" s="137"/>
      <c r="LIL67" s="137"/>
      <c r="LIM67" s="137"/>
      <c r="LIN67" s="137"/>
      <c r="LIO67" s="137"/>
      <c r="LIP67" s="137"/>
      <c r="LIQ67" s="137"/>
      <c r="LIR67" s="137"/>
      <c r="LIS67" s="137"/>
      <c r="LIT67" s="137"/>
      <c r="LIU67" s="137"/>
      <c r="LIV67" s="137"/>
      <c r="LIW67" s="137"/>
      <c r="LIX67" s="137"/>
      <c r="LIY67" s="137"/>
      <c r="LIZ67" s="137"/>
      <c r="LJA67" s="137"/>
      <c r="LJB67" s="137"/>
      <c r="LJC67" s="137"/>
      <c r="LJD67" s="137"/>
      <c r="LJE67" s="137"/>
      <c r="LJF67" s="137"/>
      <c r="LJG67" s="137"/>
      <c r="LJH67" s="137"/>
      <c r="LJI67" s="137"/>
      <c r="LJJ67" s="137"/>
      <c r="LJK67" s="137"/>
      <c r="LJL67" s="137"/>
      <c r="LJM67" s="137"/>
      <c r="LJN67" s="137"/>
      <c r="LJO67" s="137"/>
      <c r="LJP67" s="137"/>
      <c r="LJQ67" s="137"/>
      <c r="LJR67" s="137"/>
      <c r="LJS67" s="137"/>
      <c r="LJT67" s="137"/>
      <c r="LJU67" s="137"/>
      <c r="LJV67" s="137"/>
      <c r="LJW67" s="137"/>
      <c r="LJX67" s="137"/>
      <c r="LJY67" s="137"/>
      <c r="LJZ67" s="137"/>
      <c r="LKA67" s="137"/>
      <c r="LKB67" s="137"/>
      <c r="LKC67" s="137"/>
      <c r="LKD67" s="137"/>
      <c r="LKE67" s="137"/>
      <c r="LKF67" s="137"/>
      <c r="LKG67" s="137"/>
      <c r="LKH67" s="137"/>
      <c r="LKI67" s="137"/>
      <c r="LKJ67" s="137"/>
      <c r="LKK67" s="137"/>
      <c r="LKL67" s="137"/>
      <c r="LKM67" s="137"/>
      <c r="LKN67" s="137"/>
      <c r="LKO67" s="137"/>
      <c r="LKP67" s="137"/>
      <c r="LKQ67" s="137"/>
      <c r="LKR67" s="137"/>
      <c r="LKS67" s="137"/>
      <c r="LKT67" s="137"/>
      <c r="LKU67" s="137"/>
      <c r="LKV67" s="137"/>
      <c r="LKW67" s="137"/>
      <c r="LKX67" s="137"/>
      <c r="LKY67" s="137"/>
      <c r="LKZ67" s="137"/>
      <c r="LLA67" s="137"/>
      <c r="LLB67" s="137"/>
      <c r="LLC67" s="137"/>
      <c r="LLD67" s="137"/>
      <c r="LLE67" s="137"/>
      <c r="LLF67" s="137"/>
      <c r="LLG67" s="137"/>
      <c r="LLH67" s="137"/>
      <c r="LLI67" s="137"/>
      <c r="LLJ67" s="137"/>
      <c r="LLK67" s="137"/>
      <c r="LLL67" s="137"/>
      <c r="LLM67" s="137"/>
      <c r="LLN67" s="137"/>
      <c r="LLO67" s="137"/>
      <c r="LLP67" s="137"/>
      <c r="LLQ67" s="137"/>
      <c r="LLR67" s="137"/>
      <c r="LLS67" s="137"/>
      <c r="LLT67" s="137"/>
      <c r="LLU67" s="137"/>
      <c r="LLV67" s="137"/>
      <c r="LLW67" s="137"/>
      <c r="LLX67" s="137"/>
      <c r="LLY67" s="137"/>
      <c r="LLZ67" s="137"/>
      <c r="LMA67" s="137"/>
      <c r="LMB67" s="137"/>
      <c r="LMC67" s="137"/>
      <c r="LMD67" s="137"/>
      <c r="LME67" s="137"/>
      <c r="LMF67" s="137"/>
      <c r="LMG67" s="137"/>
      <c r="LMH67" s="137"/>
      <c r="LMI67" s="137"/>
      <c r="LMJ67" s="137"/>
      <c r="LMK67" s="137"/>
      <c r="LML67" s="137"/>
      <c r="LMM67" s="137"/>
      <c r="LMN67" s="137"/>
      <c r="LMO67" s="137"/>
      <c r="LMP67" s="137"/>
      <c r="LMQ67" s="137"/>
      <c r="LMR67" s="137"/>
      <c r="LMS67" s="137"/>
      <c r="LMT67" s="137"/>
      <c r="LMU67" s="137"/>
      <c r="LMV67" s="137"/>
      <c r="LMW67" s="137"/>
      <c r="LMX67" s="137"/>
      <c r="LMY67" s="137"/>
      <c r="LMZ67" s="137"/>
      <c r="LNA67" s="137"/>
      <c r="LNB67" s="137"/>
      <c r="LNC67" s="137"/>
      <c r="LND67" s="137"/>
      <c r="LNE67" s="137"/>
      <c r="LNF67" s="137"/>
      <c r="LNG67" s="137"/>
      <c r="LNH67" s="137"/>
      <c r="LNI67" s="137"/>
      <c r="LNJ67" s="137"/>
      <c r="LNK67" s="137"/>
      <c r="LNL67" s="137"/>
      <c r="LNM67" s="137"/>
      <c r="LNN67" s="137"/>
      <c r="LNO67" s="137"/>
      <c r="LNP67" s="137"/>
      <c r="LNQ67" s="137"/>
      <c r="LNR67" s="137"/>
      <c r="LNS67" s="137"/>
      <c r="LNT67" s="137"/>
      <c r="LNU67" s="137"/>
      <c r="LNV67" s="137"/>
      <c r="LNW67" s="137"/>
      <c r="LNX67" s="137"/>
      <c r="LNY67" s="137"/>
      <c r="LNZ67" s="137"/>
      <c r="LOA67" s="137"/>
      <c r="LOB67" s="137"/>
      <c r="LOC67" s="137"/>
      <c r="LOD67" s="137"/>
      <c r="LOE67" s="137"/>
      <c r="LOF67" s="137"/>
      <c r="LOG67" s="137"/>
      <c r="LOH67" s="137"/>
      <c r="LOI67" s="137"/>
      <c r="LOJ67" s="137"/>
      <c r="LOK67" s="137"/>
      <c r="LOL67" s="137"/>
      <c r="LOM67" s="137"/>
      <c r="LON67" s="137"/>
      <c r="LOO67" s="137"/>
      <c r="LOP67" s="137"/>
      <c r="LOQ67" s="137"/>
      <c r="LOR67" s="137"/>
      <c r="LOS67" s="137"/>
      <c r="LOT67" s="137"/>
      <c r="LOU67" s="137"/>
      <c r="LOV67" s="137"/>
      <c r="LOW67" s="137"/>
      <c r="LOX67" s="137"/>
      <c r="LOY67" s="137"/>
      <c r="LOZ67" s="137"/>
      <c r="LPA67" s="137"/>
      <c r="LPB67" s="137"/>
      <c r="LPC67" s="137"/>
      <c r="LPD67" s="137"/>
      <c r="LPE67" s="137"/>
      <c r="LPF67" s="137"/>
      <c r="LPG67" s="137"/>
      <c r="LPH67" s="137"/>
      <c r="LPI67" s="137"/>
      <c r="LPJ67" s="137"/>
      <c r="LPK67" s="137"/>
      <c r="LPL67" s="137"/>
      <c r="LPM67" s="137"/>
      <c r="LPN67" s="137"/>
      <c r="LPO67" s="137"/>
      <c r="LPP67" s="137"/>
      <c r="LPQ67" s="137"/>
      <c r="LPR67" s="137"/>
      <c r="LPS67" s="137"/>
      <c r="LPT67" s="137"/>
      <c r="LPU67" s="137"/>
      <c r="LPV67" s="137"/>
      <c r="LPW67" s="137"/>
      <c r="LPX67" s="137"/>
      <c r="LPY67" s="137"/>
      <c r="LPZ67" s="137"/>
      <c r="LQA67" s="137"/>
      <c r="LQB67" s="137"/>
      <c r="LQC67" s="137"/>
      <c r="LQD67" s="137"/>
      <c r="LQE67" s="137"/>
      <c r="LQF67" s="137"/>
      <c r="LQG67" s="137"/>
      <c r="LQH67" s="137"/>
      <c r="LQI67" s="137"/>
      <c r="LQJ67" s="137"/>
      <c r="LQK67" s="137"/>
      <c r="LQL67" s="137"/>
      <c r="LQM67" s="137"/>
      <c r="LQN67" s="137"/>
      <c r="LQO67" s="137"/>
      <c r="LQP67" s="137"/>
      <c r="LQQ67" s="137"/>
      <c r="LQR67" s="137"/>
      <c r="LQS67" s="137"/>
      <c r="LQT67" s="137"/>
      <c r="LQU67" s="137"/>
      <c r="LQV67" s="137"/>
      <c r="LQW67" s="137"/>
      <c r="LQX67" s="137"/>
      <c r="LQY67" s="137"/>
      <c r="LQZ67" s="137"/>
      <c r="LRA67" s="137"/>
      <c r="LRB67" s="137"/>
      <c r="LRC67" s="137"/>
      <c r="LRD67" s="137"/>
      <c r="LRE67" s="137"/>
      <c r="LRF67" s="137"/>
      <c r="LRG67" s="137"/>
      <c r="LRH67" s="137"/>
      <c r="LRI67" s="137"/>
      <c r="LRJ67" s="137"/>
      <c r="LRK67" s="137"/>
      <c r="LRL67" s="137"/>
      <c r="LRM67" s="137"/>
      <c r="LRN67" s="137"/>
      <c r="LRO67" s="137"/>
      <c r="LRP67" s="137"/>
      <c r="LRQ67" s="137"/>
      <c r="LRR67" s="137"/>
      <c r="LRS67" s="137"/>
      <c r="LRT67" s="137"/>
      <c r="LRU67" s="137"/>
      <c r="LRV67" s="137"/>
      <c r="LRW67" s="137"/>
      <c r="LRX67" s="137"/>
      <c r="LRY67" s="137"/>
      <c r="LRZ67" s="137"/>
      <c r="LSA67" s="137"/>
      <c r="LSB67" s="137"/>
      <c r="LSC67" s="137"/>
      <c r="LSD67" s="137"/>
      <c r="LSE67" s="137"/>
      <c r="LSF67" s="137"/>
      <c r="LSG67" s="137"/>
      <c r="LSH67" s="137"/>
      <c r="LSI67" s="137"/>
      <c r="LSJ67" s="137"/>
      <c r="LSK67" s="137"/>
      <c r="LSL67" s="137"/>
      <c r="LSM67" s="137"/>
      <c r="LSN67" s="137"/>
      <c r="LSO67" s="137"/>
      <c r="LSP67" s="137"/>
      <c r="LSQ67" s="137"/>
      <c r="LSR67" s="137"/>
      <c r="LSS67" s="137"/>
      <c r="LST67" s="137"/>
      <c r="LSU67" s="137"/>
      <c r="LSV67" s="137"/>
      <c r="LSW67" s="137"/>
      <c r="LSX67" s="137"/>
      <c r="LSY67" s="137"/>
      <c r="LSZ67" s="137"/>
      <c r="LTA67" s="137"/>
      <c r="LTB67" s="137"/>
      <c r="LTC67" s="137"/>
      <c r="LTD67" s="137"/>
      <c r="LTE67" s="137"/>
      <c r="LTF67" s="137"/>
      <c r="LTG67" s="137"/>
      <c r="LTH67" s="137"/>
      <c r="LTI67" s="137"/>
      <c r="LTJ67" s="137"/>
      <c r="LTK67" s="137"/>
      <c r="LTL67" s="137"/>
      <c r="LTM67" s="137"/>
      <c r="LTN67" s="137"/>
      <c r="LTO67" s="137"/>
      <c r="LTP67" s="137"/>
      <c r="LTQ67" s="137"/>
      <c r="LTR67" s="137"/>
      <c r="LTS67" s="137"/>
      <c r="LTT67" s="137"/>
      <c r="LTU67" s="137"/>
      <c r="LTV67" s="137"/>
      <c r="LTW67" s="137"/>
      <c r="LTX67" s="137"/>
      <c r="LTY67" s="137"/>
      <c r="LTZ67" s="137"/>
      <c r="LUA67" s="137"/>
      <c r="LUB67" s="137"/>
      <c r="LUC67" s="137"/>
      <c r="LUD67" s="137"/>
      <c r="LUE67" s="137"/>
      <c r="LUF67" s="137"/>
      <c r="LUG67" s="137"/>
      <c r="LUH67" s="137"/>
      <c r="LUI67" s="137"/>
      <c r="LUJ67" s="137"/>
      <c r="LUK67" s="137"/>
      <c r="LUL67" s="137"/>
      <c r="LUM67" s="137"/>
      <c r="LUN67" s="137"/>
      <c r="LUO67" s="137"/>
      <c r="LUP67" s="137"/>
      <c r="LUQ67" s="137"/>
      <c r="LUR67" s="137"/>
      <c r="LUS67" s="137"/>
      <c r="LUT67" s="137"/>
      <c r="LUU67" s="137"/>
      <c r="LUV67" s="137"/>
      <c r="LUW67" s="137"/>
      <c r="LUX67" s="137"/>
      <c r="LUY67" s="137"/>
      <c r="LUZ67" s="137"/>
      <c r="LVA67" s="137"/>
      <c r="LVB67" s="137"/>
      <c r="LVC67" s="137"/>
      <c r="LVD67" s="137"/>
      <c r="LVE67" s="137"/>
      <c r="LVF67" s="137"/>
      <c r="LVG67" s="137"/>
      <c r="LVH67" s="137"/>
      <c r="LVI67" s="137"/>
      <c r="LVJ67" s="137"/>
      <c r="LVK67" s="137"/>
      <c r="LVL67" s="137"/>
      <c r="LVM67" s="137"/>
      <c r="LVN67" s="137"/>
      <c r="LVO67" s="137"/>
      <c r="LVP67" s="137"/>
      <c r="LVQ67" s="137"/>
      <c r="LVR67" s="137"/>
      <c r="LVS67" s="137"/>
      <c r="LVT67" s="137"/>
      <c r="LVU67" s="137"/>
      <c r="LVV67" s="137"/>
      <c r="LVW67" s="137"/>
      <c r="LVX67" s="137"/>
      <c r="LVY67" s="137"/>
      <c r="LVZ67" s="137"/>
      <c r="LWA67" s="137"/>
      <c r="LWB67" s="137"/>
      <c r="LWC67" s="137"/>
      <c r="LWD67" s="137"/>
      <c r="LWE67" s="137"/>
      <c r="LWF67" s="137"/>
      <c r="LWG67" s="137"/>
      <c r="LWH67" s="137"/>
      <c r="LWI67" s="137"/>
      <c r="LWJ67" s="137"/>
      <c r="LWK67" s="137"/>
      <c r="LWL67" s="137"/>
      <c r="LWM67" s="137"/>
      <c r="LWN67" s="137"/>
      <c r="LWO67" s="137"/>
      <c r="LWP67" s="137"/>
      <c r="LWQ67" s="137"/>
      <c r="LWR67" s="137"/>
      <c r="LWS67" s="137"/>
      <c r="LWT67" s="137"/>
      <c r="LWU67" s="137"/>
      <c r="LWV67" s="137"/>
      <c r="LWW67" s="137"/>
      <c r="LWX67" s="137"/>
      <c r="LWY67" s="137"/>
      <c r="LWZ67" s="137"/>
      <c r="LXA67" s="137"/>
      <c r="LXB67" s="137"/>
      <c r="LXC67" s="137"/>
      <c r="LXD67" s="137"/>
      <c r="LXE67" s="137"/>
      <c r="LXF67" s="137"/>
      <c r="LXG67" s="137"/>
      <c r="LXH67" s="137"/>
      <c r="LXI67" s="137"/>
      <c r="LXJ67" s="137"/>
      <c r="LXK67" s="137"/>
      <c r="LXL67" s="137"/>
      <c r="LXM67" s="137"/>
      <c r="LXN67" s="137"/>
      <c r="LXO67" s="137"/>
      <c r="LXP67" s="137"/>
      <c r="LXQ67" s="137"/>
      <c r="LXR67" s="137"/>
      <c r="LXS67" s="137"/>
      <c r="LXT67" s="137"/>
      <c r="LXU67" s="137"/>
      <c r="LXV67" s="137"/>
      <c r="LXW67" s="137"/>
      <c r="LXX67" s="137"/>
      <c r="LXY67" s="137"/>
      <c r="LXZ67" s="137"/>
      <c r="LYA67" s="137"/>
      <c r="LYB67" s="137"/>
      <c r="LYC67" s="137"/>
      <c r="LYD67" s="137"/>
      <c r="LYE67" s="137"/>
      <c r="LYF67" s="137"/>
      <c r="LYG67" s="137"/>
      <c r="LYH67" s="137"/>
      <c r="LYI67" s="137"/>
      <c r="LYJ67" s="137"/>
      <c r="LYK67" s="137"/>
      <c r="LYL67" s="137"/>
      <c r="LYM67" s="137"/>
      <c r="LYN67" s="137"/>
      <c r="LYO67" s="137"/>
      <c r="LYP67" s="137"/>
      <c r="LYQ67" s="137"/>
      <c r="LYR67" s="137"/>
      <c r="LYS67" s="137"/>
      <c r="LYT67" s="137"/>
      <c r="LYU67" s="137"/>
      <c r="LYV67" s="137"/>
      <c r="LYW67" s="137"/>
      <c r="LYX67" s="137"/>
      <c r="LYY67" s="137"/>
      <c r="LYZ67" s="137"/>
      <c r="LZA67" s="137"/>
      <c r="LZB67" s="137"/>
      <c r="LZC67" s="137"/>
      <c r="LZD67" s="137"/>
      <c r="LZE67" s="137"/>
      <c r="LZF67" s="137"/>
      <c r="LZG67" s="137"/>
      <c r="LZH67" s="137"/>
      <c r="LZI67" s="137"/>
      <c r="LZJ67" s="137"/>
      <c r="LZK67" s="137"/>
      <c r="LZL67" s="137"/>
      <c r="LZM67" s="137"/>
      <c r="LZN67" s="137"/>
      <c r="LZO67" s="137"/>
      <c r="LZP67" s="137"/>
      <c r="LZQ67" s="137"/>
      <c r="LZR67" s="137"/>
      <c r="LZS67" s="137"/>
      <c r="LZT67" s="137"/>
      <c r="LZU67" s="137"/>
      <c r="LZV67" s="137"/>
      <c r="LZW67" s="137"/>
      <c r="LZX67" s="137"/>
      <c r="LZY67" s="137"/>
      <c r="LZZ67" s="137"/>
      <c r="MAA67" s="137"/>
      <c r="MAB67" s="137"/>
      <c r="MAC67" s="137"/>
      <c r="MAD67" s="137"/>
      <c r="MAE67" s="137"/>
      <c r="MAF67" s="137"/>
      <c r="MAG67" s="137"/>
      <c r="MAH67" s="137"/>
      <c r="MAI67" s="137"/>
      <c r="MAJ67" s="137"/>
      <c r="MAK67" s="137"/>
      <c r="MAL67" s="137"/>
      <c r="MAM67" s="137"/>
      <c r="MAN67" s="137"/>
      <c r="MAO67" s="137"/>
      <c r="MAP67" s="137"/>
      <c r="MAQ67" s="137"/>
      <c r="MAR67" s="137"/>
      <c r="MAS67" s="137"/>
      <c r="MAT67" s="137"/>
      <c r="MAU67" s="137"/>
      <c r="MAV67" s="137"/>
      <c r="MAW67" s="137"/>
      <c r="MAX67" s="137"/>
      <c r="MAY67" s="137"/>
      <c r="MAZ67" s="137"/>
      <c r="MBA67" s="137"/>
      <c r="MBB67" s="137"/>
      <c r="MBC67" s="137"/>
      <c r="MBD67" s="137"/>
      <c r="MBE67" s="137"/>
      <c r="MBF67" s="137"/>
      <c r="MBG67" s="137"/>
      <c r="MBH67" s="137"/>
      <c r="MBI67" s="137"/>
      <c r="MBJ67" s="137"/>
      <c r="MBK67" s="137"/>
      <c r="MBL67" s="137"/>
      <c r="MBM67" s="137"/>
      <c r="MBN67" s="137"/>
      <c r="MBO67" s="137"/>
      <c r="MBP67" s="137"/>
      <c r="MBQ67" s="137"/>
      <c r="MBR67" s="137"/>
      <c r="MBS67" s="137"/>
      <c r="MBT67" s="137"/>
      <c r="MBU67" s="137"/>
      <c r="MBV67" s="137"/>
      <c r="MBW67" s="137"/>
      <c r="MBX67" s="137"/>
      <c r="MBY67" s="137"/>
      <c r="MBZ67" s="137"/>
      <c r="MCA67" s="137"/>
      <c r="MCB67" s="137"/>
      <c r="MCC67" s="137"/>
      <c r="MCD67" s="137"/>
      <c r="MCE67" s="137"/>
      <c r="MCF67" s="137"/>
      <c r="MCG67" s="137"/>
      <c r="MCH67" s="137"/>
      <c r="MCI67" s="137"/>
      <c r="MCJ67" s="137"/>
      <c r="MCK67" s="137"/>
      <c r="MCL67" s="137"/>
      <c r="MCM67" s="137"/>
      <c r="MCN67" s="137"/>
      <c r="MCO67" s="137"/>
      <c r="MCP67" s="137"/>
      <c r="MCQ67" s="137"/>
      <c r="MCR67" s="137"/>
      <c r="MCS67" s="137"/>
      <c r="MCT67" s="137"/>
      <c r="MCU67" s="137"/>
      <c r="MCV67" s="137"/>
      <c r="MCW67" s="137"/>
      <c r="MCX67" s="137"/>
      <c r="MCY67" s="137"/>
      <c r="MCZ67" s="137"/>
      <c r="MDA67" s="137"/>
      <c r="MDB67" s="137"/>
      <c r="MDC67" s="137"/>
      <c r="MDD67" s="137"/>
      <c r="MDE67" s="137"/>
      <c r="MDF67" s="137"/>
      <c r="MDG67" s="137"/>
      <c r="MDH67" s="137"/>
      <c r="MDI67" s="137"/>
      <c r="MDJ67" s="137"/>
      <c r="MDK67" s="137"/>
      <c r="MDL67" s="137"/>
      <c r="MDM67" s="137"/>
      <c r="MDN67" s="137"/>
      <c r="MDO67" s="137"/>
      <c r="MDP67" s="137"/>
      <c r="MDQ67" s="137"/>
      <c r="MDR67" s="137"/>
      <c r="MDS67" s="137"/>
      <c r="MDT67" s="137"/>
      <c r="MDU67" s="137"/>
      <c r="MDV67" s="137"/>
      <c r="MDW67" s="137"/>
      <c r="MDX67" s="137"/>
      <c r="MDY67" s="137"/>
      <c r="MDZ67" s="137"/>
      <c r="MEA67" s="137"/>
      <c r="MEB67" s="137"/>
      <c r="MEC67" s="137"/>
      <c r="MED67" s="137"/>
      <c r="MEE67" s="137"/>
      <c r="MEF67" s="137"/>
      <c r="MEG67" s="137"/>
      <c r="MEH67" s="137"/>
      <c r="MEI67" s="137"/>
      <c r="MEJ67" s="137"/>
      <c r="MEK67" s="137"/>
      <c r="MEL67" s="137"/>
      <c r="MEM67" s="137"/>
      <c r="MEN67" s="137"/>
      <c r="MEO67" s="137"/>
      <c r="MEP67" s="137"/>
      <c r="MEQ67" s="137"/>
      <c r="MER67" s="137"/>
      <c r="MES67" s="137"/>
      <c r="MET67" s="137"/>
      <c r="MEU67" s="137"/>
      <c r="MEV67" s="137"/>
      <c r="MEW67" s="137"/>
      <c r="MEX67" s="137"/>
      <c r="MEY67" s="137"/>
      <c r="MEZ67" s="137"/>
      <c r="MFA67" s="137"/>
      <c r="MFB67" s="137"/>
      <c r="MFC67" s="137"/>
      <c r="MFD67" s="137"/>
      <c r="MFE67" s="137"/>
      <c r="MFF67" s="137"/>
      <c r="MFG67" s="137"/>
      <c r="MFH67" s="137"/>
      <c r="MFI67" s="137"/>
      <c r="MFJ67" s="137"/>
      <c r="MFK67" s="137"/>
      <c r="MFL67" s="137"/>
      <c r="MFM67" s="137"/>
      <c r="MFN67" s="137"/>
      <c r="MFO67" s="137"/>
      <c r="MFP67" s="137"/>
      <c r="MFQ67" s="137"/>
      <c r="MFR67" s="137"/>
      <c r="MFS67" s="137"/>
      <c r="MFT67" s="137"/>
      <c r="MFU67" s="137"/>
      <c r="MFV67" s="137"/>
      <c r="MFW67" s="137"/>
      <c r="MFX67" s="137"/>
      <c r="MFY67" s="137"/>
      <c r="MFZ67" s="137"/>
      <c r="MGA67" s="137"/>
      <c r="MGB67" s="137"/>
      <c r="MGC67" s="137"/>
      <c r="MGD67" s="137"/>
      <c r="MGE67" s="137"/>
      <c r="MGF67" s="137"/>
      <c r="MGG67" s="137"/>
      <c r="MGH67" s="137"/>
      <c r="MGI67" s="137"/>
      <c r="MGJ67" s="137"/>
      <c r="MGK67" s="137"/>
      <c r="MGL67" s="137"/>
      <c r="MGM67" s="137"/>
      <c r="MGN67" s="137"/>
      <c r="MGO67" s="137"/>
      <c r="MGP67" s="137"/>
      <c r="MGQ67" s="137"/>
      <c r="MGR67" s="137"/>
      <c r="MGS67" s="137"/>
      <c r="MGT67" s="137"/>
      <c r="MGU67" s="137"/>
      <c r="MGV67" s="137"/>
      <c r="MGW67" s="137"/>
      <c r="MGX67" s="137"/>
      <c r="MGY67" s="137"/>
      <c r="MGZ67" s="137"/>
      <c r="MHA67" s="137"/>
      <c r="MHB67" s="137"/>
      <c r="MHC67" s="137"/>
      <c r="MHD67" s="137"/>
      <c r="MHE67" s="137"/>
      <c r="MHF67" s="137"/>
      <c r="MHG67" s="137"/>
      <c r="MHH67" s="137"/>
      <c r="MHI67" s="137"/>
      <c r="MHJ67" s="137"/>
      <c r="MHK67" s="137"/>
      <c r="MHL67" s="137"/>
      <c r="MHM67" s="137"/>
      <c r="MHN67" s="137"/>
      <c r="MHO67" s="137"/>
      <c r="MHP67" s="137"/>
      <c r="MHQ67" s="137"/>
      <c r="MHR67" s="137"/>
      <c r="MHS67" s="137"/>
      <c r="MHT67" s="137"/>
      <c r="MHU67" s="137"/>
      <c r="MHV67" s="137"/>
      <c r="MHW67" s="137"/>
      <c r="MHX67" s="137"/>
      <c r="MHY67" s="137"/>
      <c r="MHZ67" s="137"/>
      <c r="MIA67" s="137"/>
      <c r="MIB67" s="137"/>
      <c r="MIC67" s="137"/>
      <c r="MID67" s="137"/>
      <c r="MIE67" s="137"/>
      <c r="MIF67" s="137"/>
      <c r="MIG67" s="137"/>
      <c r="MIH67" s="137"/>
      <c r="MII67" s="137"/>
      <c r="MIJ67" s="137"/>
      <c r="MIK67" s="137"/>
      <c r="MIL67" s="137"/>
      <c r="MIM67" s="137"/>
      <c r="MIN67" s="137"/>
      <c r="MIO67" s="137"/>
      <c r="MIP67" s="137"/>
      <c r="MIQ67" s="137"/>
      <c r="MIR67" s="137"/>
      <c r="MIS67" s="137"/>
      <c r="MIT67" s="137"/>
      <c r="MIU67" s="137"/>
      <c r="MIV67" s="137"/>
      <c r="MIW67" s="137"/>
      <c r="MIX67" s="137"/>
      <c r="MIY67" s="137"/>
      <c r="MIZ67" s="137"/>
      <c r="MJA67" s="137"/>
      <c r="MJB67" s="137"/>
      <c r="MJC67" s="137"/>
      <c r="MJD67" s="137"/>
      <c r="MJE67" s="137"/>
      <c r="MJF67" s="137"/>
      <c r="MJG67" s="137"/>
      <c r="MJH67" s="137"/>
      <c r="MJI67" s="137"/>
      <c r="MJJ67" s="137"/>
      <c r="MJK67" s="137"/>
      <c r="MJL67" s="137"/>
      <c r="MJM67" s="137"/>
      <c r="MJN67" s="137"/>
      <c r="MJO67" s="137"/>
      <c r="MJP67" s="137"/>
      <c r="MJQ67" s="137"/>
      <c r="MJR67" s="137"/>
      <c r="MJS67" s="137"/>
      <c r="MJT67" s="137"/>
      <c r="MJU67" s="137"/>
      <c r="MJV67" s="137"/>
      <c r="MJW67" s="137"/>
      <c r="MJX67" s="137"/>
      <c r="MJY67" s="137"/>
      <c r="MJZ67" s="137"/>
      <c r="MKA67" s="137"/>
      <c r="MKB67" s="137"/>
      <c r="MKC67" s="137"/>
      <c r="MKD67" s="137"/>
      <c r="MKE67" s="137"/>
      <c r="MKF67" s="137"/>
      <c r="MKG67" s="137"/>
      <c r="MKH67" s="137"/>
      <c r="MKI67" s="137"/>
      <c r="MKJ67" s="137"/>
      <c r="MKK67" s="137"/>
      <c r="MKL67" s="137"/>
      <c r="MKM67" s="137"/>
      <c r="MKN67" s="137"/>
      <c r="MKO67" s="137"/>
      <c r="MKP67" s="137"/>
      <c r="MKQ67" s="137"/>
      <c r="MKR67" s="137"/>
      <c r="MKS67" s="137"/>
      <c r="MKT67" s="137"/>
      <c r="MKU67" s="137"/>
      <c r="MKV67" s="137"/>
      <c r="MKW67" s="137"/>
      <c r="MKX67" s="137"/>
      <c r="MKY67" s="137"/>
      <c r="MKZ67" s="137"/>
      <c r="MLA67" s="137"/>
      <c r="MLB67" s="137"/>
      <c r="MLC67" s="137"/>
      <c r="MLD67" s="137"/>
      <c r="MLE67" s="137"/>
      <c r="MLF67" s="137"/>
      <c r="MLG67" s="137"/>
      <c r="MLH67" s="137"/>
      <c r="MLI67" s="137"/>
      <c r="MLJ67" s="137"/>
      <c r="MLK67" s="137"/>
      <c r="MLL67" s="137"/>
      <c r="MLM67" s="137"/>
      <c r="MLN67" s="137"/>
      <c r="MLO67" s="137"/>
      <c r="MLP67" s="137"/>
      <c r="MLQ67" s="137"/>
      <c r="MLR67" s="137"/>
      <c r="MLS67" s="137"/>
      <c r="MLT67" s="137"/>
      <c r="MLU67" s="137"/>
      <c r="MLV67" s="137"/>
      <c r="MLW67" s="137"/>
      <c r="MLX67" s="137"/>
      <c r="MLY67" s="137"/>
      <c r="MLZ67" s="137"/>
      <c r="MMA67" s="137"/>
      <c r="MMB67" s="137"/>
      <c r="MMC67" s="137"/>
      <c r="MMD67" s="137"/>
      <c r="MME67" s="137"/>
      <c r="MMF67" s="137"/>
      <c r="MMG67" s="137"/>
      <c r="MMH67" s="137"/>
      <c r="MMI67" s="137"/>
      <c r="MMJ67" s="137"/>
      <c r="MMK67" s="137"/>
      <c r="MML67" s="137"/>
      <c r="MMM67" s="137"/>
      <c r="MMN67" s="137"/>
      <c r="MMO67" s="137"/>
      <c r="MMP67" s="137"/>
      <c r="MMQ67" s="137"/>
      <c r="MMR67" s="137"/>
      <c r="MMS67" s="137"/>
      <c r="MMT67" s="137"/>
      <c r="MMU67" s="137"/>
      <c r="MMV67" s="137"/>
      <c r="MMW67" s="137"/>
      <c r="MMX67" s="137"/>
      <c r="MMY67" s="137"/>
      <c r="MMZ67" s="137"/>
      <c r="MNA67" s="137"/>
      <c r="MNB67" s="137"/>
      <c r="MNC67" s="137"/>
      <c r="MND67" s="137"/>
      <c r="MNE67" s="137"/>
      <c r="MNF67" s="137"/>
      <c r="MNG67" s="137"/>
      <c r="MNH67" s="137"/>
      <c r="MNI67" s="137"/>
      <c r="MNJ67" s="137"/>
      <c r="MNK67" s="137"/>
      <c r="MNL67" s="137"/>
      <c r="MNM67" s="137"/>
      <c r="MNN67" s="137"/>
      <c r="MNO67" s="137"/>
      <c r="MNP67" s="137"/>
      <c r="MNQ67" s="137"/>
      <c r="MNR67" s="137"/>
      <c r="MNS67" s="137"/>
      <c r="MNT67" s="137"/>
      <c r="MNU67" s="137"/>
      <c r="MNV67" s="137"/>
      <c r="MNW67" s="137"/>
      <c r="MNX67" s="137"/>
      <c r="MNY67" s="137"/>
      <c r="MNZ67" s="137"/>
      <c r="MOA67" s="137"/>
      <c r="MOB67" s="137"/>
      <c r="MOC67" s="137"/>
      <c r="MOD67" s="137"/>
      <c r="MOE67" s="137"/>
      <c r="MOF67" s="137"/>
      <c r="MOG67" s="137"/>
      <c r="MOH67" s="137"/>
      <c r="MOI67" s="137"/>
      <c r="MOJ67" s="137"/>
      <c r="MOK67" s="137"/>
      <c r="MOL67" s="137"/>
      <c r="MOM67" s="137"/>
      <c r="MON67" s="137"/>
      <c r="MOO67" s="137"/>
      <c r="MOP67" s="137"/>
      <c r="MOQ67" s="137"/>
      <c r="MOR67" s="137"/>
      <c r="MOS67" s="137"/>
      <c r="MOT67" s="137"/>
      <c r="MOU67" s="137"/>
      <c r="MOV67" s="137"/>
      <c r="MOW67" s="137"/>
      <c r="MOX67" s="137"/>
      <c r="MOY67" s="137"/>
      <c r="MOZ67" s="137"/>
      <c r="MPA67" s="137"/>
      <c r="MPB67" s="137"/>
      <c r="MPC67" s="137"/>
      <c r="MPD67" s="137"/>
      <c r="MPE67" s="137"/>
      <c r="MPF67" s="137"/>
      <c r="MPG67" s="137"/>
      <c r="MPH67" s="137"/>
      <c r="MPI67" s="137"/>
      <c r="MPJ67" s="137"/>
      <c r="MPK67" s="137"/>
      <c r="MPL67" s="137"/>
      <c r="MPM67" s="137"/>
      <c r="MPN67" s="137"/>
      <c r="MPO67" s="137"/>
      <c r="MPP67" s="137"/>
      <c r="MPQ67" s="137"/>
      <c r="MPR67" s="137"/>
      <c r="MPS67" s="137"/>
      <c r="MPT67" s="137"/>
      <c r="MPU67" s="137"/>
      <c r="MPV67" s="137"/>
      <c r="MPW67" s="137"/>
      <c r="MPX67" s="137"/>
      <c r="MPY67" s="137"/>
      <c r="MPZ67" s="137"/>
      <c r="MQA67" s="137"/>
      <c r="MQB67" s="137"/>
      <c r="MQC67" s="137"/>
      <c r="MQD67" s="137"/>
      <c r="MQE67" s="137"/>
      <c r="MQF67" s="137"/>
      <c r="MQG67" s="137"/>
      <c r="MQH67" s="137"/>
      <c r="MQI67" s="137"/>
      <c r="MQJ67" s="137"/>
      <c r="MQK67" s="137"/>
      <c r="MQL67" s="137"/>
      <c r="MQM67" s="137"/>
      <c r="MQN67" s="137"/>
      <c r="MQO67" s="137"/>
      <c r="MQP67" s="137"/>
      <c r="MQQ67" s="137"/>
      <c r="MQR67" s="137"/>
      <c r="MQS67" s="137"/>
      <c r="MQT67" s="137"/>
      <c r="MQU67" s="137"/>
      <c r="MQV67" s="137"/>
      <c r="MQW67" s="137"/>
      <c r="MQX67" s="137"/>
      <c r="MQY67" s="137"/>
      <c r="MQZ67" s="137"/>
      <c r="MRA67" s="137"/>
      <c r="MRB67" s="137"/>
      <c r="MRC67" s="137"/>
      <c r="MRD67" s="137"/>
      <c r="MRE67" s="137"/>
      <c r="MRF67" s="137"/>
      <c r="MRG67" s="137"/>
      <c r="MRH67" s="137"/>
      <c r="MRI67" s="137"/>
      <c r="MRJ67" s="137"/>
      <c r="MRK67" s="137"/>
      <c r="MRL67" s="137"/>
      <c r="MRM67" s="137"/>
      <c r="MRN67" s="137"/>
      <c r="MRO67" s="137"/>
      <c r="MRP67" s="137"/>
      <c r="MRQ67" s="137"/>
      <c r="MRR67" s="137"/>
      <c r="MRS67" s="137"/>
      <c r="MRT67" s="137"/>
      <c r="MRU67" s="137"/>
      <c r="MRV67" s="137"/>
      <c r="MRW67" s="137"/>
      <c r="MRX67" s="137"/>
      <c r="MRY67" s="137"/>
      <c r="MRZ67" s="137"/>
      <c r="MSA67" s="137"/>
      <c r="MSB67" s="137"/>
      <c r="MSC67" s="137"/>
      <c r="MSD67" s="137"/>
      <c r="MSE67" s="137"/>
      <c r="MSF67" s="137"/>
      <c r="MSG67" s="137"/>
      <c r="MSH67" s="137"/>
      <c r="MSI67" s="137"/>
      <c r="MSJ67" s="137"/>
      <c r="MSK67" s="137"/>
      <c r="MSL67" s="137"/>
      <c r="MSM67" s="137"/>
      <c r="MSN67" s="137"/>
      <c r="MSO67" s="137"/>
      <c r="MSP67" s="137"/>
      <c r="MSQ67" s="137"/>
      <c r="MSR67" s="137"/>
      <c r="MSS67" s="137"/>
      <c r="MST67" s="137"/>
      <c r="MSU67" s="137"/>
      <c r="MSV67" s="137"/>
      <c r="MSW67" s="137"/>
      <c r="MSX67" s="137"/>
      <c r="MSY67" s="137"/>
      <c r="MSZ67" s="137"/>
      <c r="MTA67" s="137"/>
      <c r="MTB67" s="137"/>
      <c r="MTC67" s="137"/>
      <c r="MTD67" s="137"/>
      <c r="MTE67" s="137"/>
      <c r="MTF67" s="137"/>
      <c r="MTG67" s="137"/>
      <c r="MTH67" s="137"/>
      <c r="MTI67" s="137"/>
      <c r="MTJ67" s="137"/>
      <c r="MTK67" s="137"/>
      <c r="MTL67" s="137"/>
      <c r="MTM67" s="137"/>
      <c r="MTN67" s="137"/>
      <c r="MTO67" s="137"/>
      <c r="MTP67" s="137"/>
      <c r="MTQ67" s="137"/>
      <c r="MTR67" s="137"/>
      <c r="MTS67" s="137"/>
      <c r="MTT67" s="137"/>
      <c r="MTU67" s="137"/>
      <c r="MTV67" s="137"/>
      <c r="MTW67" s="137"/>
      <c r="MTX67" s="137"/>
      <c r="MTY67" s="137"/>
      <c r="MTZ67" s="137"/>
      <c r="MUA67" s="137"/>
      <c r="MUB67" s="137"/>
      <c r="MUC67" s="137"/>
      <c r="MUD67" s="137"/>
      <c r="MUE67" s="137"/>
      <c r="MUF67" s="137"/>
      <c r="MUG67" s="137"/>
      <c r="MUH67" s="137"/>
      <c r="MUI67" s="137"/>
      <c r="MUJ67" s="137"/>
      <c r="MUK67" s="137"/>
      <c r="MUL67" s="137"/>
      <c r="MUM67" s="137"/>
      <c r="MUN67" s="137"/>
      <c r="MUO67" s="137"/>
      <c r="MUP67" s="137"/>
      <c r="MUQ67" s="137"/>
      <c r="MUR67" s="137"/>
      <c r="MUS67" s="137"/>
      <c r="MUT67" s="137"/>
      <c r="MUU67" s="137"/>
      <c r="MUV67" s="137"/>
      <c r="MUW67" s="137"/>
      <c r="MUX67" s="137"/>
      <c r="MUY67" s="137"/>
      <c r="MUZ67" s="137"/>
      <c r="MVA67" s="137"/>
      <c r="MVB67" s="137"/>
      <c r="MVC67" s="137"/>
      <c r="MVD67" s="137"/>
      <c r="MVE67" s="137"/>
      <c r="MVF67" s="137"/>
      <c r="MVG67" s="137"/>
      <c r="MVH67" s="137"/>
      <c r="MVI67" s="137"/>
      <c r="MVJ67" s="137"/>
      <c r="MVK67" s="137"/>
      <c r="MVL67" s="137"/>
      <c r="MVM67" s="137"/>
      <c r="MVN67" s="137"/>
      <c r="MVO67" s="137"/>
      <c r="MVP67" s="137"/>
      <c r="MVQ67" s="137"/>
      <c r="MVR67" s="137"/>
      <c r="MVS67" s="137"/>
      <c r="MVT67" s="137"/>
      <c r="MVU67" s="137"/>
      <c r="MVV67" s="137"/>
      <c r="MVW67" s="137"/>
      <c r="MVX67" s="137"/>
      <c r="MVY67" s="137"/>
      <c r="MVZ67" s="137"/>
      <c r="MWA67" s="137"/>
      <c r="MWB67" s="137"/>
      <c r="MWC67" s="137"/>
      <c r="MWD67" s="137"/>
      <c r="MWE67" s="137"/>
      <c r="MWF67" s="137"/>
      <c r="MWG67" s="137"/>
      <c r="MWH67" s="137"/>
      <c r="MWI67" s="137"/>
      <c r="MWJ67" s="137"/>
      <c r="MWK67" s="137"/>
      <c r="MWL67" s="137"/>
      <c r="MWM67" s="137"/>
      <c r="MWN67" s="137"/>
      <c r="MWO67" s="137"/>
      <c r="MWP67" s="137"/>
      <c r="MWQ67" s="137"/>
      <c r="MWR67" s="137"/>
      <c r="MWS67" s="137"/>
      <c r="MWT67" s="137"/>
      <c r="MWU67" s="137"/>
      <c r="MWV67" s="137"/>
      <c r="MWW67" s="137"/>
      <c r="MWX67" s="137"/>
      <c r="MWY67" s="137"/>
      <c r="MWZ67" s="137"/>
      <c r="MXA67" s="137"/>
      <c r="MXB67" s="137"/>
      <c r="MXC67" s="137"/>
      <c r="MXD67" s="137"/>
      <c r="MXE67" s="137"/>
      <c r="MXF67" s="137"/>
      <c r="MXG67" s="137"/>
      <c r="MXH67" s="137"/>
      <c r="MXI67" s="137"/>
      <c r="MXJ67" s="137"/>
      <c r="MXK67" s="137"/>
      <c r="MXL67" s="137"/>
      <c r="MXM67" s="137"/>
      <c r="MXN67" s="137"/>
      <c r="MXO67" s="137"/>
      <c r="MXP67" s="137"/>
      <c r="MXQ67" s="137"/>
      <c r="MXR67" s="137"/>
      <c r="MXS67" s="137"/>
      <c r="MXT67" s="137"/>
      <c r="MXU67" s="137"/>
      <c r="MXV67" s="137"/>
      <c r="MXW67" s="137"/>
      <c r="MXX67" s="137"/>
      <c r="MXY67" s="137"/>
      <c r="MXZ67" s="137"/>
      <c r="MYA67" s="137"/>
      <c r="MYB67" s="137"/>
      <c r="MYC67" s="137"/>
      <c r="MYD67" s="137"/>
      <c r="MYE67" s="137"/>
      <c r="MYF67" s="137"/>
      <c r="MYG67" s="137"/>
      <c r="MYH67" s="137"/>
      <c r="MYI67" s="137"/>
      <c r="MYJ67" s="137"/>
      <c r="MYK67" s="137"/>
      <c r="MYL67" s="137"/>
      <c r="MYM67" s="137"/>
      <c r="MYN67" s="137"/>
      <c r="MYO67" s="137"/>
      <c r="MYP67" s="137"/>
      <c r="MYQ67" s="137"/>
      <c r="MYR67" s="137"/>
      <c r="MYS67" s="137"/>
      <c r="MYT67" s="137"/>
      <c r="MYU67" s="137"/>
      <c r="MYV67" s="137"/>
      <c r="MYW67" s="137"/>
      <c r="MYX67" s="137"/>
      <c r="MYY67" s="137"/>
      <c r="MYZ67" s="137"/>
      <c r="MZA67" s="137"/>
      <c r="MZB67" s="137"/>
      <c r="MZC67" s="137"/>
      <c r="MZD67" s="137"/>
      <c r="MZE67" s="137"/>
      <c r="MZF67" s="137"/>
      <c r="MZG67" s="137"/>
      <c r="MZH67" s="137"/>
      <c r="MZI67" s="137"/>
      <c r="MZJ67" s="137"/>
      <c r="MZK67" s="137"/>
      <c r="MZL67" s="137"/>
      <c r="MZM67" s="137"/>
      <c r="MZN67" s="137"/>
      <c r="MZO67" s="137"/>
      <c r="MZP67" s="137"/>
      <c r="MZQ67" s="137"/>
      <c r="MZR67" s="137"/>
      <c r="MZS67" s="137"/>
      <c r="MZT67" s="137"/>
      <c r="MZU67" s="137"/>
      <c r="MZV67" s="137"/>
      <c r="MZW67" s="137"/>
      <c r="MZX67" s="137"/>
      <c r="MZY67" s="137"/>
      <c r="MZZ67" s="137"/>
      <c r="NAA67" s="137"/>
      <c r="NAB67" s="137"/>
      <c r="NAC67" s="137"/>
      <c r="NAD67" s="137"/>
      <c r="NAE67" s="137"/>
      <c r="NAF67" s="137"/>
      <c r="NAG67" s="137"/>
      <c r="NAH67" s="137"/>
      <c r="NAI67" s="137"/>
      <c r="NAJ67" s="137"/>
      <c r="NAK67" s="137"/>
      <c r="NAL67" s="137"/>
      <c r="NAM67" s="137"/>
      <c r="NAN67" s="137"/>
      <c r="NAO67" s="137"/>
      <c r="NAP67" s="137"/>
      <c r="NAQ67" s="137"/>
      <c r="NAR67" s="137"/>
      <c r="NAS67" s="137"/>
      <c r="NAT67" s="137"/>
      <c r="NAU67" s="137"/>
      <c r="NAV67" s="137"/>
      <c r="NAW67" s="137"/>
      <c r="NAX67" s="137"/>
      <c r="NAY67" s="137"/>
      <c r="NAZ67" s="137"/>
      <c r="NBA67" s="137"/>
      <c r="NBB67" s="137"/>
      <c r="NBC67" s="137"/>
      <c r="NBD67" s="137"/>
      <c r="NBE67" s="137"/>
      <c r="NBF67" s="137"/>
      <c r="NBG67" s="137"/>
      <c r="NBH67" s="137"/>
      <c r="NBI67" s="137"/>
      <c r="NBJ67" s="137"/>
      <c r="NBK67" s="137"/>
      <c r="NBL67" s="137"/>
      <c r="NBM67" s="137"/>
      <c r="NBN67" s="137"/>
      <c r="NBO67" s="137"/>
      <c r="NBP67" s="137"/>
      <c r="NBQ67" s="137"/>
      <c r="NBR67" s="137"/>
      <c r="NBS67" s="137"/>
      <c r="NBT67" s="137"/>
      <c r="NBU67" s="137"/>
      <c r="NBV67" s="137"/>
      <c r="NBW67" s="137"/>
      <c r="NBX67" s="137"/>
      <c r="NBY67" s="137"/>
      <c r="NBZ67" s="137"/>
      <c r="NCA67" s="137"/>
      <c r="NCB67" s="137"/>
      <c r="NCC67" s="137"/>
      <c r="NCD67" s="137"/>
      <c r="NCE67" s="137"/>
      <c r="NCF67" s="137"/>
      <c r="NCG67" s="137"/>
      <c r="NCH67" s="137"/>
      <c r="NCI67" s="137"/>
      <c r="NCJ67" s="137"/>
      <c r="NCK67" s="137"/>
      <c r="NCL67" s="137"/>
      <c r="NCM67" s="137"/>
      <c r="NCN67" s="137"/>
      <c r="NCO67" s="137"/>
      <c r="NCP67" s="137"/>
      <c r="NCQ67" s="137"/>
      <c r="NCR67" s="137"/>
      <c r="NCS67" s="137"/>
      <c r="NCT67" s="137"/>
      <c r="NCU67" s="137"/>
      <c r="NCV67" s="137"/>
      <c r="NCW67" s="137"/>
      <c r="NCX67" s="137"/>
      <c r="NCY67" s="137"/>
      <c r="NCZ67" s="137"/>
      <c r="NDA67" s="137"/>
      <c r="NDB67" s="137"/>
      <c r="NDC67" s="137"/>
      <c r="NDD67" s="137"/>
      <c r="NDE67" s="137"/>
      <c r="NDF67" s="137"/>
      <c r="NDG67" s="137"/>
      <c r="NDH67" s="137"/>
      <c r="NDI67" s="137"/>
      <c r="NDJ67" s="137"/>
      <c r="NDK67" s="137"/>
      <c r="NDL67" s="137"/>
      <c r="NDM67" s="137"/>
      <c r="NDN67" s="137"/>
      <c r="NDO67" s="137"/>
      <c r="NDP67" s="137"/>
      <c r="NDQ67" s="137"/>
      <c r="NDR67" s="137"/>
      <c r="NDS67" s="137"/>
      <c r="NDT67" s="137"/>
      <c r="NDU67" s="137"/>
      <c r="NDV67" s="137"/>
      <c r="NDW67" s="137"/>
      <c r="NDX67" s="137"/>
      <c r="NDY67" s="137"/>
      <c r="NDZ67" s="137"/>
      <c r="NEA67" s="137"/>
      <c r="NEB67" s="137"/>
      <c r="NEC67" s="137"/>
      <c r="NED67" s="137"/>
      <c r="NEE67" s="137"/>
      <c r="NEF67" s="137"/>
      <c r="NEG67" s="137"/>
      <c r="NEH67" s="137"/>
      <c r="NEI67" s="137"/>
      <c r="NEJ67" s="137"/>
      <c r="NEK67" s="137"/>
      <c r="NEL67" s="137"/>
      <c r="NEM67" s="137"/>
      <c r="NEN67" s="137"/>
      <c r="NEO67" s="137"/>
      <c r="NEP67" s="137"/>
      <c r="NEQ67" s="137"/>
      <c r="NER67" s="137"/>
      <c r="NES67" s="137"/>
      <c r="NET67" s="137"/>
      <c r="NEU67" s="137"/>
      <c r="NEV67" s="137"/>
      <c r="NEW67" s="137"/>
      <c r="NEX67" s="137"/>
      <c r="NEY67" s="137"/>
      <c r="NEZ67" s="137"/>
      <c r="NFA67" s="137"/>
      <c r="NFB67" s="137"/>
      <c r="NFC67" s="137"/>
      <c r="NFD67" s="137"/>
      <c r="NFE67" s="137"/>
      <c r="NFF67" s="137"/>
      <c r="NFG67" s="137"/>
      <c r="NFH67" s="137"/>
      <c r="NFI67" s="137"/>
      <c r="NFJ67" s="137"/>
      <c r="NFK67" s="137"/>
      <c r="NFL67" s="137"/>
      <c r="NFM67" s="137"/>
      <c r="NFN67" s="137"/>
      <c r="NFO67" s="137"/>
      <c r="NFP67" s="137"/>
      <c r="NFQ67" s="137"/>
      <c r="NFR67" s="137"/>
      <c r="NFS67" s="137"/>
      <c r="NFT67" s="137"/>
      <c r="NFU67" s="137"/>
      <c r="NFV67" s="137"/>
      <c r="NFW67" s="137"/>
      <c r="NFX67" s="137"/>
      <c r="NFY67" s="137"/>
      <c r="NFZ67" s="137"/>
      <c r="NGA67" s="137"/>
      <c r="NGB67" s="137"/>
      <c r="NGC67" s="137"/>
      <c r="NGD67" s="137"/>
      <c r="NGE67" s="137"/>
      <c r="NGF67" s="137"/>
      <c r="NGG67" s="137"/>
      <c r="NGH67" s="137"/>
      <c r="NGI67" s="137"/>
      <c r="NGJ67" s="137"/>
      <c r="NGK67" s="137"/>
      <c r="NGL67" s="137"/>
      <c r="NGM67" s="137"/>
      <c r="NGN67" s="137"/>
      <c r="NGO67" s="137"/>
      <c r="NGP67" s="137"/>
      <c r="NGQ67" s="137"/>
      <c r="NGR67" s="137"/>
      <c r="NGS67" s="137"/>
      <c r="NGT67" s="137"/>
      <c r="NGU67" s="137"/>
      <c r="NGV67" s="137"/>
      <c r="NGW67" s="137"/>
      <c r="NGX67" s="137"/>
      <c r="NGY67" s="137"/>
      <c r="NGZ67" s="137"/>
      <c r="NHA67" s="137"/>
      <c r="NHB67" s="137"/>
      <c r="NHC67" s="137"/>
      <c r="NHD67" s="137"/>
      <c r="NHE67" s="137"/>
      <c r="NHF67" s="137"/>
      <c r="NHG67" s="137"/>
      <c r="NHH67" s="137"/>
      <c r="NHI67" s="137"/>
      <c r="NHJ67" s="137"/>
      <c r="NHK67" s="137"/>
      <c r="NHL67" s="137"/>
      <c r="NHM67" s="137"/>
      <c r="NHN67" s="137"/>
      <c r="NHO67" s="137"/>
      <c r="NHP67" s="137"/>
      <c r="NHQ67" s="137"/>
      <c r="NHR67" s="137"/>
      <c r="NHS67" s="137"/>
      <c r="NHT67" s="137"/>
      <c r="NHU67" s="137"/>
      <c r="NHV67" s="137"/>
      <c r="NHW67" s="137"/>
      <c r="NHX67" s="137"/>
      <c r="NHY67" s="137"/>
      <c r="NHZ67" s="137"/>
      <c r="NIA67" s="137"/>
      <c r="NIB67" s="137"/>
      <c r="NIC67" s="137"/>
      <c r="NID67" s="137"/>
      <c r="NIE67" s="137"/>
      <c r="NIF67" s="137"/>
      <c r="NIG67" s="137"/>
      <c r="NIH67" s="137"/>
      <c r="NII67" s="137"/>
      <c r="NIJ67" s="137"/>
      <c r="NIK67" s="137"/>
      <c r="NIL67" s="137"/>
      <c r="NIM67" s="137"/>
      <c r="NIN67" s="137"/>
      <c r="NIO67" s="137"/>
      <c r="NIP67" s="137"/>
      <c r="NIQ67" s="137"/>
      <c r="NIR67" s="137"/>
      <c r="NIS67" s="137"/>
      <c r="NIT67" s="137"/>
      <c r="NIU67" s="137"/>
      <c r="NIV67" s="137"/>
      <c r="NIW67" s="137"/>
      <c r="NIX67" s="137"/>
      <c r="NIY67" s="137"/>
      <c r="NIZ67" s="137"/>
      <c r="NJA67" s="137"/>
      <c r="NJB67" s="137"/>
      <c r="NJC67" s="137"/>
      <c r="NJD67" s="137"/>
      <c r="NJE67" s="137"/>
      <c r="NJF67" s="137"/>
      <c r="NJG67" s="137"/>
      <c r="NJH67" s="137"/>
      <c r="NJI67" s="137"/>
      <c r="NJJ67" s="137"/>
      <c r="NJK67" s="137"/>
      <c r="NJL67" s="137"/>
      <c r="NJM67" s="137"/>
      <c r="NJN67" s="137"/>
      <c r="NJO67" s="137"/>
      <c r="NJP67" s="137"/>
      <c r="NJQ67" s="137"/>
      <c r="NJR67" s="137"/>
      <c r="NJS67" s="137"/>
      <c r="NJT67" s="137"/>
      <c r="NJU67" s="137"/>
      <c r="NJV67" s="137"/>
      <c r="NJW67" s="137"/>
      <c r="NJX67" s="137"/>
      <c r="NJY67" s="137"/>
      <c r="NJZ67" s="137"/>
      <c r="NKA67" s="137"/>
      <c r="NKB67" s="137"/>
      <c r="NKC67" s="137"/>
      <c r="NKD67" s="137"/>
      <c r="NKE67" s="137"/>
      <c r="NKF67" s="137"/>
      <c r="NKG67" s="137"/>
      <c r="NKH67" s="137"/>
      <c r="NKI67" s="137"/>
      <c r="NKJ67" s="137"/>
      <c r="NKK67" s="137"/>
      <c r="NKL67" s="137"/>
      <c r="NKM67" s="137"/>
      <c r="NKN67" s="137"/>
      <c r="NKO67" s="137"/>
      <c r="NKP67" s="137"/>
      <c r="NKQ67" s="137"/>
      <c r="NKR67" s="137"/>
      <c r="NKS67" s="137"/>
      <c r="NKT67" s="137"/>
      <c r="NKU67" s="137"/>
      <c r="NKV67" s="137"/>
      <c r="NKW67" s="137"/>
      <c r="NKX67" s="137"/>
      <c r="NKY67" s="137"/>
      <c r="NKZ67" s="137"/>
      <c r="NLA67" s="137"/>
      <c r="NLB67" s="137"/>
      <c r="NLC67" s="137"/>
      <c r="NLD67" s="137"/>
      <c r="NLE67" s="137"/>
      <c r="NLF67" s="137"/>
      <c r="NLG67" s="137"/>
      <c r="NLH67" s="137"/>
      <c r="NLI67" s="137"/>
      <c r="NLJ67" s="137"/>
      <c r="NLK67" s="137"/>
      <c r="NLL67" s="137"/>
      <c r="NLM67" s="137"/>
      <c r="NLN67" s="137"/>
      <c r="NLO67" s="137"/>
      <c r="NLP67" s="137"/>
      <c r="NLQ67" s="137"/>
      <c r="NLR67" s="137"/>
      <c r="NLS67" s="137"/>
      <c r="NLT67" s="137"/>
      <c r="NLU67" s="137"/>
      <c r="NLV67" s="137"/>
      <c r="NLW67" s="137"/>
      <c r="NLX67" s="137"/>
      <c r="NLY67" s="137"/>
      <c r="NLZ67" s="137"/>
      <c r="NMA67" s="137"/>
      <c r="NMB67" s="137"/>
      <c r="NMC67" s="137"/>
      <c r="NMD67" s="137"/>
      <c r="NME67" s="137"/>
      <c r="NMF67" s="137"/>
      <c r="NMG67" s="137"/>
      <c r="NMH67" s="137"/>
      <c r="NMI67" s="137"/>
      <c r="NMJ67" s="137"/>
      <c r="NMK67" s="137"/>
      <c r="NML67" s="137"/>
      <c r="NMM67" s="137"/>
      <c r="NMN67" s="137"/>
      <c r="NMO67" s="137"/>
      <c r="NMP67" s="137"/>
      <c r="NMQ67" s="137"/>
      <c r="NMR67" s="137"/>
      <c r="NMS67" s="137"/>
      <c r="NMT67" s="137"/>
      <c r="NMU67" s="137"/>
      <c r="NMV67" s="137"/>
      <c r="NMW67" s="137"/>
      <c r="NMX67" s="137"/>
      <c r="NMY67" s="137"/>
      <c r="NMZ67" s="137"/>
      <c r="NNA67" s="137"/>
      <c r="NNB67" s="137"/>
      <c r="NNC67" s="137"/>
      <c r="NND67" s="137"/>
      <c r="NNE67" s="137"/>
      <c r="NNF67" s="137"/>
      <c r="NNG67" s="137"/>
      <c r="NNH67" s="137"/>
      <c r="NNI67" s="137"/>
      <c r="NNJ67" s="137"/>
      <c r="NNK67" s="137"/>
      <c r="NNL67" s="137"/>
      <c r="NNM67" s="137"/>
      <c r="NNN67" s="137"/>
      <c r="NNO67" s="137"/>
      <c r="NNP67" s="137"/>
      <c r="NNQ67" s="137"/>
      <c r="NNR67" s="137"/>
      <c r="NNS67" s="137"/>
      <c r="NNT67" s="137"/>
      <c r="NNU67" s="137"/>
      <c r="NNV67" s="137"/>
      <c r="NNW67" s="137"/>
      <c r="NNX67" s="137"/>
      <c r="NNY67" s="137"/>
      <c r="NNZ67" s="137"/>
      <c r="NOA67" s="137"/>
      <c r="NOB67" s="137"/>
      <c r="NOC67" s="137"/>
      <c r="NOD67" s="137"/>
      <c r="NOE67" s="137"/>
      <c r="NOF67" s="137"/>
      <c r="NOG67" s="137"/>
      <c r="NOH67" s="137"/>
      <c r="NOI67" s="137"/>
      <c r="NOJ67" s="137"/>
      <c r="NOK67" s="137"/>
      <c r="NOL67" s="137"/>
      <c r="NOM67" s="137"/>
      <c r="NON67" s="137"/>
      <c r="NOO67" s="137"/>
      <c r="NOP67" s="137"/>
      <c r="NOQ67" s="137"/>
      <c r="NOR67" s="137"/>
      <c r="NOS67" s="137"/>
      <c r="NOT67" s="137"/>
      <c r="NOU67" s="137"/>
      <c r="NOV67" s="137"/>
      <c r="NOW67" s="137"/>
      <c r="NOX67" s="137"/>
      <c r="NOY67" s="137"/>
      <c r="NOZ67" s="137"/>
      <c r="NPA67" s="137"/>
      <c r="NPB67" s="137"/>
      <c r="NPC67" s="137"/>
      <c r="NPD67" s="137"/>
      <c r="NPE67" s="137"/>
      <c r="NPF67" s="137"/>
      <c r="NPG67" s="137"/>
      <c r="NPH67" s="137"/>
      <c r="NPI67" s="137"/>
      <c r="NPJ67" s="137"/>
      <c r="NPK67" s="137"/>
      <c r="NPL67" s="137"/>
      <c r="NPM67" s="137"/>
      <c r="NPN67" s="137"/>
      <c r="NPO67" s="137"/>
      <c r="NPP67" s="137"/>
      <c r="NPQ67" s="137"/>
      <c r="NPR67" s="137"/>
      <c r="NPS67" s="137"/>
      <c r="NPT67" s="137"/>
      <c r="NPU67" s="137"/>
      <c r="NPV67" s="137"/>
      <c r="NPW67" s="137"/>
      <c r="NPX67" s="137"/>
      <c r="NPY67" s="137"/>
      <c r="NPZ67" s="137"/>
      <c r="NQA67" s="137"/>
      <c r="NQB67" s="137"/>
      <c r="NQC67" s="137"/>
      <c r="NQD67" s="137"/>
      <c r="NQE67" s="137"/>
      <c r="NQF67" s="137"/>
      <c r="NQG67" s="137"/>
      <c r="NQH67" s="137"/>
      <c r="NQI67" s="137"/>
      <c r="NQJ67" s="137"/>
      <c r="NQK67" s="137"/>
      <c r="NQL67" s="137"/>
      <c r="NQM67" s="137"/>
      <c r="NQN67" s="137"/>
      <c r="NQO67" s="137"/>
      <c r="NQP67" s="137"/>
      <c r="NQQ67" s="137"/>
      <c r="NQR67" s="137"/>
      <c r="NQS67" s="137"/>
      <c r="NQT67" s="137"/>
      <c r="NQU67" s="137"/>
      <c r="NQV67" s="137"/>
      <c r="NQW67" s="137"/>
      <c r="NQX67" s="137"/>
      <c r="NQY67" s="137"/>
      <c r="NQZ67" s="137"/>
      <c r="NRA67" s="137"/>
      <c r="NRB67" s="137"/>
      <c r="NRC67" s="137"/>
      <c r="NRD67" s="137"/>
      <c r="NRE67" s="137"/>
      <c r="NRF67" s="137"/>
      <c r="NRG67" s="137"/>
      <c r="NRH67" s="137"/>
      <c r="NRI67" s="137"/>
      <c r="NRJ67" s="137"/>
      <c r="NRK67" s="137"/>
      <c r="NRL67" s="137"/>
      <c r="NRM67" s="137"/>
      <c r="NRN67" s="137"/>
      <c r="NRO67" s="137"/>
      <c r="NRP67" s="137"/>
      <c r="NRQ67" s="137"/>
      <c r="NRR67" s="137"/>
      <c r="NRS67" s="137"/>
      <c r="NRT67" s="137"/>
      <c r="NRU67" s="137"/>
      <c r="NRV67" s="137"/>
      <c r="NRW67" s="137"/>
      <c r="NRX67" s="137"/>
      <c r="NRY67" s="137"/>
      <c r="NRZ67" s="137"/>
      <c r="NSA67" s="137"/>
      <c r="NSB67" s="137"/>
      <c r="NSC67" s="137"/>
      <c r="NSD67" s="137"/>
      <c r="NSE67" s="137"/>
      <c r="NSF67" s="137"/>
      <c r="NSG67" s="137"/>
      <c r="NSH67" s="137"/>
      <c r="NSI67" s="137"/>
      <c r="NSJ67" s="137"/>
      <c r="NSK67" s="137"/>
      <c r="NSL67" s="137"/>
      <c r="NSM67" s="137"/>
      <c r="NSN67" s="137"/>
      <c r="NSO67" s="137"/>
      <c r="NSP67" s="137"/>
      <c r="NSQ67" s="137"/>
      <c r="NSR67" s="137"/>
      <c r="NSS67" s="137"/>
      <c r="NST67" s="137"/>
      <c r="NSU67" s="137"/>
      <c r="NSV67" s="137"/>
      <c r="NSW67" s="137"/>
      <c r="NSX67" s="137"/>
      <c r="NSY67" s="137"/>
      <c r="NSZ67" s="137"/>
      <c r="NTA67" s="137"/>
      <c r="NTB67" s="137"/>
      <c r="NTC67" s="137"/>
      <c r="NTD67" s="137"/>
      <c r="NTE67" s="137"/>
      <c r="NTF67" s="137"/>
      <c r="NTG67" s="137"/>
      <c r="NTH67" s="137"/>
      <c r="NTI67" s="137"/>
      <c r="NTJ67" s="137"/>
      <c r="NTK67" s="137"/>
      <c r="NTL67" s="137"/>
      <c r="NTM67" s="137"/>
      <c r="NTN67" s="137"/>
      <c r="NTO67" s="137"/>
      <c r="NTP67" s="137"/>
      <c r="NTQ67" s="137"/>
      <c r="NTR67" s="137"/>
      <c r="NTS67" s="137"/>
      <c r="NTT67" s="137"/>
      <c r="NTU67" s="137"/>
      <c r="NTV67" s="137"/>
      <c r="NTW67" s="137"/>
      <c r="NTX67" s="137"/>
      <c r="NTY67" s="137"/>
      <c r="NTZ67" s="137"/>
      <c r="NUA67" s="137"/>
      <c r="NUB67" s="137"/>
      <c r="NUC67" s="137"/>
      <c r="NUD67" s="137"/>
      <c r="NUE67" s="137"/>
      <c r="NUF67" s="137"/>
      <c r="NUG67" s="137"/>
      <c r="NUH67" s="137"/>
      <c r="NUI67" s="137"/>
      <c r="NUJ67" s="137"/>
      <c r="NUK67" s="137"/>
      <c r="NUL67" s="137"/>
      <c r="NUM67" s="137"/>
      <c r="NUN67" s="137"/>
      <c r="NUO67" s="137"/>
      <c r="NUP67" s="137"/>
      <c r="NUQ67" s="137"/>
      <c r="NUR67" s="137"/>
      <c r="NUS67" s="137"/>
      <c r="NUT67" s="137"/>
      <c r="NUU67" s="137"/>
      <c r="NUV67" s="137"/>
      <c r="NUW67" s="137"/>
      <c r="NUX67" s="137"/>
      <c r="NUY67" s="137"/>
      <c r="NUZ67" s="137"/>
      <c r="NVA67" s="137"/>
      <c r="NVB67" s="137"/>
      <c r="NVC67" s="137"/>
      <c r="NVD67" s="137"/>
      <c r="NVE67" s="137"/>
      <c r="NVF67" s="137"/>
      <c r="NVG67" s="137"/>
      <c r="NVH67" s="137"/>
      <c r="NVI67" s="137"/>
      <c r="NVJ67" s="137"/>
      <c r="NVK67" s="137"/>
      <c r="NVL67" s="137"/>
      <c r="NVM67" s="137"/>
      <c r="NVN67" s="137"/>
      <c r="NVO67" s="137"/>
      <c r="NVP67" s="137"/>
      <c r="NVQ67" s="137"/>
      <c r="NVR67" s="137"/>
      <c r="NVS67" s="137"/>
      <c r="NVT67" s="137"/>
      <c r="NVU67" s="137"/>
      <c r="NVV67" s="137"/>
      <c r="NVW67" s="137"/>
      <c r="NVX67" s="137"/>
      <c r="NVY67" s="137"/>
      <c r="NVZ67" s="137"/>
      <c r="NWA67" s="137"/>
      <c r="NWB67" s="137"/>
      <c r="NWC67" s="137"/>
      <c r="NWD67" s="137"/>
      <c r="NWE67" s="137"/>
      <c r="NWF67" s="137"/>
      <c r="NWG67" s="137"/>
      <c r="NWH67" s="137"/>
      <c r="NWI67" s="137"/>
      <c r="NWJ67" s="137"/>
      <c r="NWK67" s="137"/>
      <c r="NWL67" s="137"/>
      <c r="NWM67" s="137"/>
      <c r="NWN67" s="137"/>
      <c r="NWO67" s="137"/>
      <c r="NWP67" s="137"/>
      <c r="NWQ67" s="137"/>
      <c r="NWR67" s="137"/>
      <c r="NWS67" s="137"/>
      <c r="NWT67" s="137"/>
      <c r="NWU67" s="137"/>
      <c r="NWV67" s="137"/>
      <c r="NWW67" s="137"/>
      <c r="NWX67" s="137"/>
      <c r="NWY67" s="137"/>
      <c r="NWZ67" s="137"/>
      <c r="NXA67" s="137"/>
      <c r="NXB67" s="137"/>
      <c r="NXC67" s="137"/>
      <c r="NXD67" s="137"/>
      <c r="NXE67" s="137"/>
      <c r="NXF67" s="137"/>
      <c r="NXG67" s="137"/>
      <c r="NXH67" s="137"/>
      <c r="NXI67" s="137"/>
      <c r="NXJ67" s="137"/>
      <c r="NXK67" s="137"/>
      <c r="NXL67" s="137"/>
      <c r="NXM67" s="137"/>
      <c r="NXN67" s="137"/>
      <c r="NXO67" s="137"/>
      <c r="NXP67" s="137"/>
      <c r="NXQ67" s="137"/>
      <c r="NXR67" s="137"/>
      <c r="NXS67" s="137"/>
      <c r="NXT67" s="137"/>
      <c r="NXU67" s="137"/>
      <c r="NXV67" s="137"/>
      <c r="NXW67" s="137"/>
      <c r="NXX67" s="137"/>
      <c r="NXY67" s="137"/>
      <c r="NXZ67" s="137"/>
      <c r="NYA67" s="137"/>
      <c r="NYB67" s="137"/>
      <c r="NYC67" s="137"/>
      <c r="NYD67" s="137"/>
      <c r="NYE67" s="137"/>
      <c r="NYF67" s="137"/>
      <c r="NYG67" s="137"/>
      <c r="NYH67" s="137"/>
      <c r="NYI67" s="137"/>
      <c r="NYJ67" s="137"/>
      <c r="NYK67" s="137"/>
      <c r="NYL67" s="137"/>
      <c r="NYM67" s="137"/>
      <c r="NYN67" s="137"/>
      <c r="NYO67" s="137"/>
      <c r="NYP67" s="137"/>
      <c r="NYQ67" s="137"/>
      <c r="NYR67" s="137"/>
      <c r="NYS67" s="137"/>
      <c r="NYT67" s="137"/>
      <c r="NYU67" s="137"/>
      <c r="NYV67" s="137"/>
      <c r="NYW67" s="137"/>
      <c r="NYX67" s="137"/>
      <c r="NYY67" s="137"/>
      <c r="NYZ67" s="137"/>
      <c r="NZA67" s="137"/>
      <c r="NZB67" s="137"/>
      <c r="NZC67" s="137"/>
      <c r="NZD67" s="137"/>
      <c r="NZE67" s="137"/>
      <c r="NZF67" s="137"/>
      <c r="NZG67" s="137"/>
      <c r="NZH67" s="137"/>
      <c r="NZI67" s="137"/>
      <c r="NZJ67" s="137"/>
      <c r="NZK67" s="137"/>
      <c r="NZL67" s="137"/>
      <c r="NZM67" s="137"/>
      <c r="NZN67" s="137"/>
      <c r="NZO67" s="137"/>
      <c r="NZP67" s="137"/>
      <c r="NZQ67" s="137"/>
      <c r="NZR67" s="137"/>
      <c r="NZS67" s="137"/>
      <c r="NZT67" s="137"/>
      <c r="NZU67" s="137"/>
      <c r="NZV67" s="137"/>
      <c r="NZW67" s="137"/>
      <c r="NZX67" s="137"/>
      <c r="NZY67" s="137"/>
      <c r="NZZ67" s="137"/>
      <c r="OAA67" s="137"/>
      <c r="OAB67" s="137"/>
      <c r="OAC67" s="137"/>
      <c r="OAD67" s="137"/>
      <c r="OAE67" s="137"/>
      <c r="OAF67" s="137"/>
      <c r="OAG67" s="137"/>
      <c r="OAH67" s="137"/>
      <c r="OAI67" s="137"/>
      <c r="OAJ67" s="137"/>
      <c r="OAK67" s="137"/>
      <c r="OAL67" s="137"/>
      <c r="OAM67" s="137"/>
      <c r="OAN67" s="137"/>
      <c r="OAO67" s="137"/>
      <c r="OAP67" s="137"/>
      <c r="OAQ67" s="137"/>
      <c r="OAR67" s="137"/>
      <c r="OAS67" s="137"/>
      <c r="OAT67" s="137"/>
      <c r="OAU67" s="137"/>
      <c r="OAV67" s="137"/>
      <c r="OAW67" s="137"/>
      <c r="OAX67" s="137"/>
      <c r="OAY67" s="137"/>
      <c r="OAZ67" s="137"/>
      <c r="OBA67" s="137"/>
      <c r="OBB67" s="137"/>
      <c r="OBC67" s="137"/>
      <c r="OBD67" s="137"/>
      <c r="OBE67" s="137"/>
      <c r="OBF67" s="137"/>
      <c r="OBG67" s="137"/>
      <c r="OBH67" s="137"/>
      <c r="OBI67" s="137"/>
      <c r="OBJ67" s="137"/>
      <c r="OBK67" s="137"/>
      <c r="OBL67" s="137"/>
      <c r="OBM67" s="137"/>
      <c r="OBN67" s="137"/>
      <c r="OBO67" s="137"/>
      <c r="OBP67" s="137"/>
      <c r="OBQ67" s="137"/>
      <c r="OBR67" s="137"/>
      <c r="OBS67" s="137"/>
      <c r="OBT67" s="137"/>
      <c r="OBU67" s="137"/>
      <c r="OBV67" s="137"/>
      <c r="OBW67" s="137"/>
      <c r="OBX67" s="137"/>
      <c r="OBY67" s="137"/>
      <c r="OBZ67" s="137"/>
      <c r="OCA67" s="137"/>
      <c r="OCB67" s="137"/>
      <c r="OCC67" s="137"/>
      <c r="OCD67" s="137"/>
      <c r="OCE67" s="137"/>
      <c r="OCF67" s="137"/>
      <c r="OCG67" s="137"/>
      <c r="OCH67" s="137"/>
      <c r="OCI67" s="137"/>
      <c r="OCJ67" s="137"/>
      <c r="OCK67" s="137"/>
      <c r="OCL67" s="137"/>
      <c r="OCM67" s="137"/>
      <c r="OCN67" s="137"/>
      <c r="OCO67" s="137"/>
      <c r="OCP67" s="137"/>
      <c r="OCQ67" s="137"/>
      <c r="OCR67" s="137"/>
      <c r="OCS67" s="137"/>
      <c r="OCT67" s="137"/>
      <c r="OCU67" s="137"/>
      <c r="OCV67" s="137"/>
      <c r="OCW67" s="137"/>
      <c r="OCX67" s="137"/>
      <c r="OCY67" s="137"/>
      <c r="OCZ67" s="137"/>
      <c r="ODA67" s="137"/>
      <c r="ODB67" s="137"/>
      <c r="ODC67" s="137"/>
      <c r="ODD67" s="137"/>
      <c r="ODE67" s="137"/>
      <c r="ODF67" s="137"/>
      <c r="ODG67" s="137"/>
      <c r="ODH67" s="137"/>
      <c r="ODI67" s="137"/>
      <c r="ODJ67" s="137"/>
      <c r="ODK67" s="137"/>
      <c r="ODL67" s="137"/>
      <c r="ODM67" s="137"/>
      <c r="ODN67" s="137"/>
      <c r="ODO67" s="137"/>
      <c r="ODP67" s="137"/>
      <c r="ODQ67" s="137"/>
      <c r="ODR67" s="137"/>
      <c r="ODS67" s="137"/>
      <c r="ODT67" s="137"/>
      <c r="ODU67" s="137"/>
      <c r="ODV67" s="137"/>
      <c r="ODW67" s="137"/>
      <c r="ODX67" s="137"/>
      <c r="ODY67" s="137"/>
      <c r="ODZ67" s="137"/>
      <c r="OEA67" s="137"/>
      <c r="OEB67" s="137"/>
      <c r="OEC67" s="137"/>
      <c r="OED67" s="137"/>
      <c r="OEE67" s="137"/>
      <c r="OEF67" s="137"/>
      <c r="OEG67" s="137"/>
      <c r="OEH67" s="137"/>
      <c r="OEI67" s="137"/>
      <c r="OEJ67" s="137"/>
      <c r="OEK67" s="137"/>
      <c r="OEL67" s="137"/>
      <c r="OEM67" s="137"/>
      <c r="OEN67" s="137"/>
      <c r="OEO67" s="137"/>
      <c r="OEP67" s="137"/>
      <c r="OEQ67" s="137"/>
      <c r="OER67" s="137"/>
      <c r="OES67" s="137"/>
      <c r="OET67" s="137"/>
      <c r="OEU67" s="137"/>
      <c r="OEV67" s="137"/>
      <c r="OEW67" s="137"/>
      <c r="OEX67" s="137"/>
      <c r="OEY67" s="137"/>
      <c r="OEZ67" s="137"/>
      <c r="OFA67" s="137"/>
      <c r="OFB67" s="137"/>
      <c r="OFC67" s="137"/>
      <c r="OFD67" s="137"/>
      <c r="OFE67" s="137"/>
      <c r="OFF67" s="137"/>
      <c r="OFG67" s="137"/>
      <c r="OFH67" s="137"/>
      <c r="OFI67" s="137"/>
      <c r="OFJ67" s="137"/>
      <c r="OFK67" s="137"/>
      <c r="OFL67" s="137"/>
      <c r="OFM67" s="137"/>
      <c r="OFN67" s="137"/>
      <c r="OFO67" s="137"/>
      <c r="OFP67" s="137"/>
      <c r="OFQ67" s="137"/>
      <c r="OFR67" s="137"/>
      <c r="OFS67" s="137"/>
      <c r="OFT67" s="137"/>
      <c r="OFU67" s="137"/>
      <c r="OFV67" s="137"/>
      <c r="OFW67" s="137"/>
      <c r="OFX67" s="137"/>
      <c r="OFY67" s="137"/>
      <c r="OFZ67" s="137"/>
      <c r="OGA67" s="137"/>
      <c r="OGB67" s="137"/>
      <c r="OGC67" s="137"/>
      <c r="OGD67" s="137"/>
      <c r="OGE67" s="137"/>
      <c r="OGF67" s="137"/>
      <c r="OGG67" s="137"/>
      <c r="OGH67" s="137"/>
      <c r="OGI67" s="137"/>
      <c r="OGJ67" s="137"/>
      <c r="OGK67" s="137"/>
      <c r="OGL67" s="137"/>
      <c r="OGM67" s="137"/>
      <c r="OGN67" s="137"/>
      <c r="OGO67" s="137"/>
      <c r="OGP67" s="137"/>
      <c r="OGQ67" s="137"/>
      <c r="OGR67" s="137"/>
      <c r="OGS67" s="137"/>
      <c r="OGT67" s="137"/>
      <c r="OGU67" s="137"/>
      <c r="OGV67" s="137"/>
      <c r="OGW67" s="137"/>
      <c r="OGX67" s="137"/>
      <c r="OGY67" s="137"/>
      <c r="OGZ67" s="137"/>
      <c r="OHA67" s="137"/>
      <c r="OHB67" s="137"/>
      <c r="OHC67" s="137"/>
      <c r="OHD67" s="137"/>
      <c r="OHE67" s="137"/>
      <c r="OHF67" s="137"/>
      <c r="OHG67" s="137"/>
      <c r="OHH67" s="137"/>
      <c r="OHI67" s="137"/>
      <c r="OHJ67" s="137"/>
      <c r="OHK67" s="137"/>
      <c r="OHL67" s="137"/>
      <c r="OHM67" s="137"/>
      <c r="OHN67" s="137"/>
      <c r="OHO67" s="137"/>
      <c r="OHP67" s="137"/>
      <c r="OHQ67" s="137"/>
      <c r="OHR67" s="137"/>
      <c r="OHS67" s="137"/>
      <c r="OHT67" s="137"/>
      <c r="OHU67" s="137"/>
      <c r="OHV67" s="137"/>
      <c r="OHW67" s="137"/>
      <c r="OHX67" s="137"/>
      <c r="OHY67" s="137"/>
      <c r="OHZ67" s="137"/>
      <c r="OIA67" s="137"/>
      <c r="OIB67" s="137"/>
      <c r="OIC67" s="137"/>
      <c r="OID67" s="137"/>
      <c r="OIE67" s="137"/>
      <c r="OIF67" s="137"/>
      <c r="OIG67" s="137"/>
      <c r="OIH67" s="137"/>
      <c r="OII67" s="137"/>
      <c r="OIJ67" s="137"/>
      <c r="OIK67" s="137"/>
      <c r="OIL67" s="137"/>
      <c r="OIM67" s="137"/>
      <c r="OIN67" s="137"/>
      <c r="OIO67" s="137"/>
      <c r="OIP67" s="137"/>
      <c r="OIQ67" s="137"/>
      <c r="OIR67" s="137"/>
      <c r="OIS67" s="137"/>
      <c r="OIT67" s="137"/>
      <c r="OIU67" s="137"/>
      <c r="OIV67" s="137"/>
      <c r="OIW67" s="137"/>
      <c r="OIX67" s="137"/>
      <c r="OIY67" s="137"/>
      <c r="OIZ67" s="137"/>
      <c r="OJA67" s="137"/>
      <c r="OJB67" s="137"/>
      <c r="OJC67" s="137"/>
      <c r="OJD67" s="137"/>
      <c r="OJE67" s="137"/>
      <c r="OJF67" s="137"/>
      <c r="OJG67" s="137"/>
      <c r="OJH67" s="137"/>
      <c r="OJI67" s="137"/>
      <c r="OJJ67" s="137"/>
      <c r="OJK67" s="137"/>
      <c r="OJL67" s="137"/>
      <c r="OJM67" s="137"/>
      <c r="OJN67" s="137"/>
      <c r="OJO67" s="137"/>
      <c r="OJP67" s="137"/>
      <c r="OJQ67" s="137"/>
      <c r="OJR67" s="137"/>
      <c r="OJS67" s="137"/>
      <c r="OJT67" s="137"/>
      <c r="OJU67" s="137"/>
      <c r="OJV67" s="137"/>
      <c r="OJW67" s="137"/>
      <c r="OJX67" s="137"/>
      <c r="OJY67" s="137"/>
      <c r="OJZ67" s="137"/>
      <c r="OKA67" s="137"/>
      <c r="OKB67" s="137"/>
      <c r="OKC67" s="137"/>
      <c r="OKD67" s="137"/>
      <c r="OKE67" s="137"/>
      <c r="OKF67" s="137"/>
      <c r="OKG67" s="137"/>
      <c r="OKH67" s="137"/>
      <c r="OKI67" s="137"/>
      <c r="OKJ67" s="137"/>
      <c r="OKK67" s="137"/>
      <c r="OKL67" s="137"/>
      <c r="OKM67" s="137"/>
      <c r="OKN67" s="137"/>
      <c r="OKO67" s="137"/>
      <c r="OKP67" s="137"/>
      <c r="OKQ67" s="137"/>
      <c r="OKR67" s="137"/>
      <c r="OKS67" s="137"/>
      <c r="OKT67" s="137"/>
      <c r="OKU67" s="137"/>
      <c r="OKV67" s="137"/>
      <c r="OKW67" s="137"/>
      <c r="OKX67" s="137"/>
      <c r="OKY67" s="137"/>
      <c r="OKZ67" s="137"/>
      <c r="OLA67" s="137"/>
      <c r="OLB67" s="137"/>
      <c r="OLC67" s="137"/>
      <c r="OLD67" s="137"/>
      <c r="OLE67" s="137"/>
      <c r="OLF67" s="137"/>
      <c r="OLG67" s="137"/>
      <c r="OLH67" s="137"/>
      <c r="OLI67" s="137"/>
      <c r="OLJ67" s="137"/>
      <c r="OLK67" s="137"/>
      <c r="OLL67" s="137"/>
      <c r="OLM67" s="137"/>
      <c r="OLN67" s="137"/>
      <c r="OLO67" s="137"/>
      <c r="OLP67" s="137"/>
      <c r="OLQ67" s="137"/>
      <c r="OLR67" s="137"/>
      <c r="OLS67" s="137"/>
      <c r="OLT67" s="137"/>
      <c r="OLU67" s="137"/>
      <c r="OLV67" s="137"/>
      <c r="OLW67" s="137"/>
      <c r="OLX67" s="137"/>
      <c r="OLY67" s="137"/>
      <c r="OLZ67" s="137"/>
      <c r="OMA67" s="137"/>
      <c r="OMB67" s="137"/>
      <c r="OMC67" s="137"/>
      <c r="OMD67" s="137"/>
      <c r="OME67" s="137"/>
      <c r="OMF67" s="137"/>
      <c r="OMG67" s="137"/>
      <c r="OMH67" s="137"/>
      <c r="OMI67" s="137"/>
      <c r="OMJ67" s="137"/>
      <c r="OMK67" s="137"/>
      <c r="OML67" s="137"/>
      <c r="OMM67" s="137"/>
      <c r="OMN67" s="137"/>
      <c r="OMO67" s="137"/>
      <c r="OMP67" s="137"/>
      <c r="OMQ67" s="137"/>
      <c r="OMR67" s="137"/>
      <c r="OMS67" s="137"/>
      <c r="OMT67" s="137"/>
      <c r="OMU67" s="137"/>
      <c r="OMV67" s="137"/>
      <c r="OMW67" s="137"/>
      <c r="OMX67" s="137"/>
      <c r="OMY67" s="137"/>
      <c r="OMZ67" s="137"/>
      <c r="ONA67" s="137"/>
      <c r="ONB67" s="137"/>
      <c r="ONC67" s="137"/>
      <c r="OND67" s="137"/>
      <c r="ONE67" s="137"/>
      <c r="ONF67" s="137"/>
      <c r="ONG67" s="137"/>
      <c r="ONH67" s="137"/>
      <c r="ONI67" s="137"/>
      <c r="ONJ67" s="137"/>
      <c r="ONK67" s="137"/>
      <c r="ONL67" s="137"/>
      <c r="ONM67" s="137"/>
      <c r="ONN67" s="137"/>
      <c r="ONO67" s="137"/>
      <c r="ONP67" s="137"/>
      <c r="ONQ67" s="137"/>
      <c r="ONR67" s="137"/>
      <c r="ONS67" s="137"/>
      <c r="ONT67" s="137"/>
      <c r="ONU67" s="137"/>
      <c r="ONV67" s="137"/>
      <c r="ONW67" s="137"/>
      <c r="ONX67" s="137"/>
      <c r="ONY67" s="137"/>
      <c r="ONZ67" s="137"/>
      <c r="OOA67" s="137"/>
      <c r="OOB67" s="137"/>
      <c r="OOC67" s="137"/>
      <c r="OOD67" s="137"/>
      <c r="OOE67" s="137"/>
      <c r="OOF67" s="137"/>
      <c r="OOG67" s="137"/>
      <c r="OOH67" s="137"/>
      <c r="OOI67" s="137"/>
      <c r="OOJ67" s="137"/>
      <c r="OOK67" s="137"/>
      <c r="OOL67" s="137"/>
      <c r="OOM67" s="137"/>
      <c r="OON67" s="137"/>
      <c r="OOO67" s="137"/>
      <c r="OOP67" s="137"/>
      <c r="OOQ67" s="137"/>
      <c r="OOR67" s="137"/>
      <c r="OOS67" s="137"/>
      <c r="OOT67" s="137"/>
      <c r="OOU67" s="137"/>
      <c r="OOV67" s="137"/>
      <c r="OOW67" s="137"/>
      <c r="OOX67" s="137"/>
      <c r="OOY67" s="137"/>
      <c r="OOZ67" s="137"/>
      <c r="OPA67" s="137"/>
      <c r="OPB67" s="137"/>
      <c r="OPC67" s="137"/>
      <c r="OPD67" s="137"/>
      <c r="OPE67" s="137"/>
      <c r="OPF67" s="137"/>
      <c r="OPG67" s="137"/>
      <c r="OPH67" s="137"/>
      <c r="OPI67" s="137"/>
      <c r="OPJ67" s="137"/>
      <c r="OPK67" s="137"/>
      <c r="OPL67" s="137"/>
      <c r="OPM67" s="137"/>
      <c r="OPN67" s="137"/>
      <c r="OPO67" s="137"/>
      <c r="OPP67" s="137"/>
      <c r="OPQ67" s="137"/>
      <c r="OPR67" s="137"/>
      <c r="OPS67" s="137"/>
      <c r="OPT67" s="137"/>
      <c r="OPU67" s="137"/>
      <c r="OPV67" s="137"/>
      <c r="OPW67" s="137"/>
      <c r="OPX67" s="137"/>
      <c r="OPY67" s="137"/>
      <c r="OPZ67" s="137"/>
      <c r="OQA67" s="137"/>
      <c r="OQB67" s="137"/>
      <c r="OQC67" s="137"/>
      <c r="OQD67" s="137"/>
      <c r="OQE67" s="137"/>
      <c r="OQF67" s="137"/>
      <c r="OQG67" s="137"/>
      <c r="OQH67" s="137"/>
      <c r="OQI67" s="137"/>
      <c r="OQJ67" s="137"/>
      <c r="OQK67" s="137"/>
      <c r="OQL67" s="137"/>
      <c r="OQM67" s="137"/>
      <c r="OQN67" s="137"/>
      <c r="OQO67" s="137"/>
      <c r="OQP67" s="137"/>
      <c r="OQQ67" s="137"/>
      <c r="OQR67" s="137"/>
      <c r="OQS67" s="137"/>
      <c r="OQT67" s="137"/>
      <c r="OQU67" s="137"/>
      <c r="OQV67" s="137"/>
      <c r="OQW67" s="137"/>
      <c r="OQX67" s="137"/>
      <c r="OQY67" s="137"/>
      <c r="OQZ67" s="137"/>
      <c r="ORA67" s="137"/>
      <c r="ORB67" s="137"/>
      <c r="ORC67" s="137"/>
      <c r="ORD67" s="137"/>
      <c r="ORE67" s="137"/>
      <c r="ORF67" s="137"/>
      <c r="ORG67" s="137"/>
      <c r="ORH67" s="137"/>
      <c r="ORI67" s="137"/>
      <c r="ORJ67" s="137"/>
      <c r="ORK67" s="137"/>
      <c r="ORL67" s="137"/>
      <c r="ORM67" s="137"/>
      <c r="ORN67" s="137"/>
      <c r="ORO67" s="137"/>
      <c r="ORP67" s="137"/>
      <c r="ORQ67" s="137"/>
      <c r="ORR67" s="137"/>
      <c r="ORS67" s="137"/>
      <c r="ORT67" s="137"/>
      <c r="ORU67" s="137"/>
      <c r="ORV67" s="137"/>
      <c r="ORW67" s="137"/>
      <c r="ORX67" s="137"/>
      <c r="ORY67" s="137"/>
      <c r="ORZ67" s="137"/>
      <c r="OSA67" s="137"/>
      <c r="OSB67" s="137"/>
      <c r="OSC67" s="137"/>
      <c r="OSD67" s="137"/>
      <c r="OSE67" s="137"/>
      <c r="OSF67" s="137"/>
      <c r="OSG67" s="137"/>
      <c r="OSH67" s="137"/>
      <c r="OSI67" s="137"/>
      <c r="OSJ67" s="137"/>
      <c r="OSK67" s="137"/>
      <c r="OSL67" s="137"/>
      <c r="OSM67" s="137"/>
      <c r="OSN67" s="137"/>
      <c r="OSO67" s="137"/>
      <c r="OSP67" s="137"/>
      <c r="OSQ67" s="137"/>
      <c r="OSR67" s="137"/>
      <c r="OSS67" s="137"/>
      <c r="OST67" s="137"/>
      <c r="OSU67" s="137"/>
      <c r="OSV67" s="137"/>
      <c r="OSW67" s="137"/>
      <c r="OSX67" s="137"/>
      <c r="OSY67" s="137"/>
      <c r="OSZ67" s="137"/>
      <c r="OTA67" s="137"/>
      <c r="OTB67" s="137"/>
      <c r="OTC67" s="137"/>
      <c r="OTD67" s="137"/>
      <c r="OTE67" s="137"/>
      <c r="OTF67" s="137"/>
      <c r="OTG67" s="137"/>
      <c r="OTH67" s="137"/>
      <c r="OTI67" s="137"/>
      <c r="OTJ67" s="137"/>
      <c r="OTK67" s="137"/>
      <c r="OTL67" s="137"/>
      <c r="OTM67" s="137"/>
      <c r="OTN67" s="137"/>
      <c r="OTO67" s="137"/>
      <c r="OTP67" s="137"/>
      <c r="OTQ67" s="137"/>
      <c r="OTR67" s="137"/>
      <c r="OTS67" s="137"/>
      <c r="OTT67" s="137"/>
      <c r="OTU67" s="137"/>
      <c r="OTV67" s="137"/>
      <c r="OTW67" s="137"/>
      <c r="OTX67" s="137"/>
      <c r="OTY67" s="137"/>
      <c r="OTZ67" s="137"/>
      <c r="OUA67" s="137"/>
      <c r="OUB67" s="137"/>
      <c r="OUC67" s="137"/>
      <c r="OUD67" s="137"/>
      <c r="OUE67" s="137"/>
      <c r="OUF67" s="137"/>
      <c r="OUG67" s="137"/>
      <c r="OUH67" s="137"/>
      <c r="OUI67" s="137"/>
      <c r="OUJ67" s="137"/>
      <c r="OUK67" s="137"/>
      <c r="OUL67" s="137"/>
      <c r="OUM67" s="137"/>
      <c r="OUN67" s="137"/>
      <c r="OUO67" s="137"/>
      <c r="OUP67" s="137"/>
      <c r="OUQ67" s="137"/>
      <c r="OUR67" s="137"/>
      <c r="OUS67" s="137"/>
      <c r="OUT67" s="137"/>
      <c r="OUU67" s="137"/>
      <c r="OUV67" s="137"/>
      <c r="OUW67" s="137"/>
      <c r="OUX67" s="137"/>
      <c r="OUY67" s="137"/>
      <c r="OUZ67" s="137"/>
      <c r="OVA67" s="137"/>
      <c r="OVB67" s="137"/>
      <c r="OVC67" s="137"/>
      <c r="OVD67" s="137"/>
      <c r="OVE67" s="137"/>
      <c r="OVF67" s="137"/>
      <c r="OVG67" s="137"/>
      <c r="OVH67" s="137"/>
      <c r="OVI67" s="137"/>
      <c r="OVJ67" s="137"/>
      <c r="OVK67" s="137"/>
      <c r="OVL67" s="137"/>
      <c r="OVM67" s="137"/>
      <c r="OVN67" s="137"/>
      <c r="OVO67" s="137"/>
      <c r="OVP67" s="137"/>
      <c r="OVQ67" s="137"/>
      <c r="OVR67" s="137"/>
      <c r="OVS67" s="137"/>
      <c r="OVT67" s="137"/>
      <c r="OVU67" s="137"/>
      <c r="OVV67" s="137"/>
      <c r="OVW67" s="137"/>
      <c r="OVX67" s="137"/>
      <c r="OVY67" s="137"/>
      <c r="OVZ67" s="137"/>
      <c r="OWA67" s="137"/>
      <c r="OWB67" s="137"/>
      <c r="OWC67" s="137"/>
      <c r="OWD67" s="137"/>
      <c r="OWE67" s="137"/>
      <c r="OWF67" s="137"/>
      <c r="OWG67" s="137"/>
      <c r="OWH67" s="137"/>
      <c r="OWI67" s="137"/>
      <c r="OWJ67" s="137"/>
      <c r="OWK67" s="137"/>
      <c r="OWL67" s="137"/>
      <c r="OWM67" s="137"/>
      <c r="OWN67" s="137"/>
      <c r="OWO67" s="137"/>
      <c r="OWP67" s="137"/>
      <c r="OWQ67" s="137"/>
      <c r="OWR67" s="137"/>
      <c r="OWS67" s="137"/>
      <c r="OWT67" s="137"/>
      <c r="OWU67" s="137"/>
      <c r="OWV67" s="137"/>
      <c r="OWW67" s="137"/>
      <c r="OWX67" s="137"/>
      <c r="OWY67" s="137"/>
      <c r="OWZ67" s="137"/>
      <c r="OXA67" s="137"/>
      <c r="OXB67" s="137"/>
      <c r="OXC67" s="137"/>
      <c r="OXD67" s="137"/>
      <c r="OXE67" s="137"/>
      <c r="OXF67" s="137"/>
      <c r="OXG67" s="137"/>
      <c r="OXH67" s="137"/>
      <c r="OXI67" s="137"/>
      <c r="OXJ67" s="137"/>
      <c r="OXK67" s="137"/>
      <c r="OXL67" s="137"/>
      <c r="OXM67" s="137"/>
      <c r="OXN67" s="137"/>
      <c r="OXO67" s="137"/>
      <c r="OXP67" s="137"/>
      <c r="OXQ67" s="137"/>
      <c r="OXR67" s="137"/>
      <c r="OXS67" s="137"/>
      <c r="OXT67" s="137"/>
      <c r="OXU67" s="137"/>
      <c r="OXV67" s="137"/>
      <c r="OXW67" s="137"/>
      <c r="OXX67" s="137"/>
      <c r="OXY67" s="137"/>
      <c r="OXZ67" s="137"/>
      <c r="OYA67" s="137"/>
      <c r="OYB67" s="137"/>
      <c r="OYC67" s="137"/>
      <c r="OYD67" s="137"/>
      <c r="OYE67" s="137"/>
      <c r="OYF67" s="137"/>
      <c r="OYG67" s="137"/>
      <c r="OYH67" s="137"/>
      <c r="OYI67" s="137"/>
      <c r="OYJ67" s="137"/>
      <c r="OYK67" s="137"/>
      <c r="OYL67" s="137"/>
      <c r="OYM67" s="137"/>
      <c r="OYN67" s="137"/>
      <c r="OYO67" s="137"/>
      <c r="OYP67" s="137"/>
      <c r="OYQ67" s="137"/>
      <c r="OYR67" s="137"/>
      <c r="OYS67" s="137"/>
      <c r="OYT67" s="137"/>
      <c r="OYU67" s="137"/>
      <c r="OYV67" s="137"/>
      <c r="OYW67" s="137"/>
      <c r="OYX67" s="137"/>
      <c r="OYY67" s="137"/>
      <c r="OYZ67" s="137"/>
      <c r="OZA67" s="137"/>
      <c r="OZB67" s="137"/>
      <c r="OZC67" s="137"/>
      <c r="OZD67" s="137"/>
      <c r="OZE67" s="137"/>
      <c r="OZF67" s="137"/>
      <c r="OZG67" s="137"/>
      <c r="OZH67" s="137"/>
      <c r="OZI67" s="137"/>
      <c r="OZJ67" s="137"/>
      <c r="OZK67" s="137"/>
      <c r="OZL67" s="137"/>
      <c r="OZM67" s="137"/>
      <c r="OZN67" s="137"/>
      <c r="OZO67" s="137"/>
      <c r="OZP67" s="137"/>
      <c r="OZQ67" s="137"/>
      <c r="OZR67" s="137"/>
      <c r="OZS67" s="137"/>
      <c r="OZT67" s="137"/>
      <c r="OZU67" s="137"/>
      <c r="OZV67" s="137"/>
      <c r="OZW67" s="137"/>
      <c r="OZX67" s="137"/>
      <c r="OZY67" s="137"/>
      <c r="OZZ67" s="137"/>
      <c r="PAA67" s="137"/>
      <c r="PAB67" s="137"/>
      <c r="PAC67" s="137"/>
      <c r="PAD67" s="137"/>
      <c r="PAE67" s="137"/>
      <c r="PAF67" s="137"/>
      <c r="PAG67" s="137"/>
      <c r="PAH67" s="137"/>
      <c r="PAI67" s="137"/>
      <c r="PAJ67" s="137"/>
      <c r="PAK67" s="137"/>
      <c r="PAL67" s="137"/>
      <c r="PAM67" s="137"/>
      <c r="PAN67" s="137"/>
      <c r="PAO67" s="137"/>
      <c r="PAP67" s="137"/>
      <c r="PAQ67" s="137"/>
      <c r="PAR67" s="137"/>
      <c r="PAS67" s="137"/>
      <c r="PAT67" s="137"/>
      <c r="PAU67" s="137"/>
      <c r="PAV67" s="137"/>
      <c r="PAW67" s="137"/>
      <c r="PAX67" s="137"/>
      <c r="PAY67" s="137"/>
      <c r="PAZ67" s="137"/>
      <c r="PBA67" s="137"/>
      <c r="PBB67" s="137"/>
      <c r="PBC67" s="137"/>
      <c r="PBD67" s="137"/>
      <c r="PBE67" s="137"/>
      <c r="PBF67" s="137"/>
      <c r="PBG67" s="137"/>
      <c r="PBH67" s="137"/>
      <c r="PBI67" s="137"/>
      <c r="PBJ67" s="137"/>
      <c r="PBK67" s="137"/>
      <c r="PBL67" s="137"/>
      <c r="PBM67" s="137"/>
      <c r="PBN67" s="137"/>
      <c r="PBO67" s="137"/>
      <c r="PBP67" s="137"/>
      <c r="PBQ67" s="137"/>
      <c r="PBR67" s="137"/>
      <c r="PBS67" s="137"/>
      <c r="PBT67" s="137"/>
      <c r="PBU67" s="137"/>
      <c r="PBV67" s="137"/>
      <c r="PBW67" s="137"/>
      <c r="PBX67" s="137"/>
      <c r="PBY67" s="137"/>
      <c r="PBZ67" s="137"/>
      <c r="PCA67" s="137"/>
      <c r="PCB67" s="137"/>
      <c r="PCC67" s="137"/>
      <c r="PCD67" s="137"/>
      <c r="PCE67" s="137"/>
      <c r="PCF67" s="137"/>
      <c r="PCG67" s="137"/>
      <c r="PCH67" s="137"/>
      <c r="PCI67" s="137"/>
      <c r="PCJ67" s="137"/>
      <c r="PCK67" s="137"/>
      <c r="PCL67" s="137"/>
      <c r="PCM67" s="137"/>
      <c r="PCN67" s="137"/>
      <c r="PCO67" s="137"/>
      <c r="PCP67" s="137"/>
      <c r="PCQ67" s="137"/>
      <c r="PCR67" s="137"/>
      <c r="PCS67" s="137"/>
      <c r="PCT67" s="137"/>
      <c r="PCU67" s="137"/>
      <c r="PCV67" s="137"/>
      <c r="PCW67" s="137"/>
      <c r="PCX67" s="137"/>
      <c r="PCY67" s="137"/>
      <c r="PCZ67" s="137"/>
      <c r="PDA67" s="137"/>
      <c r="PDB67" s="137"/>
      <c r="PDC67" s="137"/>
      <c r="PDD67" s="137"/>
      <c r="PDE67" s="137"/>
      <c r="PDF67" s="137"/>
      <c r="PDG67" s="137"/>
      <c r="PDH67" s="137"/>
      <c r="PDI67" s="137"/>
      <c r="PDJ67" s="137"/>
      <c r="PDK67" s="137"/>
      <c r="PDL67" s="137"/>
      <c r="PDM67" s="137"/>
      <c r="PDN67" s="137"/>
      <c r="PDO67" s="137"/>
      <c r="PDP67" s="137"/>
      <c r="PDQ67" s="137"/>
      <c r="PDR67" s="137"/>
      <c r="PDS67" s="137"/>
      <c r="PDT67" s="137"/>
      <c r="PDU67" s="137"/>
      <c r="PDV67" s="137"/>
      <c r="PDW67" s="137"/>
      <c r="PDX67" s="137"/>
      <c r="PDY67" s="137"/>
      <c r="PDZ67" s="137"/>
      <c r="PEA67" s="137"/>
      <c r="PEB67" s="137"/>
      <c r="PEC67" s="137"/>
      <c r="PED67" s="137"/>
      <c r="PEE67" s="137"/>
      <c r="PEF67" s="137"/>
      <c r="PEG67" s="137"/>
      <c r="PEH67" s="137"/>
      <c r="PEI67" s="137"/>
      <c r="PEJ67" s="137"/>
      <c r="PEK67" s="137"/>
      <c r="PEL67" s="137"/>
      <c r="PEM67" s="137"/>
      <c r="PEN67" s="137"/>
      <c r="PEO67" s="137"/>
      <c r="PEP67" s="137"/>
      <c r="PEQ67" s="137"/>
      <c r="PER67" s="137"/>
      <c r="PES67" s="137"/>
      <c r="PET67" s="137"/>
      <c r="PEU67" s="137"/>
      <c r="PEV67" s="137"/>
      <c r="PEW67" s="137"/>
      <c r="PEX67" s="137"/>
      <c r="PEY67" s="137"/>
      <c r="PEZ67" s="137"/>
      <c r="PFA67" s="137"/>
      <c r="PFB67" s="137"/>
      <c r="PFC67" s="137"/>
      <c r="PFD67" s="137"/>
      <c r="PFE67" s="137"/>
      <c r="PFF67" s="137"/>
      <c r="PFG67" s="137"/>
      <c r="PFH67" s="137"/>
      <c r="PFI67" s="137"/>
      <c r="PFJ67" s="137"/>
      <c r="PFK67" s="137"/>
      <c r="PFL67" s="137"/>
      <c r="PFM67" s="137"/>
      <c r="PFN67" s="137"/>
      <c r="PFO67" s="137"/>
      <c r="PFP67" s="137"/>
      <c r="PFQ67" s="137"/>
      <c r="PFR67" s="137"/>
      <c r="PFS67" s="137"/>
      <c r="PFT67" s="137"/>
      <c r="PFU67" s="137"/>
      <c r="PFV67" s="137"/>
      <c r="PFW67" s="137"/>
      <c r="PFX67" s="137"/>
      <c r="PFY67" s="137"/>
      <c r="PFZ67" s="137"/>
      <c r="PGA67" s="137"/>
      <c r="PGB67" s="137"/>
      <c r="PGC67" s="137"/>
      <c r="PGD67" s="137"/>
      <c r="PGE67" s="137"/>
      <c r="PGF67" s="137"/>
      <c r="PGG67" s="137"/>
      <c r="PGH67" s="137"/>
      <c r="PGI67" s="137"/>
      <c r="PGJ67" s="137"/>
      <c r="PGK67" s="137"/>
      <c r="PGL67" s="137"/>
      <c r="PGM67" s="137"/>
      <c r="PGN67" s="137"/>
      <c r="PGO67" s="137"/>
      <c r="PGP67" s="137"/>
      <c r="PGQ67" s="137"/>
      <c r="PGR67" s="137"/>
      <c r="PGS67" s="137"/>
      <c r="PGT67" s="137"/>
      <c r="PGU67" s="137"/>
      <c r="PGV67" s="137"/>
      <c r="PGW67" s="137"/>
      <c r="PGX67" s="137"/>
      <c r="PGY67" s="137"/>
      <c r="PGZ67" s="137"/>
      <c r="PHA67" s="137"/>
      <c r="PHB67" s="137"/>
      <c r="PHC67" s="137"/>
      <c r="PHD67" s="137"/>
      <c r="PHE67" s="137"/>
      <c r="PHF67" s="137"/>
      <c r="PHG67" s="137"/>
      <c r="PHH67" s="137"/>
      <c r="PHI67" s="137"/>
      <c r="PHJ67" s="137"/>
      <c r="PHK67" s="137"/>
      <c r="PHL67" s="137"/>
      <c r="PHM67" s="137"/>
      <c r="PHN67" s="137"/>
      <c r="PHO67" s="137"/>
      <c r="PHP67" s="137"/>
      <c r="PHQ67" s="137"/>
      <c r="PHR67" s="137"/>
      <c r="PHS67" s="137"/>
      <c r="PHT67" s="137"/>
      <c r="PHU67" s="137"/>
      <c r="PHV67" s="137"/>
      <c r="PHW67" s="137"/>
      <c r="PHX67" s="137"/>
      <c r="PHY67" s="137"/>
      <c r="PHZ67" s="137"/>
      <c r="PIA67" s="137"/>
      <c r="PIB67" s="137"/>
      <c r="PIC67" s="137"/>
      <c r="PID67" s="137"/>
      <c r="PIE67" s="137"/>
      <c r="PIF67" s="137"/>
      <c r="PIG67" s="137"/>
      <c r="PIH67" s="137"/>
      <c r="PII67" s="137"/>
      <c r="PIJ67" s="137"/>
      <c r="PIK67" s="137"/>
      <c r="PIL67" s="137"/>
      <c r="PIM67" s="137"/>
      <c r="PIN67" s="137"/>
      <c r="PIO67" s="137"/>
      <c r="PIP67" s="137"/>
      <c r="PIQ67" s="137"/>
      <c r="PIR67" s="137"/>
      <c r="PIS67" s="137"/>
      <c r="PIT67" s="137"/>
      <c r="PIU67" s="137"/>
      <c r="PIV67" s="137"/>
      <c r="PIW67" s="137"/>
      <c r="PIX67" s="137"/>
      <c r="PIY67" s="137"/>
      <c r="PIZ67" s="137"/>
      <c r="PJA67" s="137"/>
      <c r="PJB67" s="137"/>
      <c r="PJC67" s="137"/>
      <c r="PJD67" s="137"/>
      <c r="PJE67" s="137"/>
      <c r="PJF67" s="137"/>
      <c r="PJG67" s="137"/>
      <c r="PJH67" s="137"/>
      <c r="PJI67" s="137"/>
      <c r="PJJ67" s="137"/>
      <c r="PJK67" s="137"/>
      <c r="PJL67" s="137"/>
      <c r="PJM67" s="137"/>
      <c r="PJN67" s="137"/>
      <c r="PJO67" s="137"/>
      <c r="PJP67" s="137"/>
      <c r="PJQ67" s="137"/>
      <c r="PJR67" s="137"/>
      <c r="PJS67" s="137"/>
      <c r="PJT67" s="137"/>
      <c r="PJU67" s="137"/>
      <c r="PJV67" s="137"/>
      <c r="PJW67" s="137"/>
      <c r="PJX67" s="137"/>
      <c r="PJY67" s="137"/>
      <c r="PJZ67" s="137"/>
      <c r="PKA67" s="137"/>
      <c r="PKB67" s="137"/>
      <c r="PKC67" s="137"/>
      <c r="PKD67" s="137"/>
      <c r="PKE67" s="137"/>
      <c r="PKF67" s="137"/>
      <c r="PKG67" s="137"/>
      <c r="PKH67" s="137"/>
      <c r="PKI67" s="137"/>
      <c r="PKJ67" s="137"/>
      <c r="PKK67" s="137"/>
      <c r="PKL67" s="137"/>
      <c r="PKM67" s="137"/>
      <c r="PKN67" s="137"/>
      <c r="PKO67" s="137"/>
      <c r="PKP67" s="137"/>
      <c r="PKQ67" s="137"/>
      <c r="PKR67" s="137"/>
      <c r="PKS67" s="137"/>
      <c r="PKT67" s="137"/>
      <c r="PKU67" s="137"/>
      <c r="PKV67" s="137"/>
      <c r="PKW67" s="137"/>
      <c r="PKX67" s="137"/>
      <c r="PKY67" s="137"/>
      <c r="PKZ67" s="137"/>
      <c r="PLA67" s="137"/>
      <c r="PLB67" s="137"/>
      <c r="PLC67" s="137"/>
      <c r="PLD67" s="137"/>
      <c r="PLE67" s="137"/>
      <c r="PLF67" s="137"/>
      <c r="PLG67" s="137"/>
      <c r="PLH67" s="137"/>
      <c r="PLI67" s="137"/>
      <c r="PLJ67" s="137"/>
      <c r="PLK67" s="137"/>
      <c r="PLL67" s="137"/>
      <c r="PLM67" s="137"/>
      <c r="PLN67" s="137"/>
      <c r="PLO67" s="137"/>
      <c r="PLP67" s="137"/>
      <c r="PLQ67" s="137"/>
      <c r="PLR67" s="137"/>
      <c r="PLS67" s="137"/>
      <c r="PLT67" s="137"/>
      <c r="PLU67" s="137"/>
      <c r="PLV67" s="137"/>
      <c r="PLW67" s="137"/>
      <c r="PLX67" s="137"/>
      <c r="PLY67" s="137"/>
      <c r="PLZ67" s="137"/>
      <c r="PMA67" s="137"/>
      <c r="PMB67" s="137"/>
      <c r="PMC67" s="137"/>
      <c r="PMD67" s="137"/>
      <c r="PME67" s="137"/>
      <c r="PMF67" s="137"/>
      <c r="PMG67" s="137"/>
      <c r="PMH67" s="137"/>
      <c r="PMI67" s="137"/>
      <c r="PMJ67" s="137"/>
      <c r="PMK67" s="137"/>
      <c r="PML67" s="137"/>
      <c r="PMM67" s="137"/>
      <c r="PMN67" s="137"/>
      <c r="PMO67" s="137"/>
      <c r="PMP67" s="137"/>
      <c r="PMQ67" s="137"/>
      <c r="PMR67" s="137"/>
      <c r="PMS67" s="137"/>
      <c r="PMT67" s="137"/>
      <c r="PMU67" s="137"/>
      <c r="PMV67" s="137"/>
      <c r="PMW67" s="137"/>
      <c r="PMX67" s="137"/>
      <c r="PMY67" s="137"/>
      <c r="PMZ67" s="137"/>
      <c r="PNA67" s="137"/>
      <c r="PNB67" s="137"/>
      <c r="PNC67" s="137"/>
      <c r="PND67" s="137"/>
      <c r="PNE67" s="137"/>
      <c r="PNF67" s="137"/>
      <c r="PNG67" s="137"/>
      <c r="PNH67" s="137"/>
      <c r="PNI67" s="137"/>
      <c r="PNJ67" s="137"/>
      <c r="PNK67" s="137"/>
      <c r="PNL67" s="137"/>
      <c r="PNM67" s="137"/>
      <c r="PNN67" s="137"/>
      <c r="PNO67" s="137"/>
      <c r="PNP67" s="137"/>
      <c r="PNQ67" s="137"/>
      <c r="PNR67" s="137"/>
      <c r="PNS67" s="137"/>
      <c r="PNT67" s="137"/>
      <c r="PNU67" s="137"/>
      <c r="PNV67" s="137"/>
      <c r="PNW67" s="137"/>
      <c r="PNX67" s="137"/>
      <c r="PNY67" s="137"/>
      <c r="PNZ67" s="137"/>
      <c r="POA67" s="137"/>
      <c r="POB67" s="137"/>
      <c r="POC67" s="137"/>
      <c r="POD67" s="137"/>
      <c r="POE67" s="137"/>
      <c r="POF67" s="137"/>
      <c r="POG67" s="137"/>
      <c r="POH67" s="137"/>
      <c r="POI67" s="137"/>
      <c r="POJ67" s="137"/>
      <c r="POK67" s="137"/>
      <c r="POL67" s="137"/>
      <c r="POM67" s="137"/>
      <c r="PON67" s="137"/>
      <c r="POO67" s="137"/>
      <c r="POP67" s="137"/>
      <c r="POQ67" s="137"/>
      <c r="POR67" s="137"/>
      <c r="POS67" s="137"/>
      <c r="POT67" s="137"/>
      <c r="POU67" s="137"/>
      <c r="POV67" s="137"/>
      <c r="POW67" s="137"/>
      <c r="POX67" s="137"/>
      <c r="POY67" s="137"/>
      <c r="POZ67" s="137"/>
      <c r="PPA67" s="137"/>
      <c r="PPB67" s="137"/>
      <c r="PPC67" s="137"/>
      <c r="PPD67" s="137"/>
      <c r="PPE67" s="137"/>
      <c r="PPF67" s="137"/>
      <c r="PPG67" s="137"/>
      <c r="PPH67" s="137"/>
      <c r="PPI67" s="137"/>
      <c r="PPJ67" s="137"/>
      <c r="PPK67" s="137"/>
      <c r="PPL67" s="137"/>
      <c r="PPM67" s="137"/>
      <c r="PPN67" s="137"/>
      <c r="PPO67" s="137"/>
      <c r="PPP67" s="137"/>
      <c r="PPQ67" s="137"/>
      <c r="PPR67" s="137"/>
      <c r="PPS67" s="137"/>
      <c r="PPT67" s="137"/>
      <c r="PPU67" s="137"/>
      <c r="PPV67" s="137"/>
      <c r="PPW67" s="137"/>
      <c r="PPX67" s="137"/>
      <c r="PPY67" s="137"/>
      <c r="PPZ67" s="137"/>
      <c r="PQA67" s="137"/>
      <c r="PQB67" s="137"/>
      <c r="PQC67" s="137"/>
      <c r="PQD67" s="137"/>
      <c r="PQE67" s="137"/>
      <c r="PQF67" s="137"/>
      <c r="PQG67" s="137"/>
      <c r="PQH67" s="137"/>
      <c r="PQI67" s="137"/>
      <c r="PQJ67" s="137"/>
      <c r="PQK67" s="137"/>
      <c r="PQL67" s="137"/>
      <c r="PQM67" s="137"/>
      <c r="PQN67" s="137"/>
      <c r="PQO67" s="137"/>
      <c r="PQP67" s="137"/>
      <c r="PQQ67" s="137"/>
      <c r="PQR67" s="137"/>
      <c r="PQS67" s="137"/>
      <c r="PQT67" s="137"/>
      <c r="PQU67" s="137"/>
      <c r="PQV67" s="137"/>
      <c r="PQW67" s="137"/>
      <c r="PQX67" s="137"/>
      <c r="PQY67" s="137"/>
      <c r="PQZ67" s="137"/>
      <c r="PRA67" s="137"/>
      <c r="PRB67" s="137"/>
      <c r="PRC67" s="137"/>
      <c r="PRD67" s="137"/>
      <c r="PRE67" s="137"/>
      <c r="PRF67" s="137"/>
      <c r="PRG67" s="137"/>
      <c r="PRH67" s="137"/>
      <c r="PRI67" s="137"/>
      <c r="PRJ67" s="137"/>
      <c r="PRK67" s="137"/>
      <c r="PRL67" s="137"/>
      <c r="PRM67" s="137"/>
      <c r="PRN67" s="137"/>
      <c r="PRO67" s="137"/>
      <c r="PRP67" s="137"/>
      <c r="PRQ67" s="137"/>
      <c r="PRR67" s="137"/>
      <c r="PRS67" s="137"/>
      <c r="PRT67" s="137"/>
      <c r="PRU67" s="137"/>
      <c r="PRV67" s="137"/>
      <c r="PRW67" s="137"/>
      <c r="PRX67" s="137"/>
      <c r="PRY67" s="137"/>
      <c r="PRZ67" s="137"/>
      <c r="PSA67" s="137"/>
      <c r="PSB67" s="137"/>
      <c r="PSC67" s="137"/>
      <c r="PSD67" s="137"/>
      <c r="PSE67" s="137"/>
      <c r="PSF67" s="137"/>
      <c r="PSG67" s="137"/>
      <c r="PSH67" s="137"/>
      <c r="PSI67" s="137"/>
      <c r="PSJ67" s="137"/>
      <c r="PSK67" s="137"/>
      <c r="PSL67" s="137"/>
      <c r="PSM67" s="137"/>
      <c r="PSN67" s="137"/>
      <c r="PSO67" s="137"/>
      <c r="PSP67" s="137"/>
      <c r="PSQ67" s="137"/>
      <c r="PSR67" s="137"/>
      <c r="PSS67" s="137"/>
      <c r="PST67" s="137"/>
      <c r="PSU67" s="137"/>
      <c r="PSV67" s="137"/>
      <c r="PSW67" s="137"/>
      <c r="PSX67" s="137"/>
      <c r="PSY67" s="137"/>
      <c r="PSZ67" s="137"/>
      <c r="PTA67" s="137"/>
      <c r="PTB67" s="137"/>
      <c r="PTC67" s="137"/>
      <c r="PTD67" s="137"/>
      <c r="PTE67" s="137"/>
      <c r="PTF67" s="137"/>
      <c r="PTG67" s="137"/>
      <c r="PTH67" s="137"/>
      <c r="PTI67" s="137"/>
      <c r="PTJ67" s="137"/>
      <c r="PTK67" s="137"/>
      <c r="PTL67" s="137"/>
      <c r="PTM67" s="137"/>
      <c r="PTN67" s="137"/>
      <c r="PTO67" s="137"/>
      <c r="PTP67" s="137"/>
      <c r="PTQ67" s="137"/>
      <c r="PTR67" s="137"/>
      <c r="PTS67" s="137"/>
      <c r="PTT67" s="137"/>
      <c r="PTU67" s="137"/>
      <c r="PTV67" s="137"/>
      <c r="PTW67" s="137"/>
      <c r="PTX67" s="137"/>
      <c r="PTY67" s="137"/>
      <c r="PTZ67" s="137"/>
      <c r="PUA67" s="137"/>
      <c r="PUB67" s="137"/>
      <c r="PUC67" s="137"/>
      <c r="PUD67" s="137"/>
      <c r="PUE67" s="137"/>
      <c r="PUF67" s="137"/>
      <c r="PUG67" s="137"/>
      <c r="PUH67" s="137"/>
      <c r="PUI67" s="137"/>
      <c r="PUJ67" s="137"/>
      <c r="PUK67" s="137"/>
      <c r="PUL67" s="137"/>
      <c r="PUM67" s="137"/>
      <c r="PUN67" s="137"/>
      <c r="PUO67" s="137"/>
      <c r="PUP67" s="137"/>
      <c r="PUQ67" s="137"/>
      <c r="PUR67" s="137"/>
      <c r="PUS67" s="137"/>
      <c r="PUT67" s="137"/>
      <c r="PUU67" s="137"/>
      <c r="PUV67" s="137"/>
      <c r="PUW67" s="137"/>
      <c r="PUX67" s="137"/>
      <c r="PUY67" s="137"/>
      <c r="PUZ67" s="137"/>
      <c r="PVA67" s="137"/>
      <c r="PVB67" s="137"/>
      <c r="PVC67" s="137"/>
      <c r="PVD67" s="137"/>
      <c r="PVE67" s="137"/>
      <c r="PVF67" s="137"/>
      <c r="PVG67" s="137"/>
      <c r="PVH67" s="137"/>
      <c r="PVI67" s="137"/>
      <c r="PVJ67" s="137"/>
      <c r="PVK67" s="137"/>
      <c r="PVL67" s="137"/>
      <c r="PVM67" s="137"/>
      <c r="PVN67" s="137"/>
      <c r="PVO67" s="137"/>
      <c r="PVP67" s="137"/>
      <c r="PVQ67" s="137"/>
      <c r="PVR67" s="137"/>
      <c r="PVS67" s="137"/>
      <c r="PVT67" s="137"/>
      <c r="PVU67" s="137"/>
      <c r="PVV67" s="137"/>
      <c r="PVW67" s="137"/>
      <c r="PVX67" s="137"/>
      <c r="PVY67" s="137"/>
      <c r="PVZ67" s="137"/>
      <c r="PWA67" s="137"/>
      <c r="PWB67" s="137"/>
      <c r="PWC67" s="137"/>
      <c r="PWD67" s="137"/>
      <c r="PWE67" s="137"/>
      <c r="PWF67" s="137"/>
      <c r="PWG67" s="137"/>
      <c r="PWH67" s="137"/>
      <c r="PWI67" s="137"/>
      <c r="PWJ67" s="137"/>
      <c r="PWK67" s="137"/>
      <c r="PWL67" s="137"/>
      <c r="PWM67" s="137"/>
      <c r="PWN67" s="137"/>
      <c r="PWO67" s="137"/>
      <c r="PWP67" s="137"/>
      <c r="PWQ67" s="137"/>
      <c r="PWR67" s="137"/>
      <c r="PWS67" s="137"/>
      <c r="PWT67" s="137"/>
      <c r="PWU67" s="137"/>
      <c r="PWV67" s="137"/>
      <c r="PWW67" s="137"/>
      <c r="PWX67" s="137"/>
      <c r="PWY67" s="137"/>
      <c r="PWZ67" s="137"/>
      <c r="PXA67" s="137"/>
      <c r="PXB67" s="137"/>
      <c r="PXC67" s="137"/>
      <c r="PXD67" s="137"/>
      <c r="PXE67" s="137"/>
      <c r="PXF67" s="137"/>
      <c r="PXG67" s="137"/>
      <c r="PXH67" s="137"/>
      <c r="PXI67" s="137"/>
      <c r="PXJ67" s="137"/>
      <c r="PXK67" s="137"/>
      <c r="PXL67" s="137"/>
      <c r="PXM67" s="137"/>
      <c r="PXN67" s="137"/>
      <c r="PXO67" s="137"/>
      <c r="PXP67" s="137"/>
      <c r="PXQ67" s="137"/>
      <c r="PXR67" s="137"/>
      <c r="PXS67" s="137"/>
      <c r="PXT67" s="137"/>
      <c r="PXU67" s="137"/>
      <c r="PXV67" s="137"/>
      <c r="PXW67" s="137"/>
      <c r="PXX67" s="137"/>
      <c r="PXY67" s="137"/>
      <c r="PXZ67" s="137"/>
      <c r="PYA67" s="137"/>
      <c r="PYB67" s="137"/>
      <c r="PYC67" s="137"/>
      <c r="PYD67" s="137"/>
      <c r="PYE67" s="137"/>
      <c r="PYF67" s="137"/>
      <c r="PYG67" s="137"/>
      <c r="PYH67" s="137"/>
      <c r="PYI67" s="137"/>
      <c r="PYJ67" s="137"/>
      <c r="PYK67" s="137"/>
      <c r="PYL67" s="137"/>
      <c r="PYM67" s="137"/>
      <c r="PYN67" s="137"/>
      <c r="PYO67" s="137"/>
      <c r="PYP67" s="137"/>
      <c r="PYQ67" s="137"/>
      <c r="PYR67" s="137"/>
      <c r="PYS67" s="137"/>
      <c r="PYT67" s="137"/>
      <c r="PYU67" s="137"/>
      <c r="PYV67" s="137"/>
      <c r="PYW67" s="137"/>
      <c r="PYX67" s="137"/>
      <c r="PYY67" s="137"/>
      <c r="PYZ67" s="137"/>
      <c r="PZA67" s="137"/>
      <c r="PZB67" s="137"/>
      <c r="PZC67" s="137"/>
      <c r="PZD67" s="137"/>
      <c r="PZE67" s="137"/>
      <c r="PZF67" s="137"/>
      <c r="PZG67" s="137"/>
      <c r="PZH67" s="137"/>
      <c r="PZI67" s="137"/>
      <c r="PZJ67" s="137"/>
      <c r="PZK67" s="137"/>
      <c r="PZL67" s="137"/>
      <c r="PZM67" s="137"/>
      <c r="PZN67" s="137"/>
      <c r="PZO67" s="137"/>
      <c r="PZP67" s="137"/>
      <c r="PZQ67" s="137"/>
      <c r="PZR67" s="137"/>
      <c r="PZS67" s="137"/>
      <c r="PZT67" s="137"/>
      <c r="PZU67" s="137"/>
      <c r="PZV67" s="137"/>
      <c r="PZW67" s="137"/>
      <c r="PZX67" s="137"/>
      <c r="PZY67" s="137"/>
      <c r="PZZ67" s="137"/>
      <c r="QAA67" s="137"/>
      <c r="QAB67" s="137"/>
      <c r="QAC67" s="137"/>
      <c r="QAD67" s="137"/>
      <c r="QAE67" s="137"/>
      <c r="QAF67" s="137"/>
      <c r="QAG67" s="137"/>
      <c r="QAH67" s="137"/>
      <c r="QAI67" s="137"/>
      <c r="QAJ67" s="137"/>
      <c r="QAK67" s="137"/>
      <c r="QAL67" s="137"/>
      <c r="QAM67" s="137"/>
      <c r="QAN67" s="137"/>
      <c r="QAO67" s="137"/>
      <c r="QAP67" s="137"/>
      <c r="QAQ67" s="137"/>
      <c r="QAR67" s="137"/>
      <c r="QAS67" s="137"/>
      <c r="QAT67" s="137"/>
      <c r="QAU67" s="137"/>
      <c r="QAV67" s="137"/>
      <c r="QAW67" s="137"/>
      <c r="QAX67" s="137"/>
      <c r="QAY67" s="137"/>
      <c r="QAZ67" s="137"/>
      <c r="QBA67" s="137"/>
      <c r="QBB67" s="137"/>
      <c r="QBC67" s="137"/>
      <c r="QBD67" s="137"/>
      <c r="QBE67" s="137"/>
      <c r="QBF67" s="137"/>
      <c r="QBG67" s="137"/>
      <c r="QBH67" s="137"/>
      <c r="QBI67" s="137"/>
      <c r="QBJ67" s="137"/>
      <c r="QBK67" s="137"/>
      <c r="QBL67" s="137"/>
      <c r="QBM67" s="137"/>
      <c r="QBN67" s="137"/>
      <c r="QBO67" s="137"/>
      <c r="QBP67" s="137"/>
      <c r="QBQ67" s="137"/>
      <c r="QBR67" s="137"/>
      <c r="QBS67" s="137"/>
      <c r="QBT67" s="137"/>
      <c r="QBU67" s="137"/>
      <c r="QBV67" s="137"/>
      <c r="QBW67" s="137"/>
      <c r="QBX67" s="137"/>
      <c r="QBY67" s="137"/>
      <c r="QBZ67" s="137"/>
      <c r="QCA67" s="137"/>
      <c r="QCB67" s="137"/>
      <c r="QCC67" s="137"/>
      <c r="QCD67" s="137"/>
      <c r="QCE67" s="137"/>
      <c r="QCF67" s="137"/>
      <c r="QCG67" s="137"/>
      <c r="QCH67" s="137"/>
      <c r="QCI67" s="137"/>
      <c r="QCJ67" s="137"/>
      <c r="QCK67" s="137"/>
      <c r="QCL67" s="137"/>
      <c r="QCM67" s="137"/>
      <c r="QCN67" s="137"/>
      <c r="QCO67" s="137"/>
      <c r="QCP67" s="137"/>
      <c r="QCQ67" s="137"/>
      <c r="QCR67" s="137"/>
      <c r="QCS67" s="137"/>
      <c r="QCT67" s="137"/>
      <c r="QCU67" s="137"/>
      <c r="QCV67" s="137"/>
      <c r="QCW67" s="137"/>
      <c r="QCX67" s="137"/>
      <c r="QCY67" s="137"/>
      <c r="QCZ67" s="137"/>
      <c r="QDA67" s="137"/>
      <c r="QDB67" s="137"/>
      <c r="QDC67" s="137"/>
      <c r="QDD67" s="137"/>
      <c r="QDE67" s="137"/>
      <c r="QDF67" s="137"/>
      <c r="QDG67" s="137"/>
      <c r="QDH67" s="137"/>
      <c r="QDI67" s="137"/>
      <c r="QDJ67" s="137"/>
      <c r="QDK67" s="137"/>
      <c r="QDL67" s="137"/>
      <c r="QDM67" s="137"/>
      <c r="QDN67" s="137"/>
      <c r="QDO67" s="137"/>
      <c r="QDP67" s="137"/>
      <c r="QDQ67" s="137"/>
      <c r="QDR67" s="137"/>
      <c r="QDS67" s="137"/>
      <c r="QDT67" s="137"/>
      <c r="QDU67" s="137"/>
      <c r="QDV67" s="137"/>
      <c r="QDW67" s="137"/>
      <c r="QDX67" s="137"/>
      <c r="QDY67" s="137"/>
      <c r="QDZ67" s="137"/>
      <c r="QEA67" s="137"/>
      <c r="QEB67" s="137"/>
      <c r="QEC67" s="137"/>
      <c r="QED67" s="137"/>
      <c r="QEE67" s="137"/>
      <c r="QEF67" s="137"/>
      <c r="QEG67" s="137"/>
      <c r="QEH67" s="137"/>
      <c r="QEI67" s="137"/>
      <c r="QEJ67" s="137"/>
      <c r="QEK67" s="137"/>
      <c r="QEL67" s="137"/>
      <c r="QEM67" s="137"/>
      <c r="QEN67" s="137"/>
      <c r="QEO67" s="137"/>
      <c r="QEP67" s="137"/>
      <c r="QEQ67" s="137"/>
      <c r="QER67" s="137"/>
      <c r="QES67" s="137"/>
      <c r="QET67" s="137"/>
      <c r="QEU67" s="137"/>
      <c r="QEV67" s="137"/>
      <c r="QEW67" s="137"/>
      <c r="QEX67" s="137"/>
      <c r="QEY67" s="137"/>
      <c r="QEZ67" s="137"/>
      <c r="QFA67" s="137"/>
      <c r="QFB67" s="137"/>
      <c r="QFC67" s="137"/>
      <c r="QFD67" s="137"/>
      <c r="QFE67" s="137"/>
      <c r="QFF67" s="137"/>
      <c r="QFG67" s="137"/>
      <c r="QFH67" s="137"/>
      <c r="QFI67" s="137"/>
      <c r="QFJ67" s="137"/>
      <c r="QFK67" s="137"/>
      <c r="QFL67" s="137"/>
      <c r="QFM67" s="137"/>
      <c r="QFN67" s="137"/>
      <c r="QFO67" s="137"/>
      <c r="QFP67" s="137"/>
      <c r="QFQ67" s="137"/>
      <c r="QFR67" s="137"/>
      <c r="QFS67" s="137"/>
      <c r="QFT67" s="137"/>
      <c r="QFU67" s="137"/>
      <c r="QFV67" s="137"/>
      <c r="QFW67" s="137"/>
      <c r="QFX67" s="137"/>
      <c r="QFY67" s="137"/>
      <c r="QFZ67" s="137"/>
      <c r="QGA67" s="137"/>
      <c r="QGB67" s="137"/>
      <c r="QGC67" s="137"/>
      <c r="QGD67" s="137"/>
      <c r="QGE67" s="137"/>
      <c r="QGF67" s="137"/>
      <c r="QGG67" s="137"/>
      <c r="QGH67" s="137"/>
      <c r="QGI67" s="137"/>
      <c r="QGJ67" s="137"/>
      <c r="QGK67" s="137"/>
      <c r="QGL67" s="137"/>
      <c r="QGM67" s="137"/>
      <c r="QGN67" s="137"/>
      <c r="QGO67" s="137"/>
      <c r="QGP67" s="137"/>
      <c r="QGQ67" s="137"/>
      <c r="QGR67" s="137"/>
      <c r="QGS67" s="137"/>
      <c r="QGT67" s="137"/>
      <c r="QGU67" s="137"/>
      <c r="QGV67" s="137"/>
      <c r="QGW67" s="137"/>
      <c r="QGX67" s="137"/>
      <c r="QGY67" s="137"/>
      <c r="QGZ67" s="137"/>
      <c r="QHA67" s="137"/>
      <c r="QHB67" s="137"/>
      <c r="QHC67" s="137"/>
      <c r="QHD67" s="137"/>
      <c r="QHE67" s="137"/>
      <c r="QHF67" s="137"/>
      <c r="QHG67" s="137"/>
      <c r="QHH67" s="137"/>
      <c r="QHI67" s="137"/>
      <c r="QHJ67" s="137"/>
      <c r="QHK67" s="137"/>
      <c r="QHL67" s="137"/>
      <c r="QHM67" s="137"/>
      <c r="QHN67" s="137"/>
      <c r="QHO67" s="137"/>
      <c r="QHP67" s="137"/>
      <c r="QHQ67" s="137"/>
      <c r="QHR67" s="137"/>
      <c r="QHS67" s="137"/>
      <c r="QHT67" s="137"/>
      <c r="QHU67" s="137"/>
      <c r="QHV67" s="137"/>
      <c r="QHW67" s="137"/>
      <c r="QHX67" s="137"/>
      <c r="QHY67" s="137"/>
      <c r="QHZ67" s="137"/>
      <c r="QIA67" s="137"/>
      <c r="QIB67" s="137"/>
      <c r="QIC67" s="137"/>
      <c r="QID67" s="137"/>
      <c r="QIE67" s="137"/>
      <c r="QIF67" s="137"/>
      <c r="QIG67" s="137"/>
      <c r="QIH67" s="137"/>
      <c r="QII67" s="137"/>
      <c r="QIJ67" s="137"/>
      <c r="QIK67" s="137"/>
      <c r="QIL67" s="137"/>
      <c r="QIM67" s="137"/>
      <c r="QIN67" s="137"/>
      <c r="QIO67" s="137"/>
      <c r="QIP67" s="137"/>
      <c r="QIQ67" s="137"/>
      <c r="QIR67" s="137"/>
      <c r="QIS67" s="137"/>
      <c r="QIT67" s="137"/>
      <c r="QIU67" s="137"/>
      <c r="QIV67" s="137"/>
      <c r="QIW67" s="137"/>
      <c r="QIX67" s="137"/>
      <c r="QIY67" s="137"/>
      <c r="QIZ67" s="137"/>
      <c r="QJA67" s="137"/>
      <c r="QJB67" s="137"/>
      <c r="QJC67" s="137"/>
      <c r="QJD67" s="137"/>
      <c r="QJE67" s="137"/>
      <c r="QJF67" s="137"/>
      <c r="QJG67" s="137"/>
      <c r="QJH67" s="137"/>
      <c r="QJI67" s="137"/>
      <c r="QJJ67" s="137"/>
      <c r="QJK67" s="137"/>
      <c r="QJL67" s="137"/>
      <c r="QJM67" s="137"/>
      <c r="QJN67" s="137"/>
      <c r="QJO67" s="137"/>
      <c r="QJP67" s="137"/>
      <c r="QJQ67" s="137"/>
      <c r="QJR67" s="137"/>
      <c r="QJS67" s="137"/>
      <c r="QJT67" s="137"/>
      <c r="QJU67" s="137"/>
      <c r="QJV67" s="137"/>
      <c r="QJW67" s="137"/>
      <c r="QJX67" s="137"/>
      <c r="QJY67" s="137"/>
      <c r="QJZ67" s="137"/>
      <c r="QKA67" s="137"/>
      <c r="QKB67" s="137"/>
      <c r="QKC67" s="137"/>
      <c r="QKD67" s="137"/>
      <c r="QKE67" s="137"/>
      <c r="QKF67" s="137"/>
      <c r="QKG67" s="137"/>
      <c r="QKH67" s="137"/>
      <c r="QKI67" s="137"/>
      <c r="QKJ67" s="137"/>
      <c r="QKK67" s="137"/>
      <c r="QKL67" s="137"/>
      <c r="QKM67" s="137"/>
      <c r="QKN67" s="137"/>
      <c r="QKO67" s="137"/>
      <c r="QKP67" s="137"/>
      <c r="QKQ67" s="137"/>
      <c r="QKR67" s="137"/>
      <c r="QKS67" s="137"/>
      <c r="QKT67" s="137"/>
      <c r="QKU67" s="137"/>
      <c r="QKV67" s="137"/>
      <c r="QKW67" s="137"/>
      <c r="QKX67" s="137"/>
      <c r="QKY67" s="137"/>
      <c r="QKZ67" s="137"/>
      <c r="QLA67" s="137"/>
      <c r="QLB67" s="137"/>
      <c r="QLC67" s="137"/>
      <c r="QLD67" s="137"/>
      <c r="QLE67" s="137"/>
      <c r="QLF67" s="137"/>
      <c r="QLG67" s="137"/>
      <c r="QLH67" s="137"/>
      <c r="QLI67" s="137"/>
      <c r="QLJ67" s="137"/>
      <c r="QLK67" s="137"/>
      <c r="QLL67" s="137"/>
      <c r="QLM67" s="137"/>
      <c r="QLN67" s="137"/>
      <c r="QLO67" s="137"/>
      <c r="QLP67" s="137"/>
      <c r="QLQ67" s="137"/>
      <c r="QLR67" s="137"/>
      <c r="QLS67" s="137"/>
      <c r="QLT67" s="137"/>
      <c r="QLU67" s="137"/>
      <c r="QLV67" s="137"/>
      <c r="QLW67" s="137"/>
      <c r="QLX67" s="137"/>
      <c r="QLY67" s="137"/>
      <c r="QLZ67" s="137"/>
      <c r="QMA67" s="137"/>
      <c r="QMB67" s="137"/>
      <c r="QMC67" s="137"/>
      <c r="QMD67" s="137"/>
      <c r="QME67" s="137"/>
      <c r="QMF67" s="137"/>
      <c r="QMG67" s="137"/>
      <c r="QMH67" s="137"/>
      <c r="QMI67" s="137"/>
      <c r="QMJ67" s="137"/>
      <c r="QMK67" s="137"/>
      <c r="QML67" s="137"/>
      <c r="QMM67" s="137"/>
      <c r="QMN67" s="137"/>
      <c r="QMO67" s="137"/>
      <c r="QMP67" s="137"/>
      <c r="QMQ67" s="137"/>
      <c r="QMR67" s="137"/>
      <c r="QMS67" s="137"/>
      <c r="QMT67" s="137"/>
      <c r="QMU67" s="137"/>
      <c r="QMV67" s="137"/>
      <c r="QMW67" s="137"/>
      <c r="QMX67" s="137"/>
      <c r="QMY67" s="137"/>
      <c r="QMZ67" s="137"/>
      <c r="QNA67" s="137"/>
      <c r="QNB67" s="137"/>
      <c r="QNC67" s="137"/>
      <c r="QND67" s="137"/>
      <c r="QNE67" s="137"/>
      <c r="QNF67" s="137"/>
      <c r="QNG67" s="137"/>
      <c r="QNH67" s="137"/>
      <c r="QNI67" s="137"/>
      <c r="QNJ67" s="137"/>
      <c r="QNK67" s="137"/>
      <c r="QNL67" s="137"/>
      <c r="QNM67" s="137"/>
      <c r="QNN67" s="137"/>
      <c r="QNO67" s="137"/>
      <c r="QNP67" s="137"/>
      <c r="QNQ67" s="137"/>
      <c r="QNR67" s="137"/>
      <c r="QNS67" s="137"/>
      <c r="QNT67" s="137"/>
      <c r="QNU67" s="137"/>
      <c r="QNV67" s="137"/>
      <c r="QNW67" s="137"/>
      <c r="QNX67" s="137"/>
      <c r="QNY67" s="137"/>
      <c r="QNZ67" s="137"/>
      <c r="QOA67" s="137"/>
      <c r="QOB67" s="137"/>
      <c r="QOC67" s="137"/>
      <c r="QOD67" s="137"/>
      <c r="QOE67" s="137"/>
      <c r="QOF67" s="137"/>
      <c r="QOG67" s="137"/>
      <c r="QOH67" s="137"/>
      <c r="QOI67" s="137"/>
      <c r="QOJ67" s="137"/>
      <c r="QOK67" s="137"/>
      <c r="QOL67" s="137"/>
      <c r="QOM67" s="137"/>
      <c r="QON67" s="137"/>
      <c r="QOO67" s="137"/>
      <c r="QOP67" s="137"/>
      <c r="QOQ67" s="137"/>
      <c r="QOR67" s="137"/>
      <c r="QOS67" s="137"/>
      <c r="QOT67" s="137"/>
      <c r="QOU67" s="137"/>
      <c r="QOV67" s="137"/>
      <c r="QOW67" s="137"/>
      <c r="QOX67" s="137"/>
      <c r="QOY67" s="137"/>
      <c r="QOZ67" s="137"/>
      <c r="QPA67" s="137"/>
      <c r="QPB67" s="137"/>
      <c r="QPC67" s="137"/>
      <c r="QPD67" s="137"/>
      <c r="QPE67" s="137"/>
      <c r="QPF67" s="137"/>
      <c r="QPG67" s="137"/>
      <c r="QPH67" s="137"/>
      <c r="QPI67" s="137"/>
      <c r="QPJ67" s="137"/>
      <c r="QPK67" s="137"/>
      <c r="QPL67" s="137"/>
      <c r="QPM67" s="137"/>
      <c r="QPN67" s="137"/>
      <c r="QPO67" s="137"/>
      <c r="QPP67" s="137"/>
      <c r="QPQ67" s="137"/>
      <c r="QPR67" s="137"/>
      <c r="QPS67" s="137"/>
      <c r="QPT67" s="137"/>
      <c r="QPU67" s="137"/>
      <c r="QPV67" s="137"/>
      <c r="QPW67" s="137"/>
      <c r="QPX67" s="137"/>
      <c r="QPY67" s="137"/>
      <c r="QPZ67" s="137"/>
      <c r="QQA67" s="137"/>
      <c r="QQB67" s="137"/>
      <c r="QQC67" s="137"/>
      <c r="QQD67" s="137"/>
      <c r="QQE67" s="137"/>
      <c r="QQF67" s="137"/>
      <c r="QQG67" s="137"/>
      <c r="QQH67" s="137"/>
      <c r="QQI67" s="137"/>
      <c r="QQJ67" s="137"/>
      <c r="QQK67" s="137"/>
      <c r="QQL67" s="137"/>
      <c r="QQM67" s="137"/>
      <c r="QQN67" s="137"/>
      <c r="QQO67" s="137"/>
      <c r="QQP67" s="137"/>
      <c r="QQQ67" s="137"/>
      <c r="QQR67" s="137"/>
      <c r="QQS67" s="137"/>
      <c r="QQT67" s="137"/>
      <c r="QQU67" s="137"/>
      <c r="QQV67" s="137"/>
      <c r="QQW67" s="137"/>
      <c r="QQX67" s="137"/>
      <c r="QQY67" s="137"/>
      <c r="QQZ67" s="137"/>
      <c r="QRA67" s="137"/>
      <c r="QRB67" s="137"/>
      <c r="QRC67" s="137"/>
      <c r="QRD67" s="137"/>
      <c r="QRE67" s="137"/>
      <c r="QRF67" s="137"/>
      <c r="QRG67" s="137"/>
      <c r="QRH67" s="137"/>
      <c r="QRI67" s="137"/>
      <c r="QRJ67" s="137"/>
      <c r="QRK67" s="137"/>
      <c r="QRL67" s="137"/>
      <c r="QRM67" s="137"/>
      <c r="QRN67" s="137"/>
      <c r="QRO67" s="137"/>
      <c r="QRP67" s="137"/>
      <c r="QRQ67" s="137"/>
      <c r="QRR67" s="137"/>
      <c r="QRS67" s="137"/>
      <c r="QRT67" s="137"/>
      <c r="QRU67" s="137"/>
      <c r="QRV67" s="137"/>
      <c r="QRW67" s="137"/>
      <c r="QRX67" s="137"/>
      <c r="QRY67" s="137"/>
      <c r="QRZ67" s="137"/>
      <c r="QSA67" s="137"/>
      <c r="QSB67" s="137"/>
      <c r="QSC67" s="137"/>
      <c r="QSD67" s="137"/>
      <c r="QSE67" s="137"/>
      <c r="QSF67" s="137"/>
      <c r="QSG67" s="137"/>
      <c r="QSH67" s="137"/>
      <c r="QSI67" s="137"/>
      <c r="QSJ67" s="137"/>
      <c r="QSK67" s="137"/>
      <c r="QSL67" s="137"/>
      <c r="QSM67" s="137"/>
      <c r="QSN67" s="137"/>
      <c r="QSO67" s="137"/>
      <c r="QSP67" s="137"/>
      <c r="QSQ67" s="137"/>
      <c r="QSR67" s="137"/>
      <c r="QSS67" s="137"/>
      <c r="QST67" s="137"/>
      <c r="QSU67" s="137"/>
      <c r="QSV67" s="137"/>
      <c r="QSW67" s="137"/>
      <c r="QSX67" s="137"/>
      <c r="QSY67" s="137"/>
      <c r="QSZ67" s="137"/>
      <c r="QTA67" s="137"/>
      <c r="QTB67" s="137"/>
      <c r="QTC67" s="137"/>
      <c r="QTD67" s="137"/>
      <c r="QTE67" s="137"/>
      <c r="QTF67" s="137"/>
      <c r="QTG67" s="137"/>
      <c r="QTH67" s="137"/>
      <c r="QTI67" s="137"/>
      <c r="QTJ67" s="137"/>
      <c r="QTK67" s="137"/>
      <c r="QTL67" s="137"/>
      <c r="QTM67" s="137"/>
      <c r="QTN67" s="137"/>
      <c r="QTO67" s="137"/>
      <c r="QTP67" s="137"/>
      <c r="QTQ67" s="137"/>
      <c r="QTR67" s="137"/>
      <c r="QTS67" s="137"/>
      <c r="QTT67" s="137"/>
      <c r="QTU67" s="137"/>
      <c r="QTV67" s="137"/>
      <c r="QTW67" s="137"/>
      <c r="QTX67" s="137"/>
      <c r="QTY67" s="137"/>
      <c r="QTZ67" s="137"/>
      <c r="QUA67" s="137"/>
      <c r="QUB67" s="137"/>
      <c r="QUC67" s="137"/>
      <c r="QUD67" s="137"/>
      <c r="QUE67" s="137"/>
      <c r="QUF67" s="137"/>
      <c r="QUG67" s="137"/>
      <c r="QUH67" s="137"/>
      <c r="QUI67" s="137"/>
      <c r="QUJ67" s="137"/>
      <c r="QUK67" s="137"/>
      <c r="QUL67" s="137"/>
      <c r="QUM67" s="137"/>
      <c r="QUN67" s="137"/>
      <c r="QUO67" s="137"/>
      <c r="QUP67" s="137"/>
      <c r="QUQ67" s="137"/>
      <c r="QUR67" s="137"/>
      <c r="QUS67" s="137"/>
      <c r="QUT67" s="137"/>
      <c r="QUU67" s="137"/>
      <c r="QUV67" s="137"/>
      <c r="QUW67" s="137"/>
      <c r="QUX67" s="137"/>
      <c r="QUY67" s="137"/>
      <c r="QUZ67" s="137"/>
      <c r="QVA67" s="137"/>
      <c r="QVB67" s="137"/>
      <c r="QVC67" s="137"/>
      <c r="QVD67" s="137"/>
      <c r="QVE67" s="137"/>
      <c r="QVF67" s="137"/>
      <c r="QVG67" s="137"/>
      <c r="QVH67" s="137"/>
      <c r="QVI67" s="137"/>
      <c r="QVJ67" s="137"/>
      <c r="QVK67" s="137"/>
      <c r="QVL67" s="137"/>
      <c r="QVM67" s="137"/>
      <c r="QVN67" s="137"/>
      <c r="QVO67" s="137"/>
      <c r="QVP67" s="137"/>
      <c r="QVQ67" s="137"/>
      <c r="QVR67" s="137"/>
      <c r="QVS67" s="137"/>
      <c r="QVT67" s="137"/>
      <c r="QVU67" s="137"/>
      <c r="QVV67" s="137"/>
      <c r="QVW67" s="137"/>
      <c r="QVX67" s="137"/>
      <c r="QVY67" s="137"/>
      <c r="QVZ67" s="137"/>
      <c r="QWA67" s="137"/>
      <c r="QWB67" s="137"/>
      <c r="QWC67" s="137"/>
      <c r="QWD67" s="137"/>
      <c r="QWE67" s="137"/>
      <c r="QWF67" s="137"/>
      <c r="QWG67" s="137"/>
      <c r="QWH67" s="137"/>
      <c r="QWI67" s="137"/>
      <c r="QWJ67" s="137"/>
      <c r="QWK67" s="137"/>
      <c r="QWL67" s="137"/>
      <c r="QWM67" s="137"/>
      <c r="QWN67" s="137"/>
      <c r="QWO67" s="137"/>
      <c r="QWP67" s="137"/>
      <c r="QWQ67" s="137"/>
      <c r="QWR67" s="137"/>
      <c r="QWS67" s="137"/>
      <c r="QWT67" s="137"/>
      <c r="QWU67" s="137"/>
      <c r="QWV67" s="137"/>
      <c r="QWW67" s="137"/>
      <c r="QWX67" s="137"/>
      <c r="QWY67" s="137"/>
      <c r="QWZ67" s="137"/>
      <c r="QXA67" s="137"/>
      <c r="QXB67" s="137"/>
      <c r="QXC67" s="137"/>
      <c r="QXD67" s="137"/>
      <c r="QXE67" s="137"/>
      <c r="QXF67" s="137"/>
      <c r="QXG67" s="137"/>
      <c r="QXH67" s="137"/>
      <c r="QXI67" s="137"/>
      <c r="QXJ67" s="137"/>
      <c r="QXK67" s="137"/>
      <c r="QXL67" s="137"/>
      <c r="QXM67" s="137"/>
      <c r="QXN67" s="137"/>
      <c r="QXO67" s="137"/>
      <c r="QXP67" s="137"/>
      <c r="QXQ67" s="137"/>
      <c r="QXR67" s="137"/>
      <c r="QXS67" s="137"/>
      <c r="QXT67" s="137"/>
      <c r="QXU67" s="137"/>
      <c r="QXV67" s="137"/>
      <c r="QXW67" s="137"/>
      <c r="QXX67" s="137"/>
      <c r="QXY67" s="137"/>
      <c r="QXZ67" s="137"/>
      <c r="QYA67" s="137"/>
      <c r="QYB67" s="137"/>
      <c r="QYC67" s="137"/>
      <c r="QYD67" s="137"/>
      <c r="QYE67" s="137"/>
      <c r="QYF67" s="137"/>
      <c r="QYG67" s="137"/>
      <c r="QYH67" s="137"/>
      <c r="QYI67" s="137"/>
      <c r="QYJ67" s="137"/>
      <c r="QYK67" s="137"/>
      <c r="QYL67" s="137"/>
      <c r="QYM67" s="137"/>
      <c r="QYN67" s="137"/>
      <c r="QYO67" s="137"/>
      <c r="QYP67" s="137"/>
      <c r="QYQ67" s="137"/>
      <c r="QYR67" s="137"/>
      <c r="QYS67" s="137"/>
      <c r="QYT67" s="137"/>
      <c r="QYU67" s="137"/>
      <c r="QYV67" s="137"/>
      <c r="QYW67" s="137"/>
      <c r="QYX67" s="137"/>
      <c r="QYY67" s="137"/>
      <c r="QYZ67" s="137"/>
      <c r="QZA67" s="137"/>
      <c r="QZB67" s="137"/>
      <c r="QZC67" s="137"/>
      <c r="QZD67" s="137"/>
      <c r="QZE67" s="137"/>
      <c r="QZF67" s="137"/>
      <c r="QZG67" s="137"/>
      <c r="QZH67" s="137"/>
      <c r="QZI67" s="137"/>
      <c r="QZJ67" s="137"/>
      <c r="QZK67" s="137"/>
      <c r="QZL67" s="137"/>
      <c r="QZM67" s="137"/>
      <c r="QZN67" s="137"/>
      <c r="QZO67" s="137"/>
      <c r="QZP67" s="137"/>
      <c r="QZQ67" s="137"/>
      <c r="QZR67" s="137"/>
      <c r="QZS67" s="137"/>
      <c r="QZT67" s="137"/>
      <c r="QZU67" s="137"/>
      <c r="QZV67" s="137"/>
      <c r="QZW67" s="137"/>
      <c r="QZX67" s="137"/>
      <c r="QZY67" s="137"/>
      <c r="QZZ67" s="137"/>
      <c r="RAA67" s="137"/>
      <c r="RAB67" s="137"/>
      <c r="RAC67" s="137"/>
      <c r="RAD67" s="137"/>
      <c r="RAE67" s="137"/>
      <c r="RAF67" s="137"/>
      <c r="RAG67" s="137"/>
      <c r="RAH67" s="137"/>
      <c r="RAI67" s="137"/>
      <c r="RAJ67" s="137"/>
      <c r="RAK67" s="137"/>
      <c r="RAL67" s="137"/>
      <c r="RAM67" s="137"/>
      <c r="RAN67" s="137"/>
      <c r="RAO67" s="137"/>
      <c r="RAP67" s="137"/>
      <c r="RAQ67" s="137"/>
      <c r="RAR67" s="137"/>
      <c r="RAS67" s="137"/>
      <c r="RAT67" s="137"/>
      <c r="RAU67" s="137"/>
      <c r="RAV67" s="137"/>
      <c r="RAW67" s="137"/>
      <c r="RAX67" s="137"/>
      <c r="RAY67" s="137"/>
      <c r="RAZ67" s="137"/>
      <c r="RBA67" s="137"/>
      <c r="RBB67" s="137"/>
      <c r="RBC67" s="137"/>
      <c r="RBD67" s="137"/>
      <c r="RBE67" s="137"/>
      <c r="RBF67" s="137"/>
      <c r="RBG67" s="137"/>
      <c r="RBH67" s="137"/>
      <c r="RBI67" s="137"/>
      <c r="RBJ67" s="137"/>
      <c r="RBK67" s="137"/>
      <c r="RBL67" s="137"/>
      <c r="RBM67" s="137"/>
      <c r="RBN67" s="137"/>
      <c r="RBO67" s="137"/>
      <c r="RBP67" s="137"/>
      <c r="RBQ67" s="137"/>
      <c r="RBR67" s="137"/>
      <c r="RBS67" s="137"/>
      <c r="RBT67" s="137"/>
      <c r="RBU67" s="137"/>
      <c r="RBV67" s="137"/>
      <c r="RBW67" s="137"/>
      <c r="RBX67" s="137"/>
      <c r="RBY67" s="137"/>
      <c r="RBZ67" s="137"/>
      <c r="RCA67" s="137"/>
      <c r="RCB67" s="137"/>
      <c r="RCC67" s="137"/>
      <c r="RCD67" s="137"/>
      <c r="RCE67" s="137"/>
      <c r="RCF67" s="137"/>
      <c r="RCG67" s="137"/>
      <c r="RCH67" s="137"/>
      <c r="RCI67" s="137"/>
      <c r="RCJ67" s="137"/>
      <c r="RCK67" s="137"/>
      <c r="RCL67" s="137"/>
      <c r="RCM67" s="137"/>
      <c r="RCN67" s="137"/>
      <c r="RCO67" s="137"/>
      <c r="RCP67" s="137"/>
      <c r="RCQ67" s="137"/>
      <c r="RCR67" s="137"/>
      <c r="RCS67" s="137"/>
      <c r="RCT67" s="137"/>
      <c r="RCU67" s="137"/>
      <c r="RCV67" s="137"/>
      <c r="RCW67" s="137"/>
      <c r="RCX67" s="137"/>
      <c r="RCY67" s="137"/>
      <c r="RCZ67" s="137"/>
      <c r="RDA67" s="137"/>
      <c r="RDB67" s="137"/>
      <c r="RDC67" s="137"/>
      <c r="RDD67" s="137"/>
      <c r="RDE67" s="137"/>
      <c r="RDF67" s="137"/>
      <c r="RDG67" s="137"/>
      <c r="RDH67" s="137"/>
      <c r="RDI67" s="137"/>
      <c r="RDJ67" s="137"/>
      <c r="RDK67" s="137"/>
      <c r="RDL67" s="137"/>
      <c r="RDM67" s="137"/>
      <c r="RDN67" s="137"/>
      <c r="RDO67" s="137"/>
      <c r="RDP67" s="137"/>
      <c r="RDQ67" s="137"/>
      <c r="RDR67" s="137"/>
      <c r="RDS67" s="137"/>
      <c r="RDT67" s="137"/>
      <c r="RDU67" s="137"/>
      <c r="RDV67" s="137"/>
      <c r="RDW67" s="137"/>
      <c r="RDX67" s="137"/>
      <c r="RDY67" s="137"/>
      <c r="RDZ67" s="137"/>
      <c r="REA67" s="137"/>
      <c r="REB67" s="137"/>
      <c r="REC67" s="137"/>
      <c r="RED67" s="137"/>
      <c r="REE67" s="137"/>
      <c r="REF67" s="137"/>
      <c r="REG67" s="137"/>
      <c r="REH67" s="137"/>
      <c r="REI67" s="137"/>
      <c r="REJ67" s="137"/>
      <c r="REK67" s="137"/>
      <c r="REL67" s="137"/>
      <c r="REM67" s="137"/>
      <c r="REN67" s="137"/>
      <c r="REO67" s="137"/>
      <c r="REP67" s="137"/>
      <c r="REQ67" s="137"/>
      <c r="RER67" s="137"/>
      <c r="RES67" s="137"/>
      <c r="RET67" s="137"/>
      <c r="REU67" s="137"/>
      <c r="REV67" s="137"/>
      <c r="REW67" s="137"/>
      <c r="REX67" s="137"/>
      <c r="REY67" s="137"/>
      <c r="REZ67" s="137"/>
      <c r="RFA67" s="137"/>
      <c r="RFB67" s="137"/>
      <c r="RFC67" s="137"/>
      <c r="RFD67" s="137"/>
      <c r="RFE67" s="137"/>
      <c r="RFF67" s="137"/>
      <c r="RFG67" s="137"/>
      <c r="RFH67" s="137"/>
      <c r="RFI67" s="137"/>
      <c r="RFJ67" s="137"/>
      <c r="RFK67" s="137"/>
      <c r="RFL67" s="137"/>
      <c r="RFM67" s="137"/>
      <c r="RFN67" s="137"/>
      <c r="RFO67" s="137"/>
      <c r="RFP67" s="137"/>
      <c r="RFQ67" s="137"/>
      <c r="RFR67" s="137"/>
      <c r="RFS67" s="137"/>
      <c r="RFT67" s="137"/>
      <c r="RFU67" s="137"/>
      <c r="RFV67" s="137"/>
      <c r="RFW67" s="137"/>
      <c r="RFX67" s="137"/>
      <c r="RFY67" s="137"/>
      <c r="RFZ67" s="137"/>
      <c r="RGA67" s="137"/>
      <c r="RGB67" s="137"/>
      <c r="RGC67" s="137"/>
      <c r="RGD67" s="137"/>
      <c r="RGE67" s="137"/>
      <c r="RGF67" s="137"/>
      <c r="RGG67" s="137"/>
      <c r="RGH67" s="137"/>
      <c r="RGI67" s="137"/>
      <c r="RGJ67" s="137"/>
      <c r="RGK67" s="137"/>
      <c r="RGL67" s="137"/>
      <c r="RGM67" s="137"/>
      <c r="RGN67" s="137"/>
      <c r="RGO67" s="137"/>
      <c r="RGP67" s="137"/>
      <c r="RGQ67" s="137"/>
      <c r="RGR67" s="137"/>
      <c r="RGS67" s="137"/>
      <c r="RGT67" s="137"/>
      <c r="RGU67" s="137"/>
      <c r="RGV67" s="137"/>
      <c r="RGW67" s="137"/>
      <c r="RGX67" s="137"/>
      <c r="RGY67" s="137"/>
      <c r="RGZ67" s="137"/>
      <c r="RHA67" s="137"/>
      <c r="RHB67" s="137"/>
      <c r="RHC67" s="137"/>
      <c r="RHD67" s="137"/>
      <c r="RHE67" s="137"/>
      <c r="RHF67" s="137"/>
      <c r="RHG67" s="137"/>
      <c r="RHH67" s="137"/>
      <c r="RHI67" s="137"/>
      <c r="RHJ67" s="137"/>
      <c r="RHK67" s="137"/>
      <c r="RHL67" s="137"/>
      <c r="RHM67" s="137"/>
      <c r="RHN67" s="137"/>
      <c r="RHO67" s="137"/>
      <c r="RHP67" s="137"/>
      <c r="RHQ67" s="137"/>
      <c r="RHR67" s="137"/>
      <c r="RHS67" s="137"/>
      <c r="RHT67" s="137"/>
      <c r="RHU67" s="137"/>
      <c r="RHV67" s="137"/>
      <c r="RHW67" s="137"/>
      <c r="RHX67" s="137"/>
      <c r="RHY67" s="137"/>
      <c r="RHZ67" s="137"/>
      <c r="RIA67" s="137"/>
      <c r="RIB67" s="137"/>
      <c r="RIC67" s="137"/>
      <c r="RID67" s="137"/>
      <c r="RIE67" s="137"/>
      <c r="RIF67" s="137"/>
      <c r="RIG67" s="137"/>
      <c r="RIH67" s="137"/>
      <c r="RII67" s="137"/>
      <c r="RIJ67" s="137"/>
      <c r="RIK67" s="137"/>
      <c r="RIL67" s="137"/>
      <c r="RIM67" s="137"/>
      <c r="RIN67" s="137"/>
      <c r="RIO67" s="137"/>
      <c r="RIP67" s="137"/>
      <c r="RIQ67" s="137"/>
      <c r="RIR67" s="137"/>
      <c r="RIS67" s="137"/>
      <c r="RIT67" s="137"/>
      <c r="RIU67" s="137"/>
      <c r="RIV67" s="137"/>
      <c r="RIW67" s="137"/>
      <c r="RIX67" s="137"/>
      <c r="RIY67" s="137"/>
      <c r="RIZ67" s="137"/>
      <c r="RJA67" s="137"/>
      <c r="RJB67" s="137"/>
      <c r="RJC67" s="137"/>
      <c r="RJD67" s="137"/>
      <c r="RJE67" s="137"/>
      <c r="RJF67" s="137"/>
      <c r="RJG67" s="137"/>
      <c r="RJH67" s="137"/>
      <c r="RJI67" s="137"/>
      <c r="RJJ67" s="137"/>
      <c r="RJK67" s="137"/>
      <c r="RJL67" s="137"/>
      <c r="RJM67" s="137"/>
      <c r="RJN67" s="137"/>
      <c r="RJO67" s="137"/>
      <c r="RJP67" s="137"/>
      <c r="RJQ67" s="137"/>
      <c r="RJR67" s="137"/>
      <c r="RJS67" s="137"/>
      <c r="RJT67" s="137"/>
      <c r="RJU67" s="137"/>
      <c r="RJV67" s="137"/>
      <c r="RJW67" s="137"/>
      <c r="RJX67" s="137"/>
      <c r="RJY67" s="137"/>
      <c r="RJZ67" s="137"/>
      <c r="RKA67" s="137"/>
      <c r="RKB67" s="137"/>
      <c r="RKC67" s="137"/>
      <c r="RKD67" s="137"/>
      <c r="RKE67" s="137"/>
      <c r="RKF67" s="137"/>
      <c r="RKG67" s="137"/>
      <c r="RKH67" s="137"/>
      <c r="RKI67" s="137"/>
      <c r="RKJ67" s="137"/>
      <c r="RKK67" s="137"/>
      <c r="RKL67" s="137"/>
      <c r="RKM67" s="137"/>
      <c r="RKN67" s="137"/>
      <c r="RKO67" s="137"/>
      <c r="RKP67" s="137"/>
      <c r="RKQ67" s="137"/>
      <c r="RKR67" s="137"/>
      <c r="RKS67" s="137"/>
      <c r="RKT67" s="137"/>
      <c r="RKU67" s="137"/>
      <c r="RKV67" s="137"/>
      <c r="RKW67" s="137"/>
      <c r="RKX67" s="137"/>
      <c r="RKY67" s="137"/>
      <c r="RKZ67" s="137"/>
      <c r="RLA67" s="137"/>
      <c r="RLB67" s="137"/>
      <c r="RLC67" s="137"/>
      <c r="RLD67" s="137"/>
      <c r="RLE67" s="137"/>
      <c r="RLF67" s="137"/>
      <c r="RLG67" s="137"/>
      <c r="RLH67" s="137"/>
      <c r="RLI67" s="137"/>
      <c r="RLJ67" s="137"/>
      <c r="RLK67" s="137"/>
      <c r="RLL67" s="137"/>
      <c r="RLM67" s="137"/>
      <c r="RLN67" s="137"/>
      <c r="RLO67" s="137"/>
      <c r="RLP67" s="137"/>
      <c r="RLQ67" s="137"/>
      <c r="RLR67" s="137"/>
      <c r="RLS67" s="137"/>
      <c r="RLT67" s="137"/>
      <c r="RLU67" s="137"/>
      <c r="RLV67" s="137"/>
      <c r="RLW67" s="137"/>
      <c r="RLX67" s="137"/>
      <c r="RLY67" s="137"/>
      <c r="RLZ67" s="137"/>
      <c r="RMA67" s="137"/>
      <c r="RMB67" s="137"/>
      <c r="RMC67" s="137"/>
      <c r="RMD67" s="137"/>
      <c r="RME67" s="137"/>
      <c r="RMF67" s="137"/>
      <c r="RMG67" s="137"/>
      <c r="RMH67" s="137"/>
      <c r="RMI67" s="137"/>
      <c r="RMJ67" s="137"/>
      <c r="RMK67" s="137"/>
      <c r="RML67" s="137"/>
      <c r="RMM67" s="137"/>
      <c r="RMN67" s="137"/>
      <c r="RMO67" s="137"/>
      <c r="RMP67" s="137"/>
      <c r="RMQ67" s="137"/>
      <c r="RMR67" s="137"/>
      <c r="RMS67" s="137"/>
      <c r="RMT67" s="137"/>
      <c r="RMU67" s="137"/>
      <c r="RMV67" s="137"/>
      <c r="RMW67" s="137"/>
      <c r="RMX67" s="137"/>
      <c r="RMY67" s="137"/>
      <c r="RMZ67" s="137"/>
      <c r="RNA67" s="137"/>
      <c r="RNB67" s="137"/>
      <c r="RNC67" s="137"/>
      <c r="RND67" s="137"/>
      <c r="RNE67" s="137"/>
      <c r="RNF67" s="137"/>
      <c r="RNG67" s="137"/>
      <c r="RNH67" s="137"/>
      <c r="RNI67" s="137"/>
      <c r="RNJ67" s="137"/>
      <c r="RNK67" s="137"/>
      <c r="RNL67" s="137"/>
      <c r="RNM67" s="137"/>
      <c r="RNN67" s="137"/>
      <c r="RNO67" s="137"/>
      <c r="RNP67" s="137"/>
      <c r="RNQ67" s="137"/>
      <c r="RNR67" s="137"/>
      <c r="RNS67" s="137"/>
      <c r="RNT67" s="137"/>
      <c r="RNU67" s="137"/>
      <c r="RNV67" s="137"/>
      <c r="RNW67" s="137"/>
      <c r="RNX67" s="137"/>
      <c r="RNY67" s="137"/>
      <c r="RNZ67" s="137"/>
      <c r="ROA67" s="137"/>
      <c r="ROB67" s="137"/>
      <c r="ROC67" s="137"/>
      <c r="ROD67" s="137"/>
      <c r="ROE67" s="137"/>
      <c r="ROF67" s="137"/>
      <c r="ROG67" s="137"/>
      <c r="ROH67" s="137"/>
      <c r="ROI67" s="137"/>
      <c r="ROJ67" s="137"/>
      <c r="ROK67" s="137"/>
      <c r="ROL67" s="137"/>
      <c r="ROM67" s="137"/>
      <c r="RON67" s="137"/>
      <c r="ROO67" s="137"/>
      <c r="ROP67" s="137"/>
      <c r="ROQ67" s="137"/>
      <c r="ROR67" s="137"/>
      <c r="ROS67" s="137"/>
      <c r="ROT67" s="137"/>
      <c r="ROU67" s="137"/>
      <c r="ROV67" s="137"/>
      <c r="ROW67" s="137"/>
      <c r="ROX67" s="137"/>
      <c r="ROY67" s="137"/>
      <c r="ROZ67" s="137"/>
      <c r="RPA67" s="137"/>
      <c r="RPB67" s="137"/>
      <c r="RPC67" s="137"/>
      <c r="RPD67" s="137"/>
      <c r="RPE67" s="137"/>
      <c r="RPF67" s="137"/>
      <c r="RPG67" s="137"/>
      <c r="RPH67" s="137"/>
      <c r="RPI67" s="137"/>
      <c r="RPJ67" s="137"/>
      <c r="RPK67" s="137"/>
      <c r="RPL67" s="137"/>
      <c r="RPM67" s="137"/>
      <c r="RPN67" s="137"/>
      <c r="RPO67" s="137"/>
      <c r="RPP67" s="137"/>
      <c r="RPQ67" s="137"/>
      <c r="RPR67" s="137"/>
      <c r="RPS67" s="137"/>
      <c r="RPT67" s="137"/>
      <c r="RPU67" s="137"/>
      <c r="RPV67" s="137"/>
      <c r="RPW67" s="137"/>
      <c r="RPX67" s="137"/>
      <c r="RPY67" s="137"/>
      <c r="RPZ67" s="137"/>
      <c r="RQA67" s="137"/>
      <c r="RQB67" s="137"/>
      <c r="RQC67" s="137"/>
      <c r="RQD67" s="137"/>
      <c r="RQE67" s="137"/>
      <c r="RQF67" s="137"/>
      <c r="RQG67" s="137"/>
      <c r="RQH67" s="137"/>
      <c r="RQI67" s="137"/>
      <c r="RQJ67" s="137"/>
      <c r="RQK67" s="137"/>
      <c r="RQL67" s="137"/>
      <c r="RQM67" s="137"/>
      <c r="RQN67" s="137"/>
      <c r="RQO67" s="137"/>
      <c r="RQP67" s="137"/>
      <c r="RQQ67" s="137"/>
      <c r="RQR67" s="137"/>
      <c r="RQS67" s="137"/>
      <c r="RQT67" s="137"/>
      <c r="RQU67" s="137"/>
      <c r="RQV67" s="137"/>
      <c r="RQW67" s="137"/>
      <c r="RQX67" s="137"/>
      <c r="RQY67" s="137"/>
      <c r="RQZ67" s="137"/>
      <c r="RRA67" s="137"/>
      <c r="RRB67" s="137"/>
      <c r="RRC67" s="137"/>
      <c r="RRD67" s="137"/>
      <c r="RRE67" s="137"/>
      <c r="RRF67" s="137"/>
      <c r="RRG67" s="137"/>
      <c r="RRH67" s="137"/>
      <c r="RRI67" s="137"/>
      <c r="RRJ67" s="137"/>
      <c r="RRK67" s="137"/>
      <c r="RRL67" s="137"/>
      <c r="RRM67" s="137"/>
      <c r="RRN67" s="137"/>
      <c r="RRO67" s="137"/>
      <c r="RRP67" s="137"/>
      <c r="RRQ67" s="137"/>
      <c r="RRR67" s="137"/>
      <c r="RRS67" s="137"/>
      <c r="RRT67" s="137"/>
      <c r="RRU67" s="137"/>
      <c r="RRV67" s="137"/>
      <c r="RRW67" s="137"/>
      <c r="RRX67" s="137"/>
      <c r="RRY67" s="137"/>
      <c r="RRZ67" s="137"/>
      <c r="RSA67" s="137"/>
      <c r="RSB67" s="137"/>
      <c r="RSC67" s="137"/>
      <c r="RSD67" s="137"/>
      <c r="RSE67" s="137"/>
      <c r="RSF67" s="137"/>
      <c r="RSG67" s="137"/>
      <c r="RSH67" s="137"/>
      <c r="RSI67" s="137"/>
      <c r="RSJ67" s="137"/>
      <c r="RSK67" s="137"/>
      <c r="RSL67" s="137"/>
      <c r="RSM67" s="137"/>
      <c r="RSN67" s="137"/>
      <c r="RSO67" s="137"/>
      <c r="RSP67" s="137"/>
      <c r="RSQ67" s="137"/>
      <c r="RSR67" s="137"/>
      <c r="RSS67" s="137"/>
      <c r="RST67" s="137"/>
      <c r="RSU67" s="137"/>
      <c r="RSV67" s="137"/>
      <c r="RSW67" s="137"/>
      <c r="RSX67" s="137"/>
      <c r="RSY67" s="137"/>
      <c r="RSZ67" s="137"/>
      <c r="RTA67" s="137"/>
      <c r="RTB67" s="137"/>
      <c r="RTC67" s="137"/>
      <c r="RTD67" s="137"/>
      <c r="RTE67" s="137"/>
      <c r="RTF67" s="137"/>
      <c r="RTG67" s="137"/>
      <c r="RTH67" s="137"/>
      <c r="RTI67" s="137"/>
      <c r="RTJ67" s="137"/>
      <c r="RTK67" s="137"/>
      <c r="RTL67" s="137"/>
      <c r="RTM67" s="137"/>
      <c r="RTN67" s="137"/>
      <c r="RTO67" s="137"/>
      <c r="RTP67" s="137"/>
      <c r="RTQ67" s="137"/>
      <c r="RTR67" s="137"/>
      <c r="RTS67" s="137"/>
      <c r="RTT67" s="137"/>
      <c r="RTU67" s="137"/>
      <c r="RTV67" s="137"/>
      <c r="RTW67" s="137"/>
      <c r="RTX67" s="137"/>
      <c r="RTY67" s="137"/>
      <c r="RTZ67" s="137"/>
      <c r="RUA67" s="137"/>
      <c r="RUB67" s="137"/>
      <c r="RUC67" s="137"/>
      <c r="RUD67" s="137"/>
      <c r="RUE67" s="137"/>
      <c r="RUF67" s="137"/>
      <c r="RUG67" s="137"/>
      <c r="RUH67" s="137"/>
      <c r="RUI67" s="137"/>
      <c r="RUJ67" s="137"/>
      <c r="RUK67" s="137"/>
      <c r="RUL67" s="137"/>
      <c r="RUM67" s="137"/>
      <c r="RUN67" s="137"/>
      <c r="RUO67" s="137"/>
      <c r="RUP67" s="137"/>
      <c r="RUQ67" s="137"/>
      <c r="RUR67" s="137"/>
      <c r="RUS67" s="137"/>
      <c r="RUT67" s="137"/>
      <c r="RUU67" s="137"/>
      <c r="RUV67" s="137"/>
      <c r="RUW67" s="137"/>
      <c r="RUX67" s="137"/>
      <c r="RUY67" s="137"/>
      <c r="RUZ67" s="137"/>
      <c r="RVA67" s="137"/>
      <c r="RVB67" s="137"/>
      <c r="RVC67" s="137"/>
      <c r="RVD67" s="137"/>
      <c r="RVE67" s="137"/>
      <c r="RVF67" s="137"/>
      <c r="RVG67" s="137"/>
      <c r="RVH67" s="137"/>
      <c r="RVI67" s="137"/>
      <c r="RVJ67" s="137"/>
      <c r="RVK67" s="137"/>
      <c r="RVL67" s="137"/>
      <c r="RVM67" s="137"/>
      <c r="RVN67" s="137"/>
      <c r="RVO67" s="137"/>
      <c r="RVP67" s="137"/>
      <c r="RVQ67" s="137"/>
      <c r="RVR67" s="137"/>
      <c r="RVS67" s="137"/>
      <c r="RVT67" s="137"/>
      <c r="RVU67" s="137"/>
      <c r="RVV67" s="137"/>
      <c r="RVW67" s="137"/>
      <c r="RVX67" s="137"/>
      <c r="RVY67" s="137"/>
      <c r="RVZ67" s="137"/>
      <c r="RWA67" s="137"/>
      <c r="RWB67" s="137"/>
      <c r="RWC67" s="137"/>
      <c r="RWD67" s="137"/>
      <c r="RWE67" s="137"/>
      <c r="RWF67" s="137"/>
      <c r="RWG67" s="137"/>
      <c r="RWH67" s="137"/>
      <c r="RWI67" s="137"/>
      <c r="RWJ67" s="137"/>
      <c r="RWK67" s="137"/>
      <c r="RWL67" s="137"/>
      <c r="RWM67" s="137"/>
      <c r="RWN67" s="137"/>
      <c r="RWO67" s="137"/>
      <c r="RWP67" s="137"/>
      <c r="RWQ67" s="137"/>
      <c r="RWR67" s="137"/>
      <c r="RWS67" s="137"/>
      <c r="RWT67" s="137"/>
      <c r="RWU67" s="137"/>
      <c r="RWV67" s="137"/>
      <c r="RWW67" s="137"/>
      <c r="RWX67" s="137"/>
      <c r="RWY67" s="137"/>
      <c r="RWZ67" s="137"/>
      <c r="RXA67" s="137"/>
      <c r="RXB67" s="137"/>
      <c r="RXC67" s="137"/>
      <c r="RXD67" s="137"/>
      <c r="RXE67" s="137"/>
      <c r="RXF67" s="137"/>
      <c r="RXG67" s="137"/>
      <c r="RXH67" s="137"/>
      <c r="RXI67" s="137"/>
      <c r="RXJ67" s="137"/>
      <c r="RXK67" s="137"/>
      <c r="RXL67" s="137"/>
      <c r="RXM67" s="137"/>
      <c r="RXN67" s="137"/>
      <c r="RXO67" s="137"/>
      <c r="RXP67" s="137"/>
      <c r="RXQ67" s="137"/>
      <c r="RXR67" s="137"/>
      <c r="RXS67" s="137"/>
      <c r="RXT67" s="137"/>
      <c r="RXU67" s="137"/>
      <c r="RXV67" s="137"/>
      <c r="RXW67" s="137"/>
      <c r="RXX67" s="137"/>
      <c r="RXY67" s="137"/>
      <c r="RXZ67" s="137"/>
      <c r="RYA67" s="137"/>
      <c r="RYB67" s="137"/>
      <c r="RYC67" s="137"/>
      <c r="RYD67" s="137"/>
      <c r="RYE67" s="137"/>
      <c r="RYF67" s="137"/>
      <c r="RYG67" s="137"/>
      <c r="RYH67" s="137"/>
      <c r="RYI67" s="137"/>
      <c r="RYJ67" s="137"/>
      <c r="RYK67" s="137"/>
      <c r="RYL67" s="137"/>
      <c r="RYM67" s="137"/>
      <c r="RYN67" s="137"/>
      <c r="RYO67" s="137"/>
      <c r="RYP67" s="137"/>
      <c r="RYQ67" s="137"/>
      <c r="RYR67" s="137"/>
      <c r="RYS67" s="137"/>
      <c r="RYT67" s="137"/>
      <c r="RYU67" s="137"/>
      <c r="RYV67" s="137"/>
      <c r="RYW67" s="137"/>
      <c r="RYX67" s="137"/>
      <c r="RYY67" s="137"/>
      <c r="RYZ67" s="137"/>
      <c r="RZA67" s="137"/>
      <c r="RZB67" s="137"/>
      <c r="RZC67" s="137"/>
      <c r="RZD67" s="137"/>
      <c r="RZE67" s="137"/>
      <c r="RZF67" s="137"/>
      <c r="RZG67" s="137"/>
      <c r="RZH67" s="137"/>
      <c r="RZI67" s="137"/>
      <c r="RZJ67" s="137"/>
      <c r="RZK67" s="137"/>
      <c r="RZL67" s="137"/>
      <c r="RZM67" s="137"/>
      <c r="RZN67" s="137"/>
      <c r="RZO67" s="137"/>
      <c r="RZP67" s="137"/>
      <c r="RZQ67" s="137"/>
      <c r="RZR67" s="137"/>
      <c r="RZS67" s="137"/>
      <c r="RZT67" s="137"/>
      <c r="RZU67" s="137"/>
      <c r="RZV67" s="137"/>
      <c r="RZW67" s="137"/>
      <c r="RZX67" s="137"/>
      <c r="RZY67" s="137"/>
      <c r="RZZ67" s="137"/>
      <c r="SAA67" s="137"/>
      <c r="SAB67" s="137"/>
      <c r="SAC67" s="137"/>
      <c r="SAD67" s="137"/>
      <c r="SAE67" s="137"/>
      <c r="SAF67" s="137"/>
      <c r="SAG67" s="137"/>
      <c r="SAH67" s="137"/>
      <c r="SAI67" s="137"/>
      <c r="SAJ67" s="137"/>
      <c r="SAK67" s="137"/>
      <c r="SAL67" s="137"/>
      <c r="SAM67" s="137"/>
      <c r="SAN67" s="137"/>
      <c r="SAO67" s="137"/>
      <c r="SAP67" s="137"/>
      <c r="SAQ67" s="137"/>
      <c r="SAR67" s="137"/>
      <c r="SAS67" s="137"/>
      <c r="SAT67" s="137"/>
      <c r="SAU67" s="137"/>
      <c r="SAV67" s="137"/>
      <c r="SAW67" s="137"/>
      <c r="SAX67" s="137"/>
      <c r="SAY67" s="137"/>
      <c r="SAZ67" s="137"/>
      <c r="SBA67" s="137"/>
      <c r="SBB67" s="137"/>
      <c r="SBC67" s="137"/>
      <c r="SBD67" s="137"/>
      <c r="SBE67" s="137"/>
      <c r="SBF67" s="137"/>
      <c r="SBG67" s="137"/>
      <c r="SBH67" s="137"/>
      <c r="SBI67" s="137"/>
      <c r="SBJ67" s="137"/>
      <c r="SBK67" s="137"/>
      <c r="SBL67" s="137"/>
      <c r="SBM67" s="137"/>
      <c r="SBN67" s="137"/>
      <c r="SBO67" s="137"/>
      <c r="SBP67" s="137"/>
      <c r="SBQ67" s="137"/>
      <c r="SBR67" s="137"/>
      <c r="SBS67" s="137"/>
      <c r="SBT67" s="137"/>
      <c r="SBU67" s="137"/>
      <c r="SBV67" s="137"/>
      <c r="SBW67" s="137"/>
      <c r="SBX67" s="137"/>
      <c r="SBY67" s="137"/>
      <c r="SBZ67" s="137"/>
      <c r="SCA67" s="137"/>
      <c r="SCB67" s="137"/>
      <c r="SCC67" s="137"/>
      <c r="SCD67" s="137"/>
      <c r="SCE67" s="137"/>
      <c r="SCF67" s="137"/>
      <c r="SCG67" s="137"/>
      <c r="SCH67" s="137"/>
      <c r="SCI67" s="137"/>
      <c r="SCJ67" s="137"/>
      <c r="SCK67" s="137"/>
      <c r="SCL67" s="137"/>
      <c r="SCM67" s="137"/>
      <c r="SCN67" s="137"/>
      <c r="SCO67" s="137"/>
      <c r="SCP67" s="137"/>
      <c r="SCQ67" s="137"/>
      <c r="SCR67" s="137"/>
      <c r="SCS67" s="137"/>
      <c r="SCT67" s="137"/>
      <c r="SCU67" s="137"/>
      <c r="SCV67" s="137"/>
      <c r="SCW67" s="137"/>
      <c r="SCX67" s="137"/>
      <c r="SCY67" s="137"/>
      <c r="SCZ67" s="137"/>
      <c r="SDA67" s="137"/>
      <c r="SDB67" s="137"/>
      <c r="SDC67" s="137"/>
      <c r="SDD67" s="137"/>
      <c r="SDE67" s="137"/>
      <c r="SDF67" s="137"/>
      <c r="SDG67" s="137"/>
      <c r="SDH67" s="137"/>
      <c r="SDI67" s="137"/>
      <c r="SDJ67" s="137"/>
      <c r="SDK67" s="137"/>
      <c r="SDL67" s="137"/>
      <c r="SDM67" s="137"/>
      <c r="SDN67" s="137"/>
      <c r="SDO67" s="137"/>
      <c r="SDP67" s="137"/>
      <c r="SDQ67" s="137"/>
      <c r="SDR67" s="137"/>
      <c r="SDS67" s="137"/>
      <c r="SDT67" s="137"/>
      <c r="SDU67" s="137"/>
      <c r="SDV67" s="137"/>
      <c r="SDW67" s="137"/>
      <c r="SDX67" s="137"/>
      <c r="SDY67" s="137"/>
      <c r="SDZ67" s="137"/>
      <c r="SEA67" s="137"/>
      <c r="SEB67" s="137"/>
      <c r="SEC67" s="137"/>
      <c r="SED67" s="137"/>
      <c r="SEE67" s="137"/>
      <c r="SEF67" s="137"/>
      <c r="SEG67" s="137"/>
      <c r="SEH67" s="137"/>
      <c r="SEI67" s="137"/>
      <c r="SEJ67" s="137"/>
      <c r="SEK67" s="137"/>
      <c r="SEL67" s="137"/>
      <c r="SEM67" s="137"/>
      <c r="SEN67" s="137"/>
      <c r="SEO67" s="137"/>
      <c r="SEP67" s="137"/>
      <c r="SEQ67" s="137"/>
      <c r="SER67" s="137"/>
      <c r="SES67" s="137"/>
      <c r="SET67" s="137"/>
      <c r="SEU67" s="137"/>
      <c r="SEV67" s="137"/>
      <c r="SEW67" s="137"/>
      <c r="SEX67" s="137"/>
      <c r="SEY67" s="137"/>
      <c r="SEZ67" s="137"/>
      <c r="SFA67" s="137"/>
      <c r="SFB67" s="137"/>
      <c r="SFC67" s="137"/>
      <c r="SFD67" s="137"/>
      <c r="SFE67" s="137"/>
      <c r="SFF67" s="137"/>
      <c r="SFG67" s="137"/>
      <c r="SFH67" s="137"/>
      <c r="SFI67" s="137"/>
      <c r="SFJ67" s="137"/>
      <c r="SFK67" s="137"/>
      <c r="SFL67" s="137"/>
      <c r="SFM67" s="137"/>
      <c r="SFN67" s="137"/>
      <c r="SFO67" s="137"/>
      <c r="SFP67" s="137"/>
      <c r="SFQ67" s="137"/>
      <c r="SFR67" s="137"/>
      <c r="SFS67" s="137"/>
      <c r="SFT67" s="137"/>
      <c r="SFU67" s="137"/>
      <c r="SFV67" s="137"/>
      <c r="SFW67" s="137"/>
      <c r="SFX67" s="137"/>
      <c r="SFY67" s="137"/>
      <c r="SFZ67" s="137"/>
      <c r="SGA67" s="137"/>
      <c r="SGB67" s="137"/>
      <c r="SGC67" s="137"/>
      <c r="SGD67" s="137"/>
      <c r="SGE67" s="137"/>
      <c r="SGF67" s="137"/>
      <c r="SGG67" s="137"/>
      <c r="SGH67" s="137"/>
      <c r="SGI67" s="137"/>
      <c r="SGJ67" s="137"/>
      <c r="SGK67" s="137"/>
      <c r="SGL67" s="137"/>
      <c r="SGM67" s="137"/>
      <c r="SGN67" s="137"/>
      <c r="SGO67" s="137"/>
      <c r="SGP67" s="137"/>
      <c r="SGQ67" s="137"/>
      <c r="SGR67" s="137"/>
      <c r="SGS67" s="137"/>
      <c r="SGT67" s="137"/>
      <c r="SGU67" s="137"/>
      <c r="SGV67" s="137"/>
      <c r="SGW67" s="137"/>
      <c r="SGX67" s="137"/>
      <c r="SGY67" s="137"/>
      <c r="SGZ67" s="137"/>
      <c r="SHA67" s="137"/>
      <c r="SHB67" s="137"/>
      <c r="SHC67" s="137"/>
      <c r="SHD67" s="137"/>
      <c r="SHE67" s="137"/>
      <c r="SHF67" s="137"/>
      <c r="SHG67" s="137"/>
      <c r="SHH67" s="137"/>
      <c r="SHI67" s="137"/>
      <c r="SHJ67" s="137"/>
      <c r="SHK67" s="137"/>
      <c r="SHL67" s="137"/>
      <c r="SHM67" s="137"/>
      <c r="SHN67" s="137"/>
      <c r="SHO67" s="137"/>
      <c r="SHP67" s="137"/>
      <c r="SHQ67" s="137"/>
      <c r="SHR67" s="137"/>
      <c r="SHS67" s="137"/>
      <c r="SHT67" s="137"/>
      <c r="SHU67" s="137"/>
      <c r="SHV67" s="137"/>
      <c r="SHW67" s="137"/>
      <c r="SHX67" s="137"/>
      <c r="SHY67" s="137"/>
      <c r="SHZ67" s="137"/>
      <c r="SIA67" s="137"/>
      <c r="SIB67" s="137"/>
      <c r="SIC67" s="137"/>
      <c r="SID67" s="137"/>
      <c r="SIE67" s="137"/>
      <c r="SIF67" s="137"/>
      <c r="SIG67" s="137"/>
      <c r="SIH67" s="137"/>
      <c r="SII67" s="137"/>
      <c r="SIJ67" s="137"/>
      <c r="SIK67" s="137"/>
      <c r="SIL67" s="137"/>
      <c r="SIM67" s="137"/>
      <c r="SIN67" s="137"/>
      <c r="SIO67" s="137"/>
      <c r="SIP67" s="137"/>
      <c r="SIQ67" s="137"/>
      <c r="SIR67" s="137"/>
      <c r="SIS67" s="137"/>
      <c r="SIT67" s="137"/>
      <c r="SIU67" s="137"/>
      <c r="SIV67" s="137"/>
      <c r="SIW67" s="137"/>
      <c r="SIX67" s="137"/>
      <c r="SIY67" s="137"/>
      <c r="SIZ67" s="137"/>
      <c r="SJA67" s="137"/>
      <c r="SJB67" s="137"/>
      <c r="SJC67" s="137"/>
      <c r="SJD67" s="137"/>
      <c r="SJE67" s="137"/>
      <c r="SJF67" s="137"/>
      <c r="SJG67" s="137"/>
      <c r="SJH67" s="137"/>
      <c r="SJI67" s="137"/>
      <c r="SJJ67" s="137"/>
      <c r="SJK67" s="137"/>
      <c r="SJL67" s="137"/>
      <c r="SJM67" s="137"/>
      <c r="SJN67" s="137"/>
      <c r="SJO67" s="137"/>
      <c r="SJP67" s="137"/>
      <c r="SJQ67" s="137"/>
      <c r="SJR67" s="137"/>
      <c r="SJS67" s="137"/>
      <c r="SJT67" s="137"/>
      <c r="SJU67" s="137"/>
      <c r="SJV67" s="137"/>
      <c r="SJW67" s="137"/>
      <c r="SJX67" s="137"/>
      <c r="SJY67" s="137"/>
      <c r="SJZ67" s="137"/>
      <c r="SKA67" s="137"/>
      <c r="SKB67" s="137"/>
      <c r="SKC67" s="137"/>
      <c r="SKD67" s="137"/>
      <c r="SKE67" s="137"/>
      <c r="SKF67" s="137"/>
      <c r="SKG67" s="137"/>
      <c r="SKH67" s="137"/>
      <c r="SKI67" s="137"/>
      <c r="SKJ67" s="137"/>
      <c r="SKK67" s="137"/>
      <c r="SKL67" s="137"/>
      <c r="SKM67" s="137"/>
      <c r="SKN67" s="137"/>
      <c r="SKO67" s="137"/>
      <c r="SKP67" s="137"/>
      <c r="SKQ67" s="137"/>
      <c r="SKR67" s="137"/>
      <c r="SKS67" s="137"/>
      <c r="SKT67" s="137"/>
      <c r="SKU67" s="137"/>
      <c r="SKV67" s="137"/>
      <c r="SKW67" s="137"/>
      <c r="SKX67" s="137"/>
      <c r="SKY67" s="137"/>
      <c r="SKZ67" s="137"/>
      <c r="SLA67" s="137"/>
      <c r="SLB67" s="137"/>
      <c r="SLC67" s="137"/>
      <c r="SLD67" s="137"/>
      <c r="SLE67" s="137"/>
      <c r="SLF67" s="137"/>
      <c r="SLG67" s="137"/>
      <c r="SLH67" s="137"/>
      <c r="SLI67" s="137"/>
      <c r="SLJ67" s="137"/>
      <c r="SLK67" s="137"/>
      <c r="SLL67" s="137"/>
      <c r="SLM67" s="137"/>
      <c r="SLN67" s="137"/>
      <c r="SLO67" s="137"/>
      <c r="SLP67" s="137"/>
      <c r="SLQ67" s="137"/>
      <c r="SLR67" s="137"/>
      <c r="SLS67" s="137"/>
      <c r="SLT67" s="137"/>
      <c r="SLU67" s="137"/>
      <c r="SLV67" s="137"/>
      <c r="SLW67" s="137"/>
      <c r="SLX67" s="137"/>
      <c r="SLY67" s="137"/>
      <c r="SLZ67" s="137"/>
      <c r="SMA67" s="137"/>
      <c r="SMB67" s="137"/>
      <c r="SMC67" s="137"/>
      <c r="SMD67" s="137"/>
      <c r="SME67" s="137"/>
      <c r="SMF67" s="137"/>
      <c r="SMG67" s="137"/>
      <c r="SMH67" s="137"/>
      <c r="SMI67" s="137"/>
      <c r="SMJ67" s="137"/>
      <c r="SMK67" s="137"/>
      <c r="SML67" s="137"/>
      <c r="SMM67" s="137"/>
      <c r="SMN67" s="137"/>
      <c r="SMO67" s="137"/>
      <c r="SMP67" s="137"/>
      <c r="SMQ67" s="137"/>
      <c r="SMR67" s="137"/>
      <c r="SMS67" s="137"/>
      <c r="SMT67" s="137"/>
      <c r="SMU67" s="137"/>
      <c r="SMV67" s="137"/>
      <c r="SMW67" s="137"/>
      <c r="SMX67" s="137"/>
      <c r="SMY67" s="137"/>
      <c r="SMZ67" s="137"/>
      <c r="SNA67" s="137"/>
      <c r="SNB67" s="137"/>
      <c r="SNC67" s="137"/>
      <c r="SND67" s="137"/>
      <c r="SNE67" s="137"/>
      <c r="SNF67" s="137"/>
      <c r="SNG67" s="137"/>
      <c r="SNH67" s="137"/>
      <c r="SNI67" s="137"/>
      <c r="SNJ67" s="137"/>
      <c r="SNK67" s="137"/>
      <c r="SNL67" s="137"/>
      <c r="SNM67" s="137"/>
      <c r="SNN67" s="137"/>
      <c r="SNO67" s="137"/>
      <c r="SNP67" s="137"/>
      <c r="SNQ67" s="137"/>
      <c r="SNR67" s="137"/>
      <c r="SNS67" s="137"/>
      <c r="SNT67" s="137"/>
      <c r="SNU67" s="137"/>
      <c r="SNV67" s="137"/>
      <c r="SNW67" s="137"/>
      <c r="SNX67" s="137"/>
      <c r="SNY67" s="137"/>
      <c r="SNZ67" s="137"/>
      <c r="SOA67" s="137"/>
      <c r="SOB67" s="137"/>
      <c r="SOC67" s="137"/>
      <c r="SOD67" s="137"/>
      <c r="SOE67" s="137"/>
      <c r="SOF67" s="137"/>
      <c r="SOG67" s="137"/>
      <c r="SOH67" s="137"/>
      <c r="SOI67" s="137"/>
      <c r="SOJ67" s="137"/>
      <c r="SOK67" s="137"/>
      <c r="SOL67" s="137"/>
      <c r="SOM67" s="137"/>
      <c r="SON67" s="137"/>
      <c r="SOO67" s="137"/>
      <c r="SOP67" s="137"/>
      <c r="SOQ67" s="137"/>
      <c r="SOR67" s="137"/>
      <c r="SOS67" s="137"/>
      <c r="SOT67" s="137"/>
      <c r="SOU67" s="137"/>
      <c r="SOV67" s="137"/>
      <c r="SOW67" s="137"/>
      <c r="SOX67" s="137"/>
      <c r="SOY67" s="137"/>
      <c r="SOZ67" s="137"/>
      <c r="SPA67" s="137"/>
      <c r="SPB67" s="137"/>
      <c r="SPC67" s="137"/>
      <c r="SPD67" s="137"/>
      <c r="SPE67" s="137"/>
      <c r="SPF67" s="137"/>
      <c r="SPG67" s="137"/>
      <c r="SPH67" s="137"/>
      <c r="SPI67" s="137"/>
      <c r="SPJ67" s="137"/>
      <c r="SPK67" s="137"/>
      <c r="SPL67" s="137"/>
      <c r="SPM67" s="137"/>
      <c r="SPN67" s="137"/>
      <c r="SPO67" s="137"/>
      <c r="SPP67" s="137"/>
      <c r="SPQ67" s="137"/>
      <c r="SPR67" s="137"/>
      <c r="SPS67" s="137"/>
      <c r="SPT67" s="137"/>
      <c r="SPU67" s="137"/>
      <c r="SPV67" s="137"/>
      <c r="SPW67" s="137"/>
      <c r="SPX67" s="137"/>
      <c r="SPY67" s="137"/>
      <c r="SPZ67" s="137"/>
      <c r="SQA67" s="137"/>
      <c r="SQB67" s="137"/>
      <c r="SQC67" s="137"/>
      <c r="SQD67" s="137"/>
      <c r="SQE67" s="137"/>
      <c r="SQF67" s="137"/>
      <c r="SQG67" s="137"/>
      <c r="SQH67" s="137"/>
      <c r="SQI67" s="137"/>
      <c r="SQJ67" s="137"/>
      <c r="SQK67" s="137"/>
      <c r="SQL67" s="137"/>
      <c r="SQM67" s="137"/>
      <c r="SQN67" s="137"/>
      <c r="SQO67" s="137"/>
      <c r="SQP67" s="137"/>
      <c r="SQQ67" s="137"/>
      <c r="SQR67" s="137"/>
      <c r="SQS67" s="137"/>
      <c r="SQT67" s="137"/>
      <c r="SQU67" s="137"/>
      <c r="SQV67" s="137"/>
      <c r="SQW67" s="137"/>
      <c r="SQX67" s="137"/>
      <c r="SQY67" s="137"/>
      <c r="SQZ67" s="137"/>
      <c r="SRA67" s="137"/>
      <c r="SRB67" s="137"/>
      <c r="SRC67" s="137"/>
      <c r="SRD67" s="137"/>
      <c r="SRE67" s="137"/>
      <c r="SRF67" s="137"/>
      <c r="SRG67" s="137"/>
      <c r="SRH67" s="137"/>
      <c r="SRI67" s="137"/>
      <c r="SRJ67" s="137"/>
      <c r="SRK67" s="137"/>
      <c r="SRL67" s="137"/>
      <c r="SRM67" s="137"/>
      <c r="SRN67" s="137"/>
      <c r="SRO67" s="137"/>
      <c r="SRP67" s="137"/>
      <c r="SRQ67" s="137"/>
      <c r="SRR67" s="137"/>
      <c r="SRS67" s="137"/>
      <c r="SRT67" s="137"/>
      <c r="SRU67" s="137"/>
      <c r="SRV67" s="137"/>
      <c r="SRW67" s="137"/>
      <c r="SRX67" s="137"/>
      <c r="SRY67" s="137"/>
      <c r="SRZ67" s="137"/>
      <c r="SSA67" s="137"/>
      <c r="SSB67" s="137"/>
      <c r="SSC67" s="137"/>
      <c r="SSD67" s="137"/>
      <c r="SSE67" s="137"/>
      <c r="SSF67" s="137"/>
      <c r="SSG67" s="137"/>
      <c r="SSH67" s="137"/>
      <c r="SSI67" s="137"/>
      <c r="SSJ67" s="137"/>
      <c r="SSK67" s="137"/>
      <c r="SSL67" s="137"/>
      <c r="SSM67" s="137"/>
      <c r="SSN67" s="137"/>
      <c r="SSO67" s="137"/>
      <c r="SSP67" s="137"/>
      <c r="SSQ67" s="137"/>
      <c r="SSR67" s="137"/>
      <c r="SSS67" s="137"/>
      <c r="SST67" s="137"/>
      <c r="SSU67" s="137"/>
      <c r="SSV67" s="137"/>
      <c r="SSW67" s="137"/>
      <c r="SSX67" s="137"/>
      <c r="SSY67" s="137"/>
      <c r="SSZ67" s="137"/>
      <c r="STA67" s="137"/>
      <c r="STB67" s="137"/>
      <c r="STC67" s="137"/>
      <c r="STD67" s="137"/>
      <c r="STE67" s="137"/>
      <c r="STF67" s="137"/>
      <c r="STG67" s="137"/>
      <c r="STH67" s="137"/>
      <c r="STI67" s="137"/>
      <c r="STJ67" s="137"/>
      <c r="STK67" s="137"/>
      <c r="STL67" s="137"/>
      <c r="STM67" s="137"/>
      <c r="STN67" s="137"/>
      <c r="STO67" s="137"/>
      <c r="STP67" s="137"/>
      <c r="STQ67" s="137"/>
      <c r="STR67" s="137"/>
      <c r="STS67" s="137"/>
      <c r="STT67" s="137"/>
      <c r="STU67" s="137"/>
      <c r="STV67" s="137"/>
      <c r="STW67" s="137"/>
      <c r="STX67" s="137"/>
      <c r="STY67" s="137"/>
      <c r="STZ67" s="137"/>
      <c r="SUA67" s="137"/>
      <c r="SUB67" s="137"/>
      <c r="SUC67" s="137"/>
      <c r="SUD67" s="137"/>
      <c r="SUE67" s="137"/>
      <c r="SUF67" s="137"/>
      <c r="SUG67" s="137"/>
      <c r="SUH67" s="137"/>
      <c r="SUI67" s="137"/>
      <c r="SUJ67" s="137"/>
      <c r="SUK67" s="137"/>
      <c r="SUL67" s="137"/>
      <c r="SUM67" s="137"/>
      <c r="SUN67" s="137"/>
      <c r="SUO67" s="137"/>
      <c r="SUP67" s="137"/>
      <c r="SUQ67" s="137"/>
      <c r="SUR67" s="137"/>
      <c r="SUS67" s="137"/>
      <c r="SUT67" s="137"/>
      <c r="SUU67" s="137"/>
      <c r="SUV67" s="137"/>
      <c r="SUW67" s="137"/>
      <c r="SUX67" s="137"/>
      <c r="SUY67" s="137"/>
      <c r="SUZ67" s="137"/>
      <c r="SVA67" s="137"/>
      <c r="SVB67" s="137"/>
      <c r="SVC67" s="137"/>
      <c r="SVD67" s="137"/>
      <c r="SVE67" s="137"/>
      <c r="SVF67" s="137"/>
      <c r="SVG67" s="137"/>
      <c r="SVH67" s="137"/>
      <c r="SVI67" s="137"/>
      <c r="SVJ67" s="137"/>
      <c r="SVK67" s="137"/>
      <c r="SVL67" s="137"/>
      <c r="SVM67" s="137"/>
      <c r="SVN67" s="137"/>
      <c r="SVO67" s="137"/>
      <c r="SVP67" s="137"/>
      <c r="SVQ67" s="137"/>
      <c r="SVR67" s="137"/>
      <c r="SVS67" s="137"/>
      <c r="SVT67" s="137"/>
      <c r="SVU67" s="137"/>
      <c r="SVV67" s="137"/>
      <c r="SVW67" s="137"/>
      <c r="SVX67" s="137"/>
      <c r="SVY67" s="137"/>
      <c r="SVZ67" s="137"/>
      <c r="SWA67" s="137"/>
      <c r="SWB67" s="137"/>
      <c r="SWC67" s="137"/>
      <c r="SWD67" s="137"/>
      <c r="SWE67" s="137"/>
      <c r="SWF67" s="137"/>
      <c r="SWG67" s="137"/>
      <c r="SWH67" s="137"/>
      <c r="SWI67" s="137"/>
      <c r="SWJ67" s="137"/>
      <c r="SWK67" s="137"/>
      <c r="SWL67" s="137"/>
      <c r="SWM67" s="137"/>
      <c r="SWN67" s="137"/>
      <c r="SWO67" s="137"/>
      <c r="SWP67" s="137"/>
      <c r="SWQ67" s="137"/>
      <c r="SWR67" s="137"/>
      <c r="SWS67" s="137"/>
      <c r="SWT67" s="137"/>
      <c r="SWU67" s="137"/>
      <c r="SWV67" s="137"/>
      <c r="SWW67" s="137"/>
      <c r="SWX67" s="137"/>
      <c r="SWY67" s="137"/>
      <c r="SWZ67" s="137"/>
      <c r="SXA67" s="137"/>
      <c r="SXB67" s="137"/>
      <c r="SXC67" s="137"/>
      <c r="SXD67" s="137"/>
      <c r="SXE67" s="137"/>
      <c r="SXF67" s="137"/>
      <c r="SXG67" s="137"/>
      <c r="SXH67" s="137"/>
      <c r="SXI67" s="137"/>
      <c r="SXJ67" s="137"/>
      <c r="SXK67" s="137"/>
      <c r="SXL67" s="137"/>
      <c r="SXM67" s="137"/>
      <c r="SXN67" s="137"/>
      <c r="SXO67" s="137"/>
      <c r="SXP67" s="137"/>
      <c r="SXQ67" s="137"/>
      <c r="SXR67" s="137"/>
      <c r="SXS67" s="137"/>
      <c r="SXT67" s="137"/>
      <c r="SXU67" s="137"/>
      <c r="SXV67" s="137"/>
      <c r="SXW67" s="137"/>
      <c r="SXX67" s="137"/>
      <c r="SXY67" s="137"/>
      <c r="SXZ67" s="137"/>
      <c r="SYA67" s="137"/>
      <c r="SYB67" s="137"/>
      <c r="SYC67" s="137"/>
      <c r="SYD67" s="137"/>
      <c r="SYE67" s="137"/>
      <c r="SYF67" s="137"/>
      <c r="SYG67" s="137"/>
      <c r="SYH67" s="137"/>
      <c r="SYI67" s="137"/>
      <c r="SYJ67" s="137"/>
      <c r="SYK67" s="137"/>
      <c r="SYL67" s="137"/>
      <c r="SYM67" s="137"/>
      <c r="SYN67" s="137"/>
      <c r="SYO67" s="137"/>
      <c r="SYP67" s="137"/>
      <c r="SYQ67" s="137"/>
      <c r="SYR67" s="137"/>
      <c r="SYS67" s="137"/>
      <c r="SYT67" s="137"/>
      <c r="SYU67" s="137"/>
      <c r="SYV67" s="137"/>
      <c r="SYW67" s="137"/>
      <c r="SYX67" s="137"/>
      <c r="SYY67" s="137"/>
      <c r="SYZ67" s="137"/>
      <c r="SZA67" s="137"/>
      <c r="SZB67" s="137"/>
      <c r="SZC67" s="137"/>
      <c r="SZD67" s="137"/>
      <c r="SZE67" s="137"/>
      <c r="SZF67" s="137"/>
      <c r="SZG67" s="137"/>
      <c r="SZH67" s="137"/>
      <c r="SZI67" s="137"/>
      <c r="SZJ67" s="137"/>
      <c r="SZK67" s="137"/>
      <c r="SZL67" s="137"/>
      <c r="SZM67" s="137"/>
      <c r="SZN67" s="137"/>
      <c r="SZO67" s="137"/>
      <c r="SZP67" s="137"/>
      <c r="SZQ67" s="137"/>
      <c r="SZR67" s="137"/>
      <c r="SZS67" s="137"/>
      <c r="SZT67" s="137"/>
      <c r="SZU67" s="137"/>
      <c r="SZV67" s="137"/>
      <c r="SZW67" s="137"/>
      <c r="SZX67" s="137"/>
      <c r="SZY67" s="137"/>
      <c r="SZZ67" s="137"/>
      <c r="TAA67" s="137"/>
      <c r="TAB67" s="137"/>
      <c r="TAC67" s="137"/>
      <c r="TAD67" s="137"/>
      <c r="TAE67" s="137"/>
      <c r="TAF67" s="137"/>
      <c r="TAG67" s="137"/>
      <c r="TAH67" s="137"/>
      <c r="TAI67" s="137"/>
      <c r="TAJ67" s="137"/>
      <c r="TAK67" s="137"/>
      <c r="TAL67" s="137"/>
      <c r="TAM67" s="137"/>
      <c r="TAN67" s="137"/>
      <c r="TAO67" s="137"/>
      <c r="TAP67" s="137"/>
      <c r="TAQ67" s="137"/>
      <c r="TAR67" s="137"/>
      <c r="TAS67" s="137"/>
      <c r="TAT67" s="137"/>
      <c r="TAU67" s="137"/>
      <c r="TAV67" s="137"/>
      <c r="TAW67" s="137"/>
      <c r="TAX67" s="137"/>
      <c r="TAY67" s="137"/>
      <c r="TAZ67" s="137"/>
      <c r="TBA67" s="137"/>
      <c r="TBB67" s="137"/>
      <c r="TBC67" s="137"/>
      <c r="TBD67" s="137"/>
      <c r="TBE67" s="137"/>
      <c r="TBF67" s="137"/>
      <c r="TBG67" s="137"/>
      <c r="TBH67" s="137"/>
      <c r="TBI67" s="137"/>
      <c r="TBJ67" s="137"/>
      <c r="TBK67" s="137"/>
      <c r="TBL67" s="137"/>
      <c r="TBM67" s="137"/>
      <c r="TBN67" s="137"/>
      <c r="TBO67" s="137"/>
      <c r="TBP67" s="137"/>
      <c r="TBQ67" s="137"/>
      <c r="TBR67" s="137"/>
      <c r="TBS67" s="137"/>
      <c r="TBT67" s="137"/>
      <c r="TBU67" s="137"/>
      <c r="TBV67" s="137"/>
      <c r="TBW67" s="137"/>
      <c r="TBX67" s="137"/>
      <c r="TBY67" s="137"/>
      <c r="TBZ67" s="137"/>
      <c r="TCA67" s="137"/>
      <c r="TCB67" s="137"/>
      <c r="TCC67" s="137"/>
      <c r="TCD67" s="137"/>
      <c r="TCE67" s="137"/>
      <c r="TCF67" s="137"/>
      <c r="TCG67" s="137"/>
      <c r="TCH67" s="137"/>
      <c r="TCI67" s="137"/>
      <c r="TCJ67" s="137"/>
      <c r="TCK67" s="137"/>
      <c r="TCL67" s="137"/>
      <c r="TCM67" s="137"/>
      <c r="TCN67" s="137"/>
      <c r="TCO67" s="137"/>
      <c r="TCP67" s="137"/>
      <c r="TCQ67" s="137"/>
      <c r="TCR67" s="137"/>
      <c r="TCS67" s="137"/>
      <c r="TCT67" s="137"/>
      <c r="TCU67" s="137"/>
      <c r="TCV67" s="137"/>
      <c r="TCW67" s="137"/>
      <c r="TCX67" s="137"/>
      <c r="TCY67" s="137"/>
      <c r="TCZ67" s="137"/>
      <c r="TDA67" s="137"/>
      <c r="TDB67" s="137"/>
      <c r="TDC67" s="137"/>
      <c r="TDD67" s="137"/>
      <c r="TDE67" s="137"/>
      <c r="TDF67" s="137"/>
      <c r="TDG67" s="137"/>
      <c r="TDH67" s="137"/>
      <c r="TDI67" s="137"/>
      <c r="TDJ67" s="137"/>
      <c r="TDK67" s="137"/>
      <c r="TDL67" s="137"/>
      <c r="TDM67" s="137"/>
      <c r="TDN67" s="137"/>
      <c r="TDO67" s="137"/>
      <c r="TDP67" s="137"/>
      <c r="TDQ67" s="137"/>
      <c r="TDR67" s="137"/>
      <c r="TDS67" s="137"/>
      <c r="TDT67" s="137"/>
      <c r="TDU67" s="137"/>
      <c r="TDV67" s="137"/>
      <c r="TDW67" s="137"/>
      <c r="TDX67" s="137"/>
      <c r="TDY67" s="137"/>
      <c r="TDZ67" s="137"/>
      <c r="TEA67" s="137"/>
      <c r="TEB67" s="137"/>
      <c r="TEC67" s="137"/>
      <c r="TED67" s="137"/>
      <c r="TEE67" s="137"/>
      <c r="TEF67" s="137"/>
      <c r="TEG67" s="137"/>
      <c r="TEH67" s="137"/>
      <c r="TEI67" s="137"/>
      <c r="TEJ67" s="137"/>
      <c r="TEK67" s="137"/>
      <c r="TEL67" s="137"/>
      <c r="TEM67" s="137"/>
      <c r="TEN67" s="137"/>
      <c r="TEO67" s="137"/>
      <c r="TEP67" s="137"/>
      <c r="TEQ67" s="137"/>
      <c r="TER67" s="137"/>
      <c r="TES67" s="137"/>
      <c r="TET67" s="137"/>
      <c r="TEU67" s="137"/>
      <c r="TEV67" s="137"/>
      <c r="TEW67" s="137"/>
      <c r="TEX67" s="137"/>
      <c r="TEY67" s="137"/>
      <c r="TEZ67" s="137"/>
      <c r="TFA67" s="137"/>
      <c r="TFB67" s="137"/>
      <c r="TFC67" s="137"/>
      <c r="TFD67" s="137"/>
      <c r="TFE67" s="137"/>
      <c r="TFF67" s="137"/>
      <c r="TFG67" s="137"/>
      <c r="TFH67" s="137"/>
      <c r="TFI67" s="137"/>
      <c r="TFJ67" s="137"/>
      <c r="TFK67" s="137"/>
      <c r="TFL67" s="137"/>
      <c r="TFM67" s="137"/>
      <c r="TFN67" s="137"/>
      <c r="TFO67" s="137"/>
      <c r="TFP67" s="137"/>
      <c r="TFQ67" s="137"/>
      <c r="TFR67" s="137"/>
      <c r="TFS67" s="137"/>
      <c r="TFT67" s="137"/>
      <c r="TFU67" s="137"/>
      <c r="TFV67" s="137"/>
      <c r="TFW67" s="137"/>
      <c r="TFX67" s="137"/>
      <c r="TFY67" s="137"/>
      <c r="TFZ67" s="137"/>
      <c r="TGA67" s="137"/>
      <c r="TGB67" s="137"/>
      <c r="TGC67" s="137"/>
      <c r="TGD67" s="137"/>
      <c r="TGE67" s="137"/>
      <c r="TGF67" s="137"/>
      <c r="TGG67" s="137"/>
      <c r="TGH67" s="137"/>
      <c r="TGI67" s="137"/>
      <c r="TGJ67" s="137"/>
      <c r="TGK67" s="137"/>
      <c r="TGL67" s="137"/>
      <c r="TGM67" s="137"/>
      <c r="TGN67" s="137"/>
      <c r="TGO67" s="137"/>
      <c r="TGP67" s="137"/>
      <c r="TGQ67" s="137"/>
      <c r="TGR67" s="137"/>
      <c r="TGS67" s="137"/>
      <c r="TGT67" s="137"/>
      <c r="TGU67" s="137"/>
      <c r="TGV67" s="137"/>
      <c r="TGW67" s="137"/>
      <c r="TGX67" s="137"/>
      <c r="TGY67" s="137"/>
      <c r="TGZ67" s="137"/>
      <c r="THA67" s="137"/>
      <c r="THB67" s="137"/>
      <c r="THC67" s="137"/>
      <c r="THD67" s="137"/>
      <c r="THE67" s="137"/>
      <c r="THF67" s="137"/>
      <c r="THG67" s="137"/>
      <c r="THH67" s="137"/>
      <c r="THI67" s="137"/>
      <c r="THJ67" s="137"/>
      <c r="THK67" s="137"/>
      <c r="THL67" s="137"/>
      <c r="THM67" s="137"/>
      <c r="THN67" s="137"/>
      <c r="THO67" s="137"/>
      <c r="THP67" s="137"/>
      <c r="THQ67" s="137"/>
      <c r="THR67" s="137"/>
      <c r="THS67" s="137"/>
      <c r="THT67" s="137"/>
      <c r="THU67" s="137"/>
      <c r="THV67" s="137"/>
      <c r="THW67" s="137"/>
      <c r="THX67" s="137"/>
      <c r="THY67" s="137"/>
      <c r="THZ67" s="137"/>
      <c r="TIA67" s="137"/>
      <c r="TIB67" s="137"/>
      <c r="TIC67" s="137"/>
      <c r="TID67" s="137"/>
      <c r="TIE67" s="137"/>
      <c r="TIF67" s="137"/>
      <c r="TIG67" s="137"/>
      <c r="TIH67" s="137"/>
      <c r="TII67" s="137"/>
      <c r="TIJ67" s="137"/>
      <c r="TIK67" s="137"/>
      <c r="TIL67" s="137"/>
      <c r="TIM67" s="137"/>
      <c r="TIN67" s="137"/>
      <c r="TIO67" s="137"/>
      <c r="TIP67" s="137"/>
      <c r="TIQ67" s="137"/>
      <c r="TIR67" s="137"/>
      <c r="TIS67" s="137"/>
      <c r="TIT67" s="137"/>
      <c r="TIU67" s="137"/>
      <c r="TIV67" s="137"/>
      <c r="TIW67" s="137"/>
      <c r="TIX67" s="137"/>
      <c r="TIY67" s="137"/>
      <c r="TIZ67" s="137"/>
      <c r="TJA67" s="137"/>
      <c r="TJB67" s="137"/>
      <c r="TJC67" s="137"/>
      <c r="TJD67" s="137"/>
      <c r="TJE67" s="137"/>
      <c r="TJF67" s="137"/>
      <c r="TJG67" s="137"/>
      <c r="TJH67" s="137"/>
      <c r="TJI67" s="137"/>
      <c r="TJJ67" s="137"/>
      <c r="TJK67" s="137"/>
      <c r="TJL67" s="137"/>
      <c r="TJM67" s="137"/>
      <c r="TJN67" s="137"/>
      <c r="TJO67" s="137"/>
      <c r="TJP67" s="137"/>
      <c r="TJQ67" s="137"/>
      <c r="TJR67" s="137"/>
      <c r="TJS67" s="137"/>
      <c r="TJT67" s="137"/>
      <c r="TJU67" s="137"/>
      <c r="TJV67" s="137"/>
      <c r="TJW67" s="137"/>
      <c r="TJX67" s="137"/>
      <c r="TJY67" s="137"/>
      <c r="TJZ67" s="137"/>
      <c r="TKA67" s="137"/>
      <c r="TKB67" s="137"/>
      <c r="TKC67" s="137"/>
      <c r="TKD67" s="137"/>
      <c r="TKE67" s="137"/>
      <c r="TKF67" s="137"/>
      <c r="TKG67" s="137"/>
      <c r="TKH67" s="137"/>
      <c r="TKI67" s="137"/>
      <c r="TKJ67" s="137"/>
      <c r="TKK67" s="137"/>
      <c r="TKL67" s="137"/>
      <c r="TKM67" s="137"/>
      <c r="TKN67" s="137"/>
      <c r="TKO67" s="137"/>
      <c r="TKP67" s="137"/>
      <c r="TKQ67" s="137"/>
      <c r="TKR67" s="137"/>
      <c r="TKS67" s="137"/>
      <c r="TKT67" s="137"/>
      <c r="TKU67" s="137"/>
      <c r="TKV67" s="137"/>
      <c r="TKW67" s="137"/>
      <c r="TKX67" s="137"/>
      <c r="TKY67" s="137"/>
      <c r="TKZ67" s="137"/>
      <c r="TLA67" s="137"/>
      <c r="TLB67" s="137"/>
      <c r="TLC67" s="137"/>
      <c r="TLD67" s="137"/>
      <c r="TLE67" s="137"/>
      <c r="TLF67" s="137"/>
      <c r="TLG67" s="137"/>
      <c r="TLH67" s="137"/>
      <c r="TLI67" s="137"/>
      <c r="TLJ67" s="137"/>
      <c r="TLK67" s="137"/>
      <c r="TLL67" s="137"/>
      <c r="TLM67" s="137"/>
      <c r="TLN67" s="137"/>
      <c r="TLO67" s="137"/>
      <c r="TLP67" s="137"/>
      <c r="TLQ67" s="137"/>
      <c r="TLR67" s="137"/>
      <c r="TLS67" s="137"/>
      <c r="TLT67" s="137"/>
      <c r="TLU67" s="137"/>
      <c r="TLV67" s="137"/>
      <c r="TLW67" s="137"/>
      <c r="TLX67" s="137"/>
      <c r="TLY67" s="137"/>
      <c r="TLZ67" s="137"/>
      <c r="TMA67" s="137"/>
      <c r="TMB67" s="137"/>
      <c r="TMC67" s="137"/>
      <c r="TMD67" s="137"/>
      <c r="TME67" s="137"/>
      <c r="TMF67" s="137"/>
      <c r="TMG67" s="137"/>
      <c r="TMH67" s="137"/>
      <c r="TMI67" s="137"/>
      <c r="TMJ67" s="137"/>
      <c r="TMK67" s="137"/>
      <c r="TML67" s="137"/>
      <c r="TMM67" s="137"/>
      <c r="TMN67" s="137"/>
      <c r="TMO67" s="137"/>
      <c r="TMP67" s="137"/>
      <c r="TMQ67" s="137"/>
      <c r="TMR67" s="137"/>
      <c r="TMS67" s="137"/>
      <c r="TMT67" s="137"/>
      <c r="TMU67" s="137"/>
      <c r="TMV67" s="137"/>
      <c r="TMW67" s="137"/>
      <c r="TMX67" s="137"/>
      <c r="TMY67" s="137"/>
      <c r="TMZ67" s="137"/>
      <c r="TNA67" s="137"/>
      <c r="TNB67" s="137"/>
      <c r="TNC67" s="137"/>
      <c r="TND67" s="137"/>
      <c r="TNE67" s="137"/>
      <c r="TNF67" s="137"/>
      <c r="TNG67" s="137"/>
      <c r="TNH67" s="137"/>
      <c r="TNI67" s="137"/>
      <c r="TNJ67" s="137"/>
      <c r="TNK67" s="137"/>
      <c r="TNL67" s="137"/>
      <c r="TNM67" s="137"/>
      <c r="TNN67" s="137"/>
      <c r="TNO67" s="137"/>
      <c r="TNP67" s="137"/>
      <c r="TNQ67" s="137"/>
      <c r="TNR67" s="137"/>
      <c r="TNS67" s="137"/>
      <c r="TNT67" s="137"/>
      <c r="TNU67" s="137"/>
      <c r="TNV67" s="137"/>
      <c r="TNW67" s="137"/>
      <c r="TNX67" s="137"/>
      <c r="TNY67" s="137"/>
      <c r="TNZ67" s="137"/>
      <c r="TOA67" s="137"/>
      <c r="TOB67" s="137"/>
      <c r="TOC67" s="137"/>
      <c r="TOD67" s="137"/>
      <c r="TOE67" s="137"/>
      <c r="TOF67" s="137"/>
      <c r="TOG67" s="137"/>
      <c r="TOH67" s="137"/>
      <c r="TOI67" s="137"/>
      <c r="TOJ67" s="137"/>
      <c r="TOK67" s="137"/>
      <c r="TOL67" s="137"/>
      <c r="TOM67" s="137"/>
      <c r="TON67" s="137"/>
      <c r="TOO67" s="137"/>
      <c r="TOP67" s="137"/>
      <c r="TOQ67" s="137"/>
      <c r="TOR67" s="137"/>
      <c r="TOS67" s="137"/>
      <c r="TOT67" s="137"/>
      <c r="TOU67" s="137"/>
      <c r="TOV67" s="137"/>
      <c r="TOW67" s="137"/>
      <c r="TOX67" s="137"/>
      <c r="TOY67" s="137"/>
      <c r="TOZ67" s="137"/>
      <c r="TPA67" s="137"/>
      <c r="TPB67" s="137"/>
      <c r="TPC67" s="137"/>
      <c r="TPD67" s="137"/>
      <c r="TPE67" s="137"/>
      <c r="TPF67" s="137"/>
      <c r="TPG67" s="137"/>
      <c r="TPH67" s="137"/>
      <c r="TPI67" s="137"/>
      <c r="TPJ67" s="137"/>
      <c r="TPK67" s="137"/>
      <c r="TPL67" s="137"/>
      <c r="TPM67" s="137"/>
      <c r="TPN67" s="137"/>
      <c r="TPO67" s="137"/>
      <c r="TPP67" s="137"/>
      <c r="TPQ67" s="137"/>
      <c r="TPR67" s="137"/>
      <c r="TPS67" s="137"/>
      <c r="TPT67" s="137"/>
      <c r="TPU67" s="137"/>
      <c r="TPV67" s="137"/>
      <c r="TPW67" s="137"/>
      <c r="TPX67" s="137"/>
      <c r="TPY67" s="137"/>
      <c r="TPZ67" s="137"/>
      <c r="TQA67" s="137"/>
      <c r="TQB67" s="137"/>
      <c r="TQC67" s="137"/>
      <c r="TQD67" s="137"/>
      <c r="TQE67" s="137"/>
      <c r="TQF67" s="137"/>
      <c r="TQG67" s="137"/>
      <c r="TQH67" s="137"/>
      <c r="TQI67" s="137"/>
      <c r="TQJ67" s="137"/>
      <c r="TQK67" s="137"/>
      <c r="TQL67" s="137"/>
      <c r="TQM67" s="137"/>
      <c r="TQN67" s="137"/>
      <c r="TQO67" s="137"/>
      <c r="TQP67" s="137"/>
      <c r="TQQ67" s="137"/>
      <c r="TQR67" s="137"/>
      <c r="TQS67" s="137"/>
      <c r="TQT67" s="137"/>
      <c r="TQU67" s="137"/>
      <c r="TQV67" s="137"/>
      <c r="TQW67" s="137"/>
      <c r="TQX67" s="137"/>
      <c r="TQY67" s="137"/>
      <c r="TQZ67" s="137"/>
      <c r="TRA67" s="137"/>
      <c r="TRB67" s="137"/>
      <c r="TRC67" s="137"/>
      <c r="TRD67" s="137"/>
      <c r="TRE67" s="137"/>
      <c r="TRF67" s="137"/>
      <c r="TRG67" s="137"/>
      <c r="TRH67" s="137"/>
      <c r="TRI67" s="137"/>
      <c r="TRJ67" s="137"/>
      <c r="TRK67" s="137"/>
      <c r="TRL67" s="137"/>
      <c r="TRM67" s="137"/>
      <c r="TRN67" s="137"/>
      <c r="TRO67" s="137"/>
      <c r="TRP67" s="137"/>
      <c r="TRQ67" s="137"/>
      <c r="TRR67" s="137"/>
      <c r="TRS67" s="137"/>
      <c r="TRT67" s="137"/>
      <c r="TRU67" s="137"/>
      <c r="TRV67" s="137"/>
      <c r="TRW67" s="137"/>
      <c r="TRX67" s="137"/>
      <c r="TRY67" s="137"/>
      <c r="TRZ67" s="137"/>
      <c r="TSA67" s="137"/>
      <c r="TSB67" s="137"/>
      <c r="TSC67" s="137"/>
      <c r="TSD67" s="137"/>
      <c r="TSE67" s="137"/>
      <c r="TSF67" s="137"/>
      <c r="TSG67" s="137"/>
      <c r="TSH67" s="137"/>
      <c r="TSI67" s="137"/>
      <c r="TSJ67" s="137"/>
      <c r="TSK67" s="137"/>
      <c r="TSL67" s="137"/>
      <c r="TSM67" s="137"/>
      <c r="TSN67" s="137"/>
      <c r="TSO67" s="137"/>
      <c r="TSP67" s="137"/>
      <c r="TSQ67" s="137"/>
      <c r="TSR67" s="137"/>
      <c r="TSS67" s="137"/>
      <c r="TST67" s="137"/>
      <c r="TSU67" s="137"/>
      <c r="TSV67" s="137"/>
      <c r="TSW67" s="137"/>
      <c r="TSX67" s="137"/>
      <c r="TSY67" s="137"/>
      <c r="TSZ67" s="137"/>
      <c r="TTA67" s="137"/>
      <c r="TTB67" s="137"/>
      <c r="TTC67" s="137"/>
      <c r="TTD67" s="137"/>
      <c r="TTE67" s="137"/>
      <c r="TTF67" s="137"/>
      <c r="TTG67" s="137"/>
      <c r="TTH67" s="137"/>
      <c r="TTI67" s="137"/>
      <c r="TTJ67" s="137"/>
      <c r="TTK67" s="137"/>
      <c r="TTL67" s="137"/>
      <c r="TTM67" s="137"/>
      <c r="TTN67" s="137"/>
      <c r="TTO67" s="137"/>
      <c r="TTP67" s="137"/>
      <c r="TTQ67" s="137"/>
      <c r="TTR67" s="137"/>
      <c r="TTS67" s="137"/>
      <c r="TTT67" s="137"/>
      <c r="TTU67" s="137"/>
      <c r="TTV67" s="137"/>
      <c r="TTW67" s="137"/>
      <c r="TTX67" s="137"/>
      <c r="TTY67" s="137"/>
      <c r="TTZ67" s="137"/>
      <c r="TUA67" s="137"/>
      <c r="TUB67" s="137"/>
      <c r="TUC67" s="137"/>
      <c r="TUD67" s="137"/>
      <c r="TUE67" s="137"/>
      <c r="TUF67" s="137"/>
      <c r="TUG67" s="137"/>
      <c r="TUH67" s="137"/>
      <c r="TUI67" s="137"/>
      <c r="TUJ67" s="137"/>
      <c r="TUK67" s="137"/>
      <c r="TUL67" s="137"/>
      <c r="TUM67" s="137"/>
      <c r="TUN67" s="137"/>
      <c r="TUO67" s="137"/>
      <c r="TUP67" s="137"/>
      <c r="TUQ67" s="137"/>
      <c r="TUR67" s="137"/>
      <c r="TUS67" s="137"/>
      <c r="TUT67" s="137"/>
      <c r="TUU67" s="137"/>
      <c r="TUV67" s="137"/>
      <c r="TUW67" s="137"/>
      <c r="TUX67" s="137"/>
      <c r="TUY67" s="137"/>
      <c r="TUZ67" s="137"/>
      <c r="TVA67" s="137"/>
      <c r="TVB67" s="137"/>
      <c r="TVC67" s="137"/>
      <c r="TVD67" s="137"/>
      <c r="TVE67" s="137"/>
      <c r="TVF67" s="137"/>
      <c r="TVG67" s="137"/>
      <c r="TVH67" s="137"/>
      <c r="TVI67" s="137"/>
      <c r="TVJ67" s="137"/>
      <c r="TVK67" s="137"/>
      <c r="TVL67" s="137"/>
      <c r="TVM67" s="137"/>
      <c r="TVN67" s="137"/>
      <c r="TVO67" s="137"/>
      <c r="TVP67" s="137"/>
      <c r="TVQ67" s="137"/>
      <c r="TVR67" s="137"/>
      <c r="TVS67" s="137"/>
      <c r="TVT67" s="137"/>
      <c r="TVU67" s="137"/>
      <c r="TVV67" s="137"/>
      <c r="TVW67" s="137"/>
      <c r="TVX67" s="137"/>
      <c r="TVY67" s="137"/>
      <c r="TVZ67" s="137"/>
      <c r="TWA67" s="137"/>
      <c r="TWB67" s="137"/>
      <c r="TWC67" s="137"/>
      <c r="TWD67" s="137"/>
      <c r="TWE67" s="137"/>
      <c r="TWF67" s="137"/>
      <c r="TWG67" s="137"/>
      <c r="TWH67" s="137"/>
      <c r="TWI67" s="137"/>
      <c r="TWJ67" s="137"/>
      <c r="TWK67" s="137"/>
      <c r="TWL67" s="137"/>
      <c r="TWM67" s="137"/>
      <c r="TWN67" s="137"/>
      <c r="TWO67" s="137"/>
      <c r="TWP67" s="137"/>
      <c r="TWQ67" s="137"/>
      <c r="TWR67" s="137"/>
      <c r="TWS67" s="137"/>
      <c r="TWT67" s="137"/>
      <c r="TWU67" s="137"/>
      <c r="TWV67" s="137"/>
      <c r="TWW67" s="137"/>
      <c r="TWX67" s="137"/>
      <c r="TWY67" s="137"/>
      <c r="TWZ67" s="137"/>
      <c r="TXA67" s="137"/>
      <c r="TXB67" s="137"/>
      <c r="TXC67" s="137"/>
      <c r="TXD67" s="137"/>
      <c r="TXE67" s="137"/>
      <c r="TXF67" s="137"/>
      <c r="TXG67" s="137"/>
      <c r="TXH67" s="137"/>
      <c r="TXI67" s="137"/>
      <c r="TXJ67" s="137"/>
      <c r="TXK67" s="137"/>
      <c r="TXL67" s="137"/>
      <c r="TXM67" s="137"/>
      <c r="TXN67" s="137"/>
      <c r="TXO67" s="137"/>
      <c r="TXP67" s="137"/>
      <c r="TXQ67" s="137"/>
      <c r="TXR67" s="137"/>
      <c r="TXS67" s="137"/>
      <c r="TXT67" s="137"/>
      <c r="TXU67" s="137"/>
      <c r="TXV67" s="137"/>
      <c r="TXW67" s="137"/>
      <c r="TXX67" s="137"/>
      <c r="TXY67" s="137"/>
      <c r="TXZ67" s="137"/>
      <c r="TYA67" s="137"/>
      <c r="TYB67" s="137"/>
      <c r="TYC67" s="137"/>
      <c r="TYD67" s="137"/>
      <c r="TYE67" s="137"/>
      <c r="TYF67" s="137"/>
      <c r="TYG67" s="137"/>
      <c r="TYH67" s="137"/>
      <c r="TYI67" s="137"/>
      <c r="TYJ67" s="137"/>
      <c r="TYK67" s="137"/>
      <c r="TYL67" s="137"/>
      <c r="TYM67" s="137"/>
      <c r="TYN67" s="137"/>
      <c r="TYO67" s="137"/>
      <c r="TYP67" s="137"/>
      <c r="TYQ67" s="137"/>
      <c r="TYR67" s="137"/>
      <c r="TYS67" s="137"/>
      <c r="TYT67" s="137"/>
      <c r="TYU67" s="137"/>
      <c r="TYV67" s="137"/>
      <c r="TYW67" s="137"/>
      <c r="TYX67" s="137"/>
      <c r="TYY67" s="137"/>
      <c r="TYZ67" s="137"/>
      <c r="TZA67" s="137"/>
      <c r="TZB67" s="137"/>
      <c r="TZC67" s="137"/>
      <c r="TZD67" s="137"/>
      <c r="TZE67" s="137"/>
      <c r="TZF67" s="137"/>
      <c r="TZG67" s="137"/>
      <c r="TZH67" s="137"/>
      <c r="TZI67" s="137"/>
      <c r="TZJ67" s="137"/>
      <c r="TZK67" s="137"/>
      <c r="TZL67" s="137"/>
      <c r="TZM67" s="137"/>
      <c r="TZN67" s="137"/>
      <c r="TZO67" s="137"/>
      <c r="TZP67" s="137"/>
      <c r="TZQ67" s="137"/>
      <c r="TZR67" s="137"/>
      <c r="TZS67" s="137"/>
      <c r="TZT67" s="137"/>
      <c r="TZU67" s="137"/>
      <c r="TZV67" s="137"/>
      <c r="TZW67" s="137"/>
      <c r="TZX67" s="137"/>
      <c r="TZY67" s="137"/>
      <c r="TZZ67" s="137"/>
      <c r="UAA67" s="137"/>
      <c r="UAB67" s="137"/>
      <c r="UAC67" s="137"/>
      <c r="UAD67" s="137"/>
      <c r="UAE67" s="137"/>
      <c r="UAF67" s="137"/>
      <c r="UAG67" s="137"/>
      <c r="UAH67" s="137"/>
      <c r="UAI67" s="137"/>
      <c r="UAJ67" s="137"/>
      <c r="UAK67" s="137"/>
      <c r="UAL67" s="137"/>
      <c r="UAM67" s="137"/>
      <c r="UAN67" s="137"/>
      <c r="UAO67" s="137"/>
      <c r="UAP67" s="137"/>
      <c r="UAQ67" s="137"/>
      <c r="UAR67" s="137"/>
      <c r="UAS67" s="137"/>
      <c r="UAT67" s="137"/>
      <c r="UAU67" s="137"/>
      <c r="UAV67" s="137"/>
      <c r="UAW67" s="137"/>
      <c r="UAX67" s="137"/>
      <c r="UAY67" s="137"/>
      <c r="UAZ67" s="137"/>
      <c r="UBA67" s="137"/>
      <c r="UBB67" s="137"/>
      <c r="UBC67" s="137"/>
      <c r="UBD67" s="137"/>
      <c r="UBE67" s="137"/>
      <c r="UBF67" s="137"/>
      <c r="UBG67" s="137"/>
      <c r="UBH67" s="137"/>
      <c r="UBI67" s="137"/>
      <c r="UBJ67" s="137"/>
      <c r="UBK67" s="137"/>
      <c r="UBL67" s="137"/>
      <c r="UBM67" s="137"/>
      <c r="UBN67" s="137"/>
      <c r="UBO67" s="137"/>
      <c r="UBP67" s="137"/>
      <c r="UBQ67" s="137"/>
      <c r="UBR67" s="137"/>
      <c r="UBS67" s="137"/>
      <c r="UBT67" s="137"/>
      <c r="UBU67" s="137"/>
      <c r="UBV67" s="137"/>
      <c r="UBW67" s="137"/>
      <c r="UBX67" s="137"/>
      <c r="UBY67" s="137"/>
      <c r="UBZ67" s="137"/>
      <c r="UCA67" s="137"/>
      <c r="UCB67" s="137"/>
      <c r="UCC67" s="137"/>
      <c r="UCD67" s="137"/>
      <c r="UCE67" s="137"/>
      <c r="UCF67" s="137"/>
      <c r="UCG67" s="137"/>
      <c r="UCH67" s="137"/>
      <c r="UCI67" s="137"/>
      <c r="UCJ67" s="137"/>
      <c r="UCK67" s="137"/>
      <c r="UCL67" s="137"/>
      <c r="UCM67" s="137"/>
      <c r="UCN67" s="137"/>
      <c r="UCO67" s="137"/>
      <c r="UCP67" s="137"/>
      <c r="UCQ67" s="137"/>
      <c r="UCR67" s="137"/>
      <c r="UCS67" s="137"/>
      <c r="UCT67" s="137"/>
      <c r="UCU67" s="137"/>
      <c r="UCV67" s="137"/>
      <c r="UCW67" s="137"/>
      <c r="UCX67" s="137"/>
      <c r="UCY67" s="137"/>
      <c r="UCZ67" s="137"/>
      <c r="UDA67" s="137"/>
      <c r="UDB67" s="137"/>
      <c r="UDC67" s="137"/>
      <c r="UDD67" s="137"/>
      <c r="UDE67" s="137"/>
      <c r="UDF67" s="137"/>
      <c r="UDG67" s="137"/>
      <c r="UDH67" s="137"/>
      <c r="UDI67" s="137"/>
      <c r="UDJ67" s="137"/>
      <c r="UDK67" s="137"/>
      <c r="UDL67" s="137"/>
      <c r="UDM67" s="137"/>
      <c r="UDN67" s="137"/>
      <c r="UDO67" s="137"/>
      <c r="UDP67" s="137"/>
      <c r="UDQ67" s="137"/>
      <c r="UDR67" s="137"/>
      <c r="UDS67" s="137"/>
      <c r="UDT67" s="137"/>
      <c r="UDU67" s="137"/>
      <c r="UDV67" s="137"/>
      <c r="UDW67" s="137"/>
      <c r="UDX67" s="137"/>
      <c r="UDY67" s="137"/>
      <c r="UDZ67" s="137"/>
      <c r="UEA67" s="137"/>
      <c r="UEB67" s="137"/>
      <c r="UEC67" s="137"/>
      <c r="UED67" s="137"/>
      <c r="UEE67" s="137"/>
      <c r="UEF67" s="137"/>
      <c r="UEG67" s="137"/>
      <c r="UEH67" s="137"/>
      <c r="UEI67" s="137"/>
      <c r="UEJ67" s="137"/>
      <c r="UEK67" s="137"/>
      <c r="UEL67" s="137"/>
      <c r="UEM67" s="137"/>
      <c r="UEN67" s="137"/>
      <c r="UEO67" s="137"/>
      <c r="UEP67" s="137"/>
      <c r="UEQ67" s="137"/>
      <c r="UER67" s="137"/>
      <c r="UES67" s="137"/>
      <c r="UET67" s="137"/>
      <c r="UEU67" s="137"/>
      <c r="UEV67" s="137"/>
      <c r="UEW67" s="137"/>
      <c r="UEX67" s="137"/>
      <c r="UEY67" s="137"/>
      <c r="UEZ67" s="137"/>
      <c r="UFA67" s="137"/>
      <c r="UFB67" s="137"/>
      <c r="UFC67" s="137"/>
      <c r="UFD67" s="137"/>
      <c r="UFE67" s="137"/>
      <c r="UFF67" s="137"/>
      <c r="UFG67" s="137"/>
      <c r="UFH67" s="137"/>
      <c r="UFI67" s="137"/>
      <c r="UFJ67" s="137"/>
      <c r="UFK67" s="137"/>
      <c r="UFL67" s="137"/>
      <c r="UFM67" s="137"/>
      <c r="UFN67" s="137"/>
      <c r="UFO67" s="137"/>
      <c r="UFP67" s="137"/>
      <c r="UFQ67" s="137"/>
      <c r="UFR67" s="137"/>
      <c r="UFS67" s="137"/>
      <c r="UFT67" s="137"/>
      <c r="UFU67" s="137"/>
      <c r="UFV67" s="137"/>
      <c r="UFW67" s="137"/>
      <c r="UFX67" s="137"/>
      <c r="UFY67" s="137"/>
      <c r="UFZ67" s="137"/>
      <c r="UGA67" s="137"/>
      <c r="UGB67" s="137"/>
      <c r="UGC67" s="137"/>
      <c r="UGD67" s="137"/>
      <c r="UGE67" s="137"/>
      <c r="UGF67" s="137"/>
      <c r="UGG67" s="137"/>
      <c r="UGH67" s="137"/>
      <c r="UGI67" s="137"/>
      <c r="UGJ67" s="137"/>
      <c r="UGK67" s="137"/>
      <c r="UGL67" s="137"/>
      <c r="UGM67" s="137"/>
      <c r="UGN67" s="137"/>
      <c r="UGO67" s="137"/>
      <c r="UGP67" s="137"/>
      <c r="UGQ67" s="137"/>
      <c r="UGR67" s="137"/>
      <c r="UGS67" s="137"/>
      <c r="UGT67" s="137"/>
      <c r="UGU67" s="137"/>
      <c r="UGV67" s="137"/>
      <c r="UGW67" s="137"/>
      <c r="UGX67" s="137"/>
      <c r="UGY67" s="137"/>
      <c r="UGZ67" s="137"/>
      <c r="UHA67" s="137"/>
      <c r="UHB67" s="137"/>
      <c r="UHC67" s="137"/>
      <c r="UHD67" s="137"/>
      <c r="UHE67" s="137"/>
      <c r="UHF67" s="137"/>
      <c r="UHG67" s="137"/>
      <c r="UHH67" s="137"/>
      <c r="UHI67" s="137"/>
      <c r="UHJ67" s="137"/>
      <c r="UHK67" s="137"/>
      <c r="UHL67" s="137"/>
      <c r="UHM67" s="137"/>
      <c r="UHN67" s="137"/>
      <c r="UHO67" s="137"/>
      <c r="UHP67" s="137"/>
      <c r="UHQ67" s="137"/>
      <c r="UHR67" s="137"/>
      <c r="UHS67" s="137"/>
      <c r="UHT67" s="137"/>
      <c r="UHU67" s="137"/>
      <c r="UHV67" s="137"/>
      <c r="UHW67" s="137"/>
      <c r="UHX67" s="137"/>
      <c r="UHY67" s="137"/>
      <c r="UHZ67" s="137"/>
      <c r="UIA67" s="137"/>
      <c r="UIB67" s="137"/>
      <c r="UIC67" s="137"/>
      <c r="UID67" s="137"/>
      <c r="UIE67" s="137"/>
      <c r="UIF67" s="137"/>
      <c r="UIG67" s="137"/>
      <c r="UIH67" s="137"/>
      <c r="UII67" s="137"/>
      <c r="UIJ67" s="137"/>
      <c r="UIK67" s="137"/>
      <c r="UIL67" s="137"/>
      <c r="UIM67" s="137"/>
      <c r="UIN67" s="137"/>
      <c r="UIO67" s="137"/>
      <c r="UIP67" s="137"/>
      <c r="UIQ67" s="137"/>
      <c r="UIR67" s="137"/>
      <c r="UIS67" s="137"/>
      <c r="UIT67" s="137"/>
      <c r="UIU67" s="137"/>
      <c r="UIV67" s="137"/>
      <c r="UIW67" s="137"/>
      <c r="UIX67" s="137"/>
      <c r="UIY67" s="137"/>
      <c r="UIZ67" s="137"/>
      <c r="UJA67" s="137"/>
      <c r="UJB67" s="137"/>
      <c r="UJC67" s="137"/>
      <c r="UJD67" s="137"/>
      <c r="UJE67" s="137"/>
      <c r="UJF67" s="137"/>
      <c r="UJG67" s="137"/>
      <c r="UJH67" s="137"/>
      <c r="UJI67" s="137"/>
      <c r="UJJ67" s="137"/>
      <c r="UJK67" s="137"/>
      <c r="UJL67" s="137"/>
      <c r="UJM67" s="137"/>
      <c r="UJN67" s="137"/>
      <c r="UJO67" s="137"/>
      <c r="UJP67" s="137"/>
      <c r="UJQ67" s="137"/>
      <c r="UJR67" s="137"/>
      <c r="UJS67" s="137"/>
      <c r="UJT67" s="137"/>
      <c r="UJU67" s="137"/>
      <c r="UJV67" s="137"/>
      <c r="UJW67" s="137"/>
      <c r="UJX67" s="137"/>
      <c r="UJY67" s="137"/>
      <c r="UJZ67" s="137"/>
      <c r="UKA67" s="137"/>
      <c r="UKB67" s="137"/>
      <c r="UKC67" s="137"/>
      <c r="UKD67" s="137"/>
      <c r="UKE67" s="137"/>
      <c r="UKF67" s="137"/>
      <c r="UKG67" s="137"/>
      <c r="UKH67" s="137"/>
      <c r="UKI67" s="137"/>
      <c r="UKJ67" s="137"/>
      <c r="UKK67" s="137"/>
      <c r="UKL67" s="137"/>
      <c r="UKM67" s="137"/>
      <c r="UKN67" s="137"/>
      <c r="UKO67" s="137"/>
      <c r="UKP67" s="137"/>
      <c r="UKQ67" s="137"/>
      <c r="UKR67" s="137"/>
      <c r="UKS67" s="137"/>
      <c r="UKT67" s="137"/>
      <c r="UKU67" s="137"/>
      <c r="UKV67" s="137"/>
      <c r="UKW67" s="137"/>
      <c r="UKX67" s="137"/>
      <c r="UKY67" s="137"/>
      <c r="UKZ67" s="137"/>
      <c r="ULA67" s="137"/>
      <c r="ULB67" s="137"/>
      <c r="ULC67" s="137"/>
      <c r="ULD67" s="137"/>
      <c r="ULE67" s="137"/>
      <c r="ULF67" s="137"/>
      <c r="ULG67" s="137"/>
      <c r="ULH67" s="137"/>
      <c r="ULI67" s="137"/>
      <c r="ULJ67" s="137"/>
      <c r="ULK67" s="137"/>
      <c r="ULL67" s="137"/>
      <c r="ULM67" s="137"/>
      <c r="ULN67" s="137"/>
      <c r="ULO67" s="137"/>
      <c r="ULP67" s="137"/>
      <c r="ULQ67" s="137"/>
      <c r="ULR67" s="137"/>
      <c r="ULS67" s="137"/>
      <c r="ULT67" s="137"/>
      <c r="ULU67" s="137"/>
      <c r="ULV67" s="137"/>
      <c r="ULW67" s="137"/>
      <c r="ULX67" s="137"/>
      <c r="ULY67" s="137"/>
      <c r="ULZ67" s="137"/>
      <c r="UMA67" s="137"/>
      <c r="UMB67" s="137"/>
      <c r="UMC67" s="137"/>
      <c r="UMD67" s="137"/>
      <c r="UME67" s="137"/>
      <c r="UMF67" s="137"/>
      <c r="UMG67" s="137"/>
      <c r="UMH67" s="137"/>
      <c r="UMI67" s="137"/>
      <c r="UMJ67" s="137"/>
      <c r="UMK67" s="137"/>
      <c r="UML67" s="137"/>
      <c r="UMM67" s="137"/>
      <c r="UMN67" s="137"/>
      <c r="UMO67" s="137"/>
      <c r="UMP67" s="137"/>
      <c r="UMQ67" s="137"/>
      <c r="UMR67" s="137"/>
      <c r="UMS67" s="137"/>
      <c r="UMT67" s="137"/>
      <c r="UMU67" s="137"/>
      <c r="UMV67" s="137"/>
      <c r="UMW67" s="137"/>
      <c r="UMX67" s="137"/>
      <c r="UMY67" s="137"/>
      <c r="UMZ67" s="137"/>
      <c r="UNA67" s="137"/>
      <c r="UNB67" s="137"/>
      <c r="UNC67" s="137"/>
      <c r="UND67" s="137"/>
      <c r="UNE67" s="137"/>
      <c r="UNF67" s="137"/>
      <c r="UNG67" s="137"/>
      <c r="UNH67" s="137"/>
      <c r="UNI67" s="137"/>
      <c r="UNJ67" s="137"/>
      <c r="UNK67" s="137"/>
      <c r="UNL67" s="137"/>
      <c r="UNM67" s="137"/>
      <c r="UNN67" s="137"/>
      <c r="UNO67" s="137"/>
      <c r="UNP67" s="137"/>
      <c r="UNQ67" s="137"/>
      <c r="UNR67" s="137"/>
      <c r="UNS67" s="137"/>
      <c r="UNT67" s="137"/>
      <c r="UNU67" s="137"/>
      <c r="UNV67" s="137"/>
      <c r="UNW67" s="137"/>
      <c r="UNX67" s="137"/>
      <c r="UNY67" s="137"/>
      <c r="UNZ67" s="137"/>
      <c r="UOA67" s="137"/>
      <c r="UOB67" s="137"/>
      <c r="UOC67" s="137"/>
      <c r="UOD67" s="137"/>
      <c r="UOE67" s="137"/>
      <c r="UOF67" s="137"/>
      <c r="UOG67" s="137"/>
      <c r="UOH67" s="137"/>
      <c r="UOI67" s="137"/>
      <c r="UOJ67" s="137"/>
      <c r="UOK67" s="137"/>
      <c r="UOL67" s="137"/>
      <c r="UOM67" s="137"/>
      <c r="UON67" s="137"/>
      <c r="UOO67" s="137"/>
      <c r="UOP67" s="137"/>
      <c r="UOQ67" s="137"/>
      <c r="UOR67" s="137"/>
      <c r="UOS67" s="137"/>
      <c r="UOT67" s="137"/>
      <c r="UOU67" s="137"/>
      <c r="UOV67" s="137"/>
      <c r="UOW67" s="137"/>
      <c r="UOX67" s="137"/>
      <c r="UOY67" s="137"/>
      <c r="UOZ67" s="137"/>
      <c r="UPA67" s="137"/>
      <c r="UPB67" s="137"/>
      <c r="UPC67" s="137"/>
      <c r="UPD67" s="137"/>
      <c r="UPE67" s="137"/>
      <c r="UPF67" s="137"/>
      <c r="UPG67" s="137"/>
      <c r="UPH67" s="137"/>
      <c r="UPI67" s="137"/>
      <c r="UPJ67" s="137"/>
      <c r="UPK67" s="137"/>
      <c r="UPL67" s="137"/>
      <c r="UPM67" s="137"/>
      <c r="UPN67" s="137"/>
      <c r="UPO67" s="137"/>
      <c r="UPP67" s="137"/>
      <c r="UPQ67" s="137"/>
      <c r="UPR67" s="137"/>
      <c r="UPS67" s="137"/>
      <c r="UPT67" s="137"/>
      <c r="UPU67" s="137"/>
      <c r="UPV67" s="137"/>
      <c r="UPW67" s="137"/>
      <c r="UPX67" s="137"/>
      <c r="UPY67" s="137"/>
      <c r="UPZ67" s="137"/>
      <c r="UQA67" s="137"/>
      <c r="UQB67" s="137"/>
      <c r="UQC67" s="137"/>
      <c r="UQD67" s="137"/>
      <c r="UQE67" s="137"/>
      <c r="UQF67" s="137"/>
      <c r="UQG67" s="137"/>
      <c r="UQH67" s="137"/>
      <c r="UQI67" s="137"/>
      <c r="UQJ67" s="137"/>
      <c r="UQK67" s="137"/>
      <c r="UQL67" s="137"/>
      <c r="UQM67" s="137"/>
      <c r="UQN67" s="137"/>
      <c r="UQO67" s="137"/>
      <c r="UQP67" s="137"/>
      <c r="UQQ67" s="137"/>
      <c r="UQR67" s="137"/>
      <c r="UQS67" s="137"/>
      <c r="UQT67" s="137"/>
      <c r="UQU67" s="137"/>
      <c r="UQV67" s="137"/>
      <c r="UQW67" s="137"/>
      <c r="UQX67" s="137"/>
      <c r="UQY67" s="137"/>
      <c r="UQZ67" s="137"/>
      <c r="URA67" s="137"/>
      <c r="URB67" s="137"/>
      <c r="URC67" s="137"/>
      <c r="URD67" s="137"/>
      <c r="URE67" s="137"/>
      <c r="URF67" s="137"/>
      <c r="URG67" s="137"/>
      <c r="URH67" s="137"/>
      <c r="URI67" s="137"/>
      <c r="URJ67" s="137"/>
      <c r="URK67" s="137"/>
      <c r="URL67" s="137"/>
      <c r="URM67" s="137"/>
      <c r="URN67" s="137"/>
      <c r="URO67" s="137"/>
      <c r="URP67" s="137"/>
      <c r="URQ67" s="137"/>
      <c r="URR67" s="137"/>
      <c r="URS67" s="137"/>
      <c r="URT67" s="137"/>
      <c r="URU67" s="137"/>
      <c r="URV67" s="137"/>
      <c r="URW67" s="137"/>
      <c r="URX67" s="137"/>
      <c r="URY67" s="137"/>
      <c r="URZ67" s="137"/>
      <c r="USA67" s="137"/>
      <c r="USB67" s="137"/>
      <c r="USC67" s="137"/>
      <c r="USD67" s="137"/>
      <c r="USE67" s="137"/>
      <c r="USF67" s="137"/>
      <c r="USG67" s="137"/>
      <c r="USH67" s="137"/>
      <c r="USI67" s="137"/>
      <c r="USJ67" s="137"/>
      <c r="USK67" s="137"/>
      <c r="USL67" s="137"/>
      <c r="USM67" s="137"/>
      <c r="USN67" s="137"/>
      <c r="USO67" s="137"/>
      <c r="USP67" s="137"/>
      <c r="USQ67" s="137"/>
      <c r="USR67" s="137"/>
      <c r="USS67" s="137"/>
      <c r="UST67" s="137"/>
      <c r="USU67" s="137"/>
      <c r="USV67" s="137"/>
      <c r="USW67" s="137"/>
      <c r="USX67" s="137"/>
      <c r="USY67" s="137"/>
      <c r="USZ67" s="137"/>
      <c r="UTA67" s="137"/>
      <c r="UTB67" s="137"/>
      <c r="UTC67" s="137"/>
      <c r="UTD67" s="137"/>
      <c r="UTE67" s="137"/>
      <c r="UTF67" s="137"/>
      <c r="UTG67" s="137"/>
      <c r="UTH67" s="137"/>
      <c r="UTI67" s="137"/>
      <c r="UTJ67" s="137"/>
      <c r="UTK67" s="137"/>
      <c r="UTL67" s="137"/>
      <c r="UTM67" s="137"/>
      <c r="UTN67" s="137"/>
      <c r="UTO67" s="137"/>
      <c r="UTP67" s="137"/>
      <c r="UTQ67" s="137"/>
      <c r="UTR67" s="137"/>
      <c r="UTS67" s="137"/>
      <c r="UTT67" s="137"/>
      <c r="UTU67" s="137"/>
      <c r="UTV67" s="137"/>
      <c r="UTW67" s="137"/>
      <c r="UTX67" s="137"/>
      <c r="UTY67" s="137"/>
      <c r="UTZ67" s="137"/>
      <c r="UUA67" s="137"/>
      <c r="UUB67" s="137"/>
      <c r="UUC67" s="137"/>
      <c r="UUD67" s="137"/>
      <c r="UUE67" s="137"/>
      <c r="UUF67" s="137"/>
      <c r="UUG67" s="137"/>
      <c r="UUH67" s="137"/>
      <c r="UUI67" s="137"/>
      <c r="UUJ67" s="137"/>
      <c r="UUK67" s="137"/>
      <c r="UUL67" s="137"/>
      <c r="UUM67" s="137"/>
      <c r="UUN67" s="137"/>
      <c r="UUO67" s="137"/>
      <c r="UUP67" s="137"/>
      <c r="UUQ67" s="137"/>
      <c r="UUR67" s="137"/>
      <c r="UUS67" s="137"/>
      <c r="UUT67" s="137"/>
      <c r="UUU67" s="137"/>
      <c r="UUV67" s="137"/>
      <c r="UUW67" s="137"/>
      <c r="UUX67" s="137"/>
      <c r="UUY67" s="137"/>
      <c r="UUZ67" s="137"/>
      <c r="UVA67" s="137"/>
      <c r="UVB67" s="137"/>
      <c r="UVC67" s="137"/>
      <c r="UVD67" s="137"/>
      <c r="UVE67" s="137"/>
      <c r="UVF67" s="137"/>
      <c r="UVG67" s="137"/>
      <c r="UVH67" s="137"/>
      <c r="UVI67" s="137"/>
      <c r="UVJ67" s="137"/>
      <c r="UVK67" s="137"/>
      <c r="UVL67" s="137"/>
      <c r="UVM67" s="137"/>
      <c r="UVN67" s="137"/>
      <c r="UVO67" s="137"/>
      <c r="UVP67" s="137"/>
      <c r="UVQ67" s="137"/>
      <c r="UVR67" s="137"/>
      <c r="UVS67" s="137"/>
      <c r="UVT67" s="137"/>
      <c r="UVU67" s="137"/>
      <c r="UVV67" s="137"/>
      <c r="UVW67" s="137"/>
      <c r="UVX67" s="137"/>
      <c r="UVY67" s="137"/>
      <c r="UVZ67" s="137"/>
      <c r="UWA67" s="137"/>
      <c r="UWB67" s="137"/>
      <c r="UWC67" s="137"/>
      <c r="UWD67" s="137"/>
      <c r="UWE67" s="137"/>
      <c r="UWF67" s="137"/>
      <c r="UWG67" s="137"/>
      <c r="UWH67" s="137"/>
      <c r="UWI67" s="137"/>
      <c r="UWJ67" s="137"/>
      <c r="UWK67" s="137"/>
      <c r="UWL67" s="137"/>
      <c r="UWM67" s="137"/>
      <c r="UWN67" s="137"/>
      <c r="UWO67" s="137"/>
      <c r="UWP67" s="137"/>
      <c r="UWQ67" s="137"/>
      <c r="UWR67" s="137"/>
      <c r="UWS67" s="137"/>
      <c r="UWT67" s="137"/>
      <c r="UWU67" s="137"/>
      <c r="UWV67" s="137"/>
      <c r="UWW67" s="137"/>
      <c r="UWX67" s="137"/>
      <c r="UWY67" s="137"/>
      <c r="UWZ67" s="137"/>
      <c r="UXA67" s="137"/>
      <c r="UXB67" s="137"/>
      <c r="UXC67" s="137"/>
      <c r="UXD67" s="137"/>
      <c r="UXE67" s="137"/>
      <c r="UXF67" s="137"/>
      <c r="UXG67" s="137"/>
      <c r="UXH67" s="137"/>
      <c r="UXI67" s="137"/>
      <c r="UXJ67" s="137"/>
      <c r="UXK67" s="137"/>
      <c r="UXL67" s="137"/>
      <c r="UXM67" s="137"/>
      <c r="UXN67" s="137"/>
      <c r="UXO67" s="137"/>
      <c r="UXP67" s="137"/>
      <c r="UXQ67" s="137"/>
      <c r="UXR67" s="137"/>
      <c r="UXS67" s="137"/>
      <c r="UXT67" s="137"/>
      <c r="UXU67" s="137"/>
      <c r="UXV67" s="137"/>
      <c r="UXW67" s="137"/>
      <c r="UXX67" s="137"/>
      <c r="UXY67" s="137"/>
      <c r="UXZ67" s="137"/>
      <c r="UYA67" s="137"/>
      <c r="UYB67" s="137"/>
      <c r="UYC67" s="137"/>
      <c r="UYD67" s="137"/>
      <c r="UYE67" s="137"/>
      <c r="UYF67" s="137"/>
      <c r="UYG67" s="137"/>
      <c r="UYH67" s="137"/>
      <c r="UYI67" s="137"/>
      <c r="UYJ67" s="137"/>
      <c r="UYK67" s="137"/>
      <c r="UYL67" s="137"/>
      <c r="UYM67" s="137"/>
      <c r="UYN67" s="137"/>
      <c r="UYO67" s="137"/>
      <c r="UYP67" s="137"/>
      <c r="UYQ67" s="137"/>
      <c r="UYR67" s="137"/>
      <c r="UYS67" s="137"/>
      <c r="UYT67" s="137"/>
      <c r="UYU67" s="137"/>
      <c r="UYV67" s="137"/>
      <c r="UYW67" s="137"/>
      <c r="UYX67" s="137"/>
      <c r="UYY67" s="137"/>
      <c r="UYZ67" s="137"/>
      <c r="UZA67" s="137"/>
      <c r="UZB67" s="137"/>
      <c r="UZC67" s="137"/>
      <c r="UZD67" s="137"/>
      <c r="UZE67" s="137"/>
      <c r="UZF67" s="137"/>
      <c r="UZG67" s="137"/>
      <c r="UZH67" s="137"/>
      <c r="UZI67" s="137"/>
      <c r="UZJ67" s="137"/>
      <c r="UZK67" s="137"/>
      <c r="UZL67" s="137"/>
      <c r="UZM67" s="137"/>
      <c r="UZN67" s="137"/>
      <c r="UZO67" s="137"/>
      <c r="UZP67" s="137"/>
      <c r="UZQ67" s="137"/>
      <c r="UZR67" s="137"/>
      <c r="UZS67" s="137"/>
      <c r="UZT67" s="137"/>
      <c r="UZU67" s="137"/>
      <c r="UZV67" s="137"/>
      <c r="UZW67" s="137"/>
      <c r="UZX67" s="137"/>
      <c r="UZY67" s="137"/>
      <c r="UZZ67" s="137"/>
      <c r="VAA67" s="137"/>
      <c r="VAB67" s="137"/>
      <c r="VAC67" s="137"/>
      <c r="VAD67" s="137"/>
      <c r="VAE67" s="137"/>
      <c r="VAF67" s="137"/>
      <c r="VAG67" s="137"/>
      <c r="VAH67" s="137"/>
      <c r="VAI67" s="137"/>
      <c r="VAJ67" s="137"/>
      <c r="VAK67" s="137"/>
      <c r="VAL67" s="137"/>
      <c r="VAM67" s="137"/>
      <c r="VAN67" s="137"/>
      <c r="VAO67" s="137"/>
      <c r="VAP67" s="137"/>
      <c r="VAQ67" s="137"/>
      <c r="VAR67" s="137"/>
      <c r="VAS67" s="137"/>
      <c r="VAT67" s="137"/>
      <c r="VAU67" s="137"/>
      <c r="VAV67" s="137"/>
      <c r="VAW67" s="137"/>
      <c r="VAX67" s="137"/>
      <c r="VAY67" s="137"/>
      <c r="VAZ67" s="137"/>
      <c r="VBA67" s="137"/>
      <c r="VBB67" s="137"/>
      <c r="VBC67" s="137"/>
      <c r="VBD67" s="137"/>
      <c r="VBE67" s="137"/>
      <c r="VBF67" s="137"/>
      <c r="VBG67" s="137"/>
      <c r="VBH67" s="137"/>
      <c r="VBI67" s="137"/>
      <c r="VBJ67" s="137"/>
      <c r="VBK67" s="137"/>
      <c r="VBL67" s="137"/>
      <c r="VBM67" s="137"/>
      <c r="VBN67" s="137"/>
      <c r="VBO67" s="137"/>
      <c r="VBP67" s="137"/>
      <c r="VBQ67" s="137"/>
      <c r="VBR67" s="137"/>
      <c r="VBS67" s="137"/>
      <c r="VBT67" s="137"/>
      <c r="VBU67" s="137"/>
      <c r="VBV67" s="137"/>
      <c r="VBW67" s="137"/>
      <c r="VBX67" s="137"/>
      <c r="VBY67" s="137"/>
      <c r="VBZ67" s="137"/>
      <c r="VCA67" s="137"/>
      <c r="VCB67" s="137"/>
      <c r="VCC67" s="137"/>
      <c r="VCD67" s="137"/>
      <c r="VCE67" s="137"/>
      <c r="VCF67" s="137"/>
      <c r="VCG67" s="137"/>
      <c r="VCH67" s="137"/>
      <c r="VCI67" s="137"/>
      <c r="VCJ67" s="137"/>
      <c r="VCK67" s="137"/>
      <c r="VCL67" s="137"/>
      <c r="VCM67" s="137"/>
      <c r="VCN67" s="137"/>
      <c r="VCO67" s="137"/>
      <c r="VCP67" s="137"/>
      <c r="VCQ67" s="137"/>
      <c r="VCR67" s="137"/>
      <c r="VCS67" s="137"/>
      <c r="VCT67" s="137"/>
      <c r="VCU67" s="137"/>
      <c r="VCV67" s="137"/>
      <c r="VCW67" s="137"/>
      <c r="VCX67" s="137"/>
      <c r="VCY67" s="137"/>
      <c r="VCZ67" s="137"/>
      <c r="VDA67" s="137"/>
      <c r="VDB67" s="137"/>
      <c r="VDC67" s="137"/>
      <c r="VDD67" s="137"/>
      <c r="VDE67" s="137"/>
      <c r="VDF67" s="137"/>
      <c r="VDG67" s="137"/>
      <c r="VDH67" s="137"/>
      <c r="VDI67" s="137"/>
      <c r="VDJ67" s="137"/>
      <c r="VDK67" s="137"/>
      <c r="VDL67" s="137"/>
      <c r="VDM67" s="137"/>
      <c r="VDN67" s="137"/>
      <c r="VDO67" s="137"/>
      <c r="VDP67" s="137"/>
      <c r="VDQ67" s="137"/>
      <c r="VDR67" s="137"/>
      <c r="VDS67" s="137"/>
      <c r="VDT67" s="137"/>
      <c r="VDU67" s="137"/>
      <c r="VDV67" s="137"/>
      <c r="VDW67" s="137"/>
      <c r="VDX67" s="137"/>
      <c r="VDY67" s="137"/>
      <c r="VDZ67" s="137"/>
      <c r="VEA67" s="137"/>
      <c r="VEB67" s="137"/>
      <c r="VEC67" s="137"/>
      <c r="VED67" s="137"/>
      <c r="VEE67" s="137"/>
      <c r="VEF67" s="137"/>
      <c r="VEG67" s="137"/>
      <c r="VEH67" s="137"/>
      <c r="VEI67" s="137"/>
      <c r="VEJ67" s="137"/>
      <c r="VEK67" s="137"/>
      <c r="VEL67" s="137"/>
      <c r="VEM67" s="137"/>
      <c r="VEN67" s="137"/>
      <c r="VEO67" s="137"/>
      <c r="VEP67" s="137"/>
      <c r="VEQ67" s="137"/>
      <c r="VER67" s="137"/>
      <c r="VES67" s="137"/>
      <c r="VET67" s="137"/>
      <c r="VEU67" s="137"/>
      <c r="VEV67" s="137"/>
      <c r="VEW67" s="137"/>
      <c r="VEX67" s="137"/>
      <c r="VEY67" s="137"/>
      <c r="VEZ67" s="137"/>
      <c r="VFA67" s="137"/>
      <c r="VFB67" s="137"/>
      <c r="VFC67" s="137"/>
      <c r="VFD67" s="137"/>
      <c r="VFE67" s="137"/>
      <c r="VFF67" s="137"/>
      <c r="VFG67" s="137"/>
      <c r="VFH67" s="137"/>
      <c r="VFI67" s="137"/>
      <c r="VFJ67" s="137"/>
      <c r="VFK67" s="137"/>
      <c r="VFL67" s="137"/>
      <c r="VFM67" s="137"/>
      <c r="VFN67" s="137"/>
      <c r="VFO67" s="137"/>
      <c r="VFP67" s="137"/>
      <c r="VFQ67" s="137"/>
      <c r="VFR67" s="137"/>
      <c r="VFS67" s="137"/>
      <c r="VFT67" s="137"/>
      <c r="VFU67" s="137"/>
      <c r="VFV67" s="137"/>
      <c r="VFW67" s="137"/>
      <c r="VFX67" s="137"/>
      <c r="VFY67" s="137"/>
      <c r="VFZ67" s="137"/>
      <c r="VGA67" s="137"/>
      <c r="VGB67" s="137"/>
      <c r="VGC67" s="137"/>
      <c r="VGD67" s="137"/>
      <c r="VGE67" s="137"/>
      <c r="VGF67" s="137"/>
      <c r="VGG67" s="137"/>
      <c r="VGH67" s="137"/>
      <c r="VGI67" s="137"/>
      <c r="VGJ67" s="137"/>
      <c r="VGK67" s="137"/>
      <c r="VGL67" s="137"/>
      <c r="VGM67" s="137"/>
      <c r="VGN67" s="137"/>
      <c r="VGO67" s="137"/>
      <c r="VGP67" s="137"/>
      <c r="VGQ67" s="137"/>
      <c r="VGR67" s="137"/>
      <c r="VGS67" s="137"/>
      <c r="VGT67" s="137"/>
      <c r="VGU67" s="137"/>
      <c r="VGV67" s="137"/>
      <c r="VGW67" s="137"/>
      <c r="VGX67" s="137"/>
      <c r="VGY67" s="137"/>
      <c r="VGZ67" s="137"/>
      <c r="VHA67" s="137"/>
      <c r="VHB67" s="137"/>
      <c r="VHC67" s="137"/>
      <c r="VHD67" s="137"/>
      <c r="VHE67" s="137"/>
      <c r="VHF67" s="137"/>
      <c r="VHG67" s="137"/>
      <c r="VHH67" s="137"/>
      <c r="VHI67" s="137"/>
      <c r="VHJ67" s="137"/>
      <c r="VHK67" s="137"/>
      <c r="VHL67" s="137"/>
      <c r="VHM67" s="137"/>
      <c r="VHN67" s="137"/>
      <c r="VHO67" s="137"/>
      <c r="VHP67" s="137"/>
      <c r="VHQ67" s="137"/>
      <c r="VHR67" s="137"/>
      <c r="VHS67" s="137"/>
      <c r="VHT67" s="137"/>
      <c r="VHU67" s="137"/>
      <c r="VHV67" s="137"/>
      <c r="VHW67" s="137"/>
      <c r="VHX67" s="137"/>
      <c r="VHY67" s="137"/>
      <c r="VHZ67" s="137"/>
      <c r="VIA67" s="137"/>
      <c r="VIB67" s="137"/>
      <c r="VIC67" s="137"/>
      <c r="VID67" s="137"/>
      <c r="VIE67" s="137"/>
      <c r="VIF67" s="137"/>
      <c r="VIG67" s="137"/>
      <c r="VIH67" s="137"/>
      <c r="VII67" s="137"/>
      <c r="VIJ67" s="137"/>
      <c r="VIK67" s="137"/>
      <c r="VIL67" s="137"/>
      <c r="VIM67" s="137"/>
      <c r="VIN67" s="137"/>
      <c r="VIO67" s="137"/>
      <c r="VIP67" s="137"/>
      <c r="VIQ67" s="137"/>
      <c r="VIR67" s="137"/>
      <c r="VIS67" s="137"/>
      <c r="VIT67" s="137"/>
      <c r="VIU67" s="137"/>
      <c r="VIV67" s="137"/>
      <c r="VIW67" s="137"/>
      <c r="VIX67" s="137"/>
      <c r="VIY67" s="137"/>
      <c r="VIZ67" s="137"/>
      <c r="VJA67" s="137"/>
      <c r="VJB67" s="137"/>
      <c r="VJC67" s="137"/>
      <c r="VJD67" s="137"/>
      <c r="VJE67" s="137"/>
      <c r="VJF67" s="137"/>
      <c r="VJG67" s="137"/>
      <c r="VJH67" s="137"/>
      <c r="VJI67" s="137"/>
      <c r="VJJ67" s="137"/>
      <c r="VJK67" s="137"/>
      <c r="VJL67" s="137"/>
      <c r="VJM67" s="137"/>
      <c r="VJN67" s="137"/>
      <c r="VJO67" s="137"/>
      <c r="VJP67" s="137"/>
      <c r="VJQ67" s="137"/>
      <c r="VJR67" s="137"/>
      <c r="VJS67" s="137"/>
      <c r="VJT67" s="137"/>
      <c r="VJU67" s="137"/>
      <c r="VJV67" s="137"/>
      <c r="VJW67" s="137"/>
      <c r="VJX67" s="137"/>
      <c r="VJY67" s="137"/>
      <c r="VJZ67" s="137"/>
      <c r="VKA67" s="137"/>
      <c r="VKB67" s="137"/>
      <c r="VKC67" s="137"/>
      <c r="VKD67" s="137"/>
      <c r="VKE67" s="137"/>
      <c r="VKF67" s="137"/>
      <c r="VKG67" s="137"/>
      <c r="VKH67" s="137"/>
      <c r="VKI67" s="137"/>
      <c r="VKJ67" s="137"/>
      <c r="VKK67" s="137"/>
      <c r="VKL67" s="137"/>
      <c r="VKM67" s="137"/>
      <c r="VKN67" s="137"/>
      <c r="VKO67" s="137"/>
      <c r="VKP67" s="137"/>
      <c r="VKQ67" s="137"/>
      <c r="VKR67" s="137"/>
      <c r="VKS67" s="137"/>
      <c r="VKT67" s="137"/>
      <c r="VKU67" s="137"/>
      <c r="VKV67" s="137"/>
      <c r="VKW67" s="137"/>
      <c r="VKX67" s="137"/>
      <c r="VKY67" s="137"/>
      <c r="VKZ67" s="137"/>
      <c r="VLA67" s="137"/>
      <c r="VLB67" s="137"/>
      <c r="VLC67" s="137"/>
      <c r="VLD67" s="137"/>
      <c r="VLE67" s="137"/>
      <c r="VLF67" s="137"/>
      <c r="VLG67" s="137"/>
      <c r="VLH67" s="137"/>
      <c r="VLI67" s="137"/>
      <c r="VLJ67" s="137"/>
      <c r="VLK67" s="137"/>
      <c r="VLL67" s="137"/>
      <c r="VLM67" s="137"/>
      <c r="VLN67" s="137"/>
      <c r="VLO67" s="137"/>
      <c r="VLP67" s="137"/>
      <c r="VLQ67" s="137"/>
      <c r="VLR67" s="137"/>
      <c r="VLS67" s="137"/>
      <c r="VLT67" s="137"/>
      <c r="VLU67" s="137"/>
      <c r="VLV67" s="137"/>
      <c r="VLW67" s="137"/>
      <c r="VLX67" s="137"/>
      <c r="VLY67" s="137"/>
      <c r="VLZ67" s="137"/>
      <c r="VMA67" s="137"/>
      <c r="VMB67" s="137"/>
      <c r="VMC67" s="137"/>
      <c r="VMD67" s="137"/>
      <c r="VME67" s="137"/>
      <c r="VMF67" s="137"/>
      <c r="VMG67" s="137"/>
      <c r="VMH67" s="137"/>
      <c r="VMI67" s="137"/>
      <c r="VMJ67" s="137"/>
      <c r="VMK67" s="137"/>
      <c r="VML67" s="137"/>
      <c r="VMM67" s="137"/>
      <c r="VMN67" s="137"/>
      <c r="VMO67" s="137"/>
      <c r="VMP67" s="137"/>
      <c r="VMQ67" s="137"/>
      <c r="VMR67" s="137"/>
      <c r="VMS67" s="137"/>
      <c r="VMT67" s="137"/>
      <c r="VMU67" s="137"/>
      <c r="VMV67" s="137"/>
      <c r="VMW67" s="137"/>
      <c r="VMX67" s="137"/>
      <c r="VMY67" s="137"/>
      <c r="VMZ67" s="137"/>
      <c r="VNA67" s="137"/>
      <c r="VNB67" s="137"/>
      <c r="VNC67" s="137"/>
      <c r="VND67" s="137"/>
      <c r="VNE67" s="137"/>
      <c r="VNF67" s="137"/>
      <c r="VNG67" s="137"/>
      <c r="VNH67" s="137"/>
      <c r="VNI67" s="137"/>
      <c r="VNJ67" s="137"/>
      <c r="VNK67" s="137"/>
      <c r="VNL67" s="137"/>
      <c r="VNM67" s="137"/>
      <c r="VNN67" s="137"/>
      <c r="VNO67" s="137"/>
      <c r="VNP67" s="137"/>
      <c r="VNQ67" s="137"/>
      <c r="VNR67" s="137"/>
      <c r="VNS67" s="137"/>
      <c r="VNT67" s="137"/>
      <c r="VNU67" s="137"/>
      <c r="VNV67" s="137"/>
      <c r="VNW67" s="137"/>
      <c r="VNX67" s="137"/>
      <c r="VNY67" s="137"/>
      <c r="VNZ67" s="137"/>
      <c r="VOA67" s="137"/>
      <c r="VOB67" s="137"/>
      <c r="VOC67" s="137"/>
      <c r="VOD67" s="137"/>
      <c r="VOE67" s="137"/>
      <c r="VOF67" s="137"/>
      <c r="VOG67" s="137"/>
      <c r="VOH67" s="137"/>
      <c r="VOI67" s="137"/>
      <c r="VOJ67" s="137"/>
      <c r="VOK67" s="137"/>
      <c r="VOL67" s="137"/>
      <c r="VOM67" s="137"/>
      <c r="VON67" s="137"/>
      <c r="VOO67" s="137"/>
      <c r="VOP67" s="137"/>
      <c r="VOQ67" s="137"/>
      <c r="VOR67" s="137"/>
      <c r="VOS67" s="137"/>
      <c r="VOT67" s="137"/>
      <c r="VOU67" s="137"/>
      <c r="VOV67" s="137"/>
      <c r="VOW67" s="137"/>
      <c r="VOX67" s="137"/>
      <c r="VOY67" s="137"/>
      <c r="VOZ67" s="137"/>
      <c r="VPA67" s="137"/>
      <c r="VPB67" s="137"/>
      <c r="VPC67" s="137"/>
      <c r="VPD67" s="137"/>
      <c r="VPE67" s="137"/>
      <c r="VPF67" s="137"/>
      <c r="VPG67" s="137"/>
      <c r="VPH67" s="137"/>
      <c r="VPI67" s="137"/>
      <c r="VPJ67" s="137"/>
      <c r="VPK67" s="137"/>
      <c r="VPL67" s="137"/>
      <c r="VPM67" s="137"/>
      <c r="VPN67" s="137"/>
      <c r="VPO67" s="137"/>
      <c r="VPP67" s="137"/>
      <c r="VPQ67" s="137"/>
      <c r="VPR67" s="137"/>
      <c r="VPS67" s="137"/>
      <c r="VPT67" s="137"/>
      <c r="VPU67" s="137"/>
      <c r="VPV67" s="137"/>
      <c r="VPW67" s="137"/>
      <c r="VPX67" s="137"/>
      <c r="VPY67" s="137"/>
      <c r="VPZ67" s="137"/>
      <c r="VQA67" s="137"/>
      <c r="VQB67" s="137"/>
      <c r="VQC67" s="137"/>
      <c r="VQD67" s="137"/>
      <c r="VQE67" s="137"/>
      <c r="VQF67" s="137"/>
      <c r="VQG67" s="137"/>
      <c r="VQH67" s="137"/>
      <c r="VQI67" s="137"/>
      <c r="VQJ67" s="137"/>
      <c r="VQK67" s="137"/>
      <c r="VQL67" s="137"/>
      <c r="VQM67" s="137"/>
      <c r="VQN67" s="137"/>
      <c r="VQO67" s="137"/>
      <c r="VQP67" s="137"/>
      <c r="VQQ67" s="137"/>
      <c r="VQR67" s="137"/>
      <c r="VQS67" s="137"/>
      <c r="VQT67" s="137"/>
      <c r="VQU67" s="137"/>
      <c r="VQV67" s="137"/>
      <c r="VQW67" s="137"/>
      <c r="VQX67" s="137"/>
      <c r="VQY67" s="137"/>
      <c r="VQZ67" s="137"/>
      <c r="VRA67" s="137"/>
      <c r="VRB67" s="137"/>
      <c r="VRC67" s="137"/>
      <c r="VRD67" s="137"/>
      <c r="VRE67" s="137"/>
      <c r="VRF67" s="137"/>
      <c r="VRG67" s="137"/>
      <c r="VRH67" s="137"/>
      <c r="VRI67" s="137"/>
      <c r="VRJ67" s="137"/>
      <c r="VRK67" s="137"/>
      <c r="VRL67" s="137"/>
      <c r="VRM67" s="137"/>
      <c r="VRN67" s="137"/>
      <c r="VRO67" s="137"/>
      <c r="VRP67" s="137"/>
      <c r="VRQ67" s="137"/>
      <c r="VRR67" s="137"/>
      <c r="VRS67" s="137"/>
      <c r="VRT67" s="137"/>
      <c r="VRU67" s="137"/>
      <c r="VRV67" s="137"/>
      <c r="VRW67" s="137"/>
      <c r="VRX67" s="137"/>
      <c r="VRY67" s="137"/>
      <c r="VRZ67" s="137"/>
      <c r="VSA67" s="137"/>
      <c r="VSB67" s="137"/>
      <c r="VSC67" s="137"/>
      <c r="VSD67" s="137"/>
      <c r="VSE67" s="137"/>
      <c r="VSF67" s="137"/>
      <c r="VSG67" s="137"/>
      <c r="VSH67" s="137"/>
      <c r="VSI67" s="137"/>
      <c r="VSJ67" s="137"/>
      <c r="VSK67" s="137"/>
      <c r="VSL67" s="137"/>
      <c r="VSM67" s="137"/>
      <c r="VSN67" s="137"/>
      <c r="VSO67" s="137"/>
      <c r="VSP67" s="137"/>
      <c r="VSQ67" s="137"/>
      <c r="VSR67" s="137"/>
      <c r="VSS67" s="137"/>
      <c r="VST67" s="137"/>
      <c r="VSU67" s="137"/>
      <c r="VSV67" s="137"/>
      <c r="VSW67" s="137"/>
      <c r="VSX67" s="137"/>
      <c r="VSY67" s="137"/>
      <c r="VSZ67" s="137"/>
      <c r="VTA67" s="137"/>
      <c r="VTB67" s="137"/>
      <c r="VTC67" s="137"/>
      <c r="VTD67" s="137"/>
      <c r="VTE67" s="137"/>
      <c r="VTF67" s="137"/>
      <c r="VTG67" s="137"/>
      <c r="VTH67" s="137"/>
      <c r="VTI67" s="137"/>
      <c r="VTJ67" s="137"/>
      <c r="VTK67" s="137"/>
      <c r="VTL67" s="137"/>
      <c r="VTM67" s="137"/>
      <c r="VTN67" s="137"/>
      <c r="VTO67" s="137"/>
      <c r="VTP67" s="137"/>
      <c r="VTQ67" s="137"/>
      <c r="VTR67" s="137"/>
      <c r="VTS67" s="137"/>
      <c r="VTT67" s="137"/>
      <c r="VTU67" s="137"/>
      <c r="VTV67" s="137"/>
      <c r="VTW67" s="137"/>
      <c r="VTX67" s="137"/>
      <c r="VTY67" s="137"/>
      <c r="VTZ67" s="137"/>
      <c r="VUA67" s="137"/>
      <c r="VUB67" s="137"/>
      <c r="VUC67" s="137"/>
      <c r="VUD67" s="137"/>
      <c r="VUE67" s="137"/>
      <c r="VUF67" s="137"/>
      <c r="VUG67" s="137"/>
      <c r="VUH67" s="137"/>
      <c r="VUI67" s="137"/>
      <c r="VUJ67" s="137"/>
      <c r="VUK67" s="137"/>
      <c r="VUL67" s="137"/>
      <c r="VUM67" s="137"/>
      <c r="VUN67" s="137"/>
      <c r="VUO67" s="137"/>
      <c r="VUP67" s="137"/>
      <c r="VUQ67" s="137"/>
      <c r="VUR67" s="137"/>
      <c r="VUS67" s="137"/>
      <c r="VUT67" s="137"/>
      <c r="VUU67" s="137"/>
      <c r="VUV67" s="137"/>
      <c r="VUW67" s="137"/>
      <c r="VUX67" s="137"/>
      <c r="VUY67" s="137"/>
      <c r="VUZ67" s="137"/>
      <c r="VVA67" s="137"/>
      <c r="VVB67" s="137"/>
      <c r="VVC67" s="137"/>
      <c r="VVD67" s="137"/>
      <c r="VVE67" s="137"/>
      <c r="VVF67" s="137"/>
      <c r="VVG67" s="137"/>
      <c r="VVH67" s="137"/>
      <c r="VVI67" s="137"/>
      <c r="VVJ67" s="137"/>
      <c r="VVK67" s="137"/>
      <c r="VVL67" s="137"/>
      <c r="VVM67" s="137"/>
      <c r="VVN67" s="137"/>
      <c r="VVO67" s="137"/>
      <c r="VVP67" s="137"/>
      <c r="VVQ67" s="137"/>
      <c r="VVR67" s="137"/>
      <c r="VVS67" s="137"/>
      <c r="VVT67" s="137"/>
      <c r="VVU67" s="137"/>
      <c r="VVV67" s="137"/>
      <c r="VVW67" s="137"/>
      <c r="VVX67" s="137"/>
      <c r="VVY67" s="137"/>
      <c r="VVZ67" s="137"/>
      <c r="VWA67" s="137"/>
      <c r="VWB67" s="137"/>
      <c r="VWC67" s="137"/>
      <c r="VWD67" s="137"/>
      <c r="VWE67" s="137"/>
      <c r="VWF67" s="137"/>
      <c r="VWG67" s="137"/>
      <c r="VWH67" s="137"/>
      <c r="VWI67" s="137"/>
      <c r="VWJ67" s="137"/>
      <c r="VWK67" s="137"/>
      <c r="VWL67" s="137"/>
      <c r="VWM67" s="137"/>
      <c r="VWN67" s="137"/>
      <c r="VWO67" s="137"/>
      <c r="VWP67" s="137"/>
      <c r="VWQ67" s="137"/>
      <c r="VWR67" s="137"/>
      <c r="VWS67" s="137"/>
      <c r="VWT67" s="137"/>
      <c r="VWU67" s="137"/>
      <c r="VWV67" s="137"/>
      <c r="VWW67" s="137"/>
      <c r="VWX67" s="137"/>
      <c r="VWY67" s="137"/>
      <c r="VWZ67" s="137"/>
      <c r="VXA67" s="137"/>
      <c r="VXB67" s="137"/>
      <c r="VXC67" s="137"/>
      <c r="VXD67" s="137"/>
      <c r="VXE67" s="137"/>
      <c r="VXF67" s="137"/>
      <c r="VXG67" s="137"/>
      <c r="VXH67" s="137"/>
      <c r="VXI67" s="137"/>
      <c r="VXJ67" s="137"/>
      <c r="VXK67" s="137"/>
      <c r="VXL67" s="137"/>
      <c r="VXM67" s="137"/>
      <c r="VXN67" s="137"/>
      <c r="VXO67" s="137"/>
      <c r="VXP67" s="137"/>
      <c r="VXQ67" s="137"/>
      <c r="VXR67" s="137"/>
      <c r="VXS67" s="137"/>
      <c r="VXT67" s="137"/>
      <c r="VXU67" s="137"/>
      <c r="VXV67" s="137"/>
      <c r="VXW67" s="137"/>
      <c r="VXX67" s="137"/>
      <c r="VXY67" s="137"/>
      <c r="VXZ67" s="137"/>
      <c r="VYA67" s="137"/>
      <c r="VYB67" s="137"/>
      <c r="VYC67" s="137"/>
      <c r="VYD67" s="137"/>
      <c r="VYE67" s="137"/>
      <c r="VYF67" s="137"/>
      <c r="VYG67" s="137"/>
      <c r="VYH67" s="137"/>
      <c r="VYI67" s="137"/>
      <c r="VYJ67" s="137"/>
      <c r="VYK67" s="137"/>
      <c r="VYL67" s="137"/>
      <c r="VYM67" s="137"/>
      <c r="VYN67" s="137"/>
      <c r="VYO67" s="137"/>
      <c r="VYP67" s="137"/>
      <c r="VYQ67" s="137"/>
      <c r="VYR67" s="137"/>
      <c r="VYS67" s="137"/>
      <c r="VYT67" s="137"/>
      <c r="VYU67" s="137"/>
      <c r="VYV67" s="137"/>
      <c r="VYW67" s="137"/>
      <c r="VYX67" s="137"/>
      <c r="VYY67" s="137"/>
      <c r="VYZ67" s="137"/>
      <c r="VZA67" s="137"/>
      <c r="VZB67" s="137"/>
      <c r="VZC67" s="137"/>
      <c r="VZD67" s="137"/>
      <c r="VZE67" s="137"/>
      <c r="VZF67" s="137"/>
      <c r="VZG67" s="137"/>
      <c r="VZH67" s="137"/>
      <c r="VZI67" s="137"/>
      <c r="VZJ67" s="137"/>
      <c r="VZK67" s="137"/>
      <c r="VZL67" s="137"/>
      <c r="VZM67" s="137"/>
      <c r="VZN67" s="137"/>
      <c r="VZO67" s="137"/>
      <c r="VZP67" s="137"/>
      <c r="VZQ67" s="137"/>
      <c r="VZR67" s="137"/>
      <c r="VZS67" s="137"/>
      <c r="VZT67" s="137"/>
      <c r="VZU67" s="137"/>
      <c r="VZV67" s="137"/>
      <c r="VZW67" s="137"/>
      <c r="VZX67" s="137"/>
      <c r="VZY67" s="137"/>
      <c r="VZZ67" s="137"/>
      <c r="WAA67" s="137"/>
      <c r="WAB67" s="137"/>
      <c r="WAC67" s="137"/>
      <c r="WAD67" s="137"/>
      <c r="WAE67" s="137"/>
      <c r="WAF67" s="137"/>
      <c r="WAG67" s="137"/>
      <c r="WAH67" s="137"/>
      <c r="WAI67" s="137"/>
      <c r="WAJ67" s="137"/>
      <c r="WAK67" s="137"/>
      <c r="WAL67" s="137"/>
      <c r="WAM67" s="137"/>
      <c r="WAN67" s="137"/>
      <c r="WAO67" s="137"/>
      <c r="WAP67" s="137"/>
      <c r="WAQ67" s="137"/>
      <c r="WAR67" s="137"/>
      <c r="WAS67" s="137"/>
      <c r="WAT67" s="137"/>
      <c r="WAU67" s="137"/>
      <c r="WAV67" s="137"/>
      <c r="WAW67" s="137"/>
      <c r="WAX67" s="137"/>
      <c r="WAY67" s="137"/>
      <c r="WAZ67" s="137"/>
      <c r="WBA67" s="137"/>
      <c r="WBB67" s="137"/>
      <c r="WBC67" s="137"/>
      <c r="WBD67" s="137"/>
      <c r="WBE67" s="137"/>
      <c r="WBF67" s="137"/>
      <c r="WBG67" s="137"/>
      <c r="WBH67" s="137"/>
      <c r="WBI67" s="137"/>
      <c r="WBJ67" s="137"/>
      <c r="WBK67" s="137"/>
      <c r="WBL67" s="137"/>
      <c r="WBM67" s="137"/>
      <c r="WBN67" s="137"/>
      <c r="WBO67" s="137"/>
      <c r="WBP67" s="137"/>
      <c r="WBQ67" s="137"/>
      <c r="WBR67" s="137"/>
      <c r="WBS67" s="137"/>
      <c r="WBT67" s="137"/>
      <c r="WBU67" s="137"/>
      <c r="WBV67" s="137"/>
      <c r="WBW67" s="137"/>
      <c r="WBX67" s="137"/>
      <c r="WBY67" s="137"/>
      <c r="WBZ67" s="137"/>
      <c r="WCA67" s="137"/>
      <c r="WCB67" s="137"/>
      <c r="WCC67" s="137"/>
      <c r="WCD67" s="137"/>
      <c r="WCE67" s="137"/>
      <c r="WCF67" s="137"/>
      <c r="WCG67" s="137"/>
      <c r="WCH67" s="137"/>
      <c r="WCI67" s="137"/>
      <c r="WCJ67" s="137"/>
      <c r="WCK67" s="137"/>
      <c r="WCL67" s="137"/>
      <c r="WCM67" s="137"/>
      <c r="WCN67" s="137"/>
      <c r="WCO67" s="137"/>
      <c r="WCP67" s="137"/>
      <c r="WCQ67" s="137"/>
      <c r="WCR67" s="137"/>
      <c r="WCS67" s="137"/>
      <c r="WCT67" s="137"/>
      <c r="WCU67" s="137"/>
      <c r="WCV67" s="137"/>
      <c r="WCW67" s="137"/>
      <c r="WCX67" s="137"/>
      <c r="WCY67" s="137"/>
      <c r="WCZ67" s="137"/>
      <c r="WDA67" s="137"/>
      <c r="WDB67" s="137"/>
      <c r="WDC67" s="137"/>
      <c r="WDD67" s="137"/>
      <c r="WDE67" s="137"/>
      <c r="WDF67" s="137"/>
      <c r="WDG67" s="137"/>
      <c r="WDH67" s="137"/>
      <c r="WDI67" s="137"/>
      <c r="WDJ67" s="137"/>
      <c r="WDK67" s="137"/>
      <c r="WDL67" s="137"/>
      <c r="WDM67" s="137"/>
      <c r="WDN67" s="137"/>
      <c r="WDO67" s="137"/>
      <c r="WDP67" s="137"/>
      <c r="WDQ67" s="137"/>
      <c r="WDR67" s="137"/>
      <c r="WDS67" s="137"/>
      <c r="WDT67" s="137"/>
      <c r="WDU67" s="137"/>
      <c r="WDV67" s="137"/>
      <c r="WDW67" s="137"/>
      <c r="WDX67" s="137"/>
      <c r="WDY67" s="137"/>
      <c r="WDZ67" s="137"/>
      <c r="WEA67" s="137"/>
      <c r="WEB67" s="137"/>
      <c r="WEC67" s="137"/>
      <c r="WED67" s="137"/>
      <c r="WEE67" s="137"/>
      <c r="WEF67" s="137"/>
      <c r="WEG67" s="137"/>
      <c r="WEH67" s="137"/>
      <c r="WEI67" s="137"/>
      <c r="WEJ67" s="137"/>
      <c r="WEK67" s="137"/>
      <c r="WEL67" s="137"/>
      <c r="WEM67" s="137"/>
      <c r="WEN67" s="137"/>
      <c r="WEO67" s="137"/>
      <c r="WEP67" s="137"/>
      <c r="WEQ67" s="137"/>
      <c r="WER67" s="137"/>
      <c r="WES67" s="137"/>
      <c r="WET67" s="137"/>
      <c r="WEU67" s="137"/>
      <c r="WEV67" s="137"/>
      <c r="WEW67" s="137"/>
      <c r="WEX67" s="137"/>
      <c r="WEY67" s="137"/>
      <c r="WEZ67" s="137"/>
      <c r="WFA67" s="137"/>
      <c r="WFB67" s="137"/>
      <c r="WFC67" s="137"/>
      <c r="WFD67" s="137"/>
      <c r="WFE67" s="137"/>
      <c r="WFF67" s="137"/>
      <c r="WFG67" s="137"/>
      <c r="WFH67" s="137"/>
      <c r="WFI67" s="137"/>
      <c r="WFJ67" s="137"/>
      <c r="WFK67" s="137"/>
      <c r="WFL67" s="137"/>
      <c r="WFM67" s="137"/>
      <c r="WFN67" s="137"/>
      <c r="WFO67" s="137"/>
      <c r="WFP67" s="137"/>
      <c r="WFQ67" s="137"/>
      <c r="WFR67" s="137"/>
      <c r="WFS67" s="137"/>
      <c r="WFT67" s="137"/>
      <c r="WFU67" s="137"/>
      <c r="WFV67" s="137"/>
      <c r="WFW67" s="137"/>
      <c r="WFX67" s="137"/>
      <c r="WFY67" s="137"/>
      <c r="WFZ67" s="137"/>
      <c r="WGA67" s="137"/>
      <c r="WGB67" s="137"/>
      <c r="WGC67" s="137"/>
      <c r="WGD67" s="137"/>
      <c r="WGE67" s="137"/>
      <c r="WGF67" s="137"/>
      <c r="WGG67" s="137"/>
      <c r="WGH67" s="137"/>
      <c r="WGI67" s="137"/>
      <c r="WGJ67" s="137"/>
      <c r="WGK67" s="137"/>
      <c r="WGL67" s="137"/>
      <c r="WGM67" s="137"/>
      <c r="WGN67" s="137"/>
      <c r="WGO67" s="137"/>
      <c r="WGP67" s="137"/>
      <c r="WGQ67" s="137"/>
      <c r="WGR67" s="137"/>
      <c r="WGS67" s="137"/>
      <c r="WGT67" s="137"/>
      <c r="WGU67" s="137"/>
      <c r="WGV67" s="137"/>
      <c r="WGW67" s="137"/>
      <c r="WGX67" s="137"/>
      <c r="WGY67" s="137"/>
      <c r="WGZ67" s="137"/>
      <c r="WHA67" s="137"/>
      <c r="WHB67" s="137"/>
      <c r="WHC67" s="137"/>
      <c r="WHD67" s="137"/>
      <c r="WHE67" s="137"/>
      <c r="WHF67" s="137"/>
      <c r="WHG67" s="137"/>
      <c r="WHH67" s="137"/>
      <c r="WHI67" s="137"/>
      <c r="WHJ67" s="137"/>
      <c r="WHK67" s="137"/>
      <c r="WHL67" s="137"/>
      <c r="WHM67" s="137"/>
      <c r="WHN67" s="137"/>
      <c r="WHO67" s="137"/>
      <c r="WHP67" s="137"/>
      <c r="WHQ67" s="137"/>
      <c r="WHR67" s="137"/>
      <c r="WHS67" s="137"/>
      <c r="WHT67" s="137"/>
      <c r="WHU67" s="137"/>
      <c r="WHV67" s="137"/>
      <c r="WHW67" s="137"/>
      <c r="WHX67" s="137"/>
      <c r="WHY67" s="137"/>
      <c r="WHZ67" s="137"/>
      <c r="WIA67" s="137"/>
      <c r="WIB67" s="137"/>
      <c r="WIC67" s="137"/>
      <c r="WID67" s="137"/>
      <c r="WIE67" s="137"/>
      <c r="WIF67" s="137"/>
      <c r="WIG67" s="137"/>
      <c r="WIH67" s="137"/>
      <c r="WII67" s="137"/>
      <c r="WIJ67" s="137"/>
      <c r="WIK67" s="137"/>
      <c r="WIL67" s="137"/>
      <c r="WIM67" s="137"/>
      <c r="WIN67" s="137"/>
      <c r="WIO67" s="137"/>
      <c r="WIP67" s="137"/>
      <c r="WIQ67" s="137"/>
      <c r="WIR67" s="137"/>
      <c r="WIS67" s="137"/>
      <c r="WIT67" s="137"/>
      <c r="WIU67" s="137"/>
      <c r="WIV67" s="137"/>
      <c r="WIW67" s="137"/>
      <c r="WIX67" s="137"/>
      <c r="WIY67" s="137"/>
      <c r="WIZ67" s="137"/>
      <c r="WJA67" s="137"/>
      <c r="WJB67" s="137"/>
      <c r="WJC67" s="137"/>
      <c r="WJD67" s="137"/>
      <c r="WJE67" s="137"/>
      <c r="WJF67" s="137"/>
      <c r="WJG67" s="137"/>
      <c r="WJH67" s="137"/>
      <c r="WJI67" s="137"/>
      <c r="WJJ67" s="137"/>
      <c r="WJK67" s="137"/>
      <c r="WJL67" s="137"/>
      <c r="WJM67" s="137"/>
      <c r="WJN67" s="137"/>
      <c r="WJO67" s="137"/>
      <c r="WJP67" s="137"/>
      <c r="WJQ67" s="137"/>
      <c r="WJR67" s="137"/>
      <c r="WJS67" s="137"/>
      <c r="WJT67" s="137"/>
      <c r="WJU67" s="137"/>
      <c r="WJV67" s="137"/>
      <c r="WJW67" s="137"/>
      <c r="WJX67" s="137"/>
      <c r="WJY67" s="137"/>
      <c r="WJZ67" s="137"/>
      <c r="WKA67" s="137"/>
      <c r="WKB67" s="137"/>
      <c r="WKC67" s="137"/>
      <c r="WKD67" s="137"/>
      <c r="WKE67" s="137"/>
      <c r="WKF67" s="137"/>
      <c r="WKG67" s="137"/>
      <c r="WKH67" s="137"/>
      <c r="WKI67" s="137"/>
      <c r="WKJ67" s="137"/>
      <c r="WKK67" s="137"/>
      <c r="WKL67" s="137"/>
      <c r="WKM67" s="137"/>
      <c r="WKN67" s="137"/>
      <c r="WKO67" s="137"/>
      <c r="WKP67" s="137"/>
      <c r="WKQ67" s="137"/>
      <c r="WKR67" s="137"/>
      <c r="WKS67" s="137"/>
      <c r="WKT67" s="137"/>
      <c r="WKU67" s="137"/>
      <c r="WKV67" s="137"/>
      <c r="WKW67" s="137"/>
      <c r="WKX67" s="137"/>
      <c r="WKY67" s="137"/>
      <c r="WKZ67" s="137"/>
      <c r="WLA67" s="137"/>
      <c r="WLB67" s="137"/>
      <c r="WLC67" s="137"/>
      <c r="WLD67" s="137"/>
      <c r="WLE67" s="137"/>
      <c r="WLF67" s="137"/>
      <c r="WLG67" s="137"/>
      <c r="WLH67" s="137"/>
      <c r="WLI67" s="137"/>
      <c r="WLJ67" s="137"/>
      <c r="WLK67" s="137"/>
      <c r="WLL67" s="137"/>
      <c r="WLM67" s="137"/>
      <c r="WLN67" s="137"/>
      <c r="WLO67" s="137"/>
      <c r="WLP67" s="137"/>
      <c r="WLQ67" s="137"/>
      <c r="WLR67" s="137"/>
      <c r="WLS67" s="137"/>
      <c r="WLT67" s="137"/>
      <c r="WLU67" s="137"/>
      <c r="WLV67" s="137"/>
      <c r="WLW67" s="137"/>
      <c r="WLX67" s="137"/>
      <c r="WLY67" s="137"/>
      <c r="WLZ67" s="137"/>
      <c r="WMA67" s="137"/>
      <c r="WMB67" s="137"/>
      <c r="WMC67" s="137"/>
      <c r="WMD67" s="137"/>
      <c r="WME67" s="137"/>
      <c r="WMF67" s="137"/>
      <c r="WMG67" s="137"/>
      <c r="WMH67" s="137"/>
      <c r="WMI67" s="137"/>
      <c r="WMJ67" s="137"/>
      <c r="WMK67" s="137"/>
      <c r="WML67" s="137"/>
      <c r="WMM67" s="137"/>
      <c r="WMN67" s="137"/>
      <c r="WMO67" s="137"/>
      <c r="WMP67" s="137"/>
      <c r="WMQ67" s="137"/>
      <c r="WMR67" s="137"/>
      <c r="WMS67" s="137"/>
      <c r="WMT67" s="137"/>
      <c r="WMU67" s="137"/>
      <c r="WMV67" s="137"/>
      <c r="WMW67" s="137"/>
      <c r="WMX67" s="137"/>
      <c r="WMY67" s="137"/>
      <c r="WMZ67" s="137"/>
      <c r="WNA67" s="137"/>
      <c r="WNB67" s="137"/>
      <c r="WNC67" s="137"/>
      <c r="WND67" s="137"/>
      <c r="WNE67" s="137"/>
      <c r="WNF67" s="137"/>
      <c r="WNG67" s="137"/>
      <c r="WNH67" s="137"/>
      <c r="WNI67" s="137"/>
      <c r="WNJ67" s="137"/>
      <c r="WNK67" s="137"/>
      <c r="WNL67" s="137"/>
      <c r="WNM67" s="137"/>
      <c r="WNN67" s="137"/>
      <c r="WNO67" s="137"/>
      <c r="WNP67" s="137"/>
      <c r="WNQ67" s="137"/>
      <c r="WNR67" s="137"/>
      <c r="WNS67" s="137"/>
      <c r="WNT67" s="137"/>
      <c r="WNU67" s="137"/>
      <c r="WNV67" s="137"/>
      <c r="WNW67" s="137"/>
      <c r="WNX67" s="137"/>
      <c r="WNY67" s="137"/>
      <c r="WNZ67" s="137"/>
      <c r="WOA67" s="137"/>
      <c r="WOB67" s="137"/>
      <c r="WOC67" s="137"/>
      <c r="WOD67" s="137"/>
      <c r="WOE67" s="137"/>
      <c r="WOF67" s="137"/>
      <c r="WOG67" s="137"/>
      <c r="WOH67" s="137"/>
      <c r="WOI67" s="137"/>
      <c r="WOJ67" s="137"/>
      <c r="WOK67" s="137"/>
      <c r="WOL67" s="137"/>
      <c r="WOM67" s="137"/>
      <c r="WON67" s="137"/>
      <c r="WOO67" s="137"/>
      <c r="WOP67" s="137"/>
      <c r="WOQ67" s="137"/>
      <c r="WOR67" s="137"/>
      <c r="WOS67" s="137"/>
      <c r="WOT67" s="137"/>
      <c r="WOU67" s="137"/>
      <c r="WOV67" s="137"/>
      <c r="WOW67" s="137"/>
      <c r="WOX67" s="137"/>
      <c r="WOY67" s="137"/>
      <c r="WOZ67" s="137"/>
      <c r="WPA67" s="137"/>
      <c r="WPB67" s="137"/>
      <c r="WPC67" s="137"/>
      <c r="WPD67" s="137"/>
      <c r="WPE67" s="137"/>
      <c r="WPF67" s="137"/>
      <c r="WPG67" s="137"/>
      <c r="WPH67" s="137"/>
      <c r="WPI67" s="137"/>
      <c r="WPJ67" s="137"/>
      <c r="WPK67" s="137"/>
      <c r="WPL67" s="137"/>
      <c r="WPM67" s="137"/>
      <c r="WPN67" s="137"/>
      <c r="WPO67" s="137"/>
      <c r="WPP67" s="137"/>
      <c r="WPQ67" s="137"/>
      <c r="WPR67" s="137"/>
      <c r="WPS67" s="137"/>
      <c r="WPT67" s="137"/>
      <c r="WPU67" s="137"/>
      <c r="WPV67" s="137"/>
      <c r="WPW67" s="137"/>
      <c r="WPX67" s="137"/>
      <c r="WPY67" s="137"/>
      <c r="WPZ67" s="137"/>
      <c r="WQA67" s="137"/>
      <c r="WQB67" s="137"/>
      <c r="WQC67" s="137"/>
      <c r="WQD67" s="137"/>
      <c r="WQE67" s="137"/>
      <c r="WQF67" s="137"/>
      <c r="WQG67" s="137"/>
      <c r="WQH67" s="137"/>
      <c r="WQI67" s="137"/>
      <c r="WQJ67" s="137"/>
      <c r="WQK67" s="137"/>
      <c r="WQL67" s="137"/>
      <c r="WQM67" s="137"/>
      <c r="WQN67" s="137"/>
      <c r="WQO67" s="137"/>
      <c r="WQP67" s="137"/>
      <c r="WQQ67" s="137"/>
      <c r="WQR67" s="137"/>
      <c r="WQS67" s="137"/>
      <c r="WQT67" s="137"/>
      <c r="WQU67" s="137"/>
      <c r="WQV67" s="137"/>
      <c r="WQW67" s="137"/>
      <c r="WQX67" s="137"/>
      <c r="WQY67" s="137"/>
      <c r="WQZ67" s="137"/>
      <c r="WRA67" s="137"/>
      <c r="WRB67" s="137"/>
      <c r="WRC67" s="137"/>
      <c r="WRD67" s="137"/>
      <c r="WRE67" s="137"/>
      <c r="WRF67" s="137"/>
      <c r="WRG67" s="137"/>
      <c r="WRH67" s="137"/>
      <c r="WRI67" s="137"/>
      <c r="WRJ67" s="137"/>
      <c r="WRK67" s="137"/>
      <c r="WRL67" s="137"/>
      <c r="WRM67" s="137"/>
      <c r="WRN67" s="137"/>
      <c r="WRO67" s="137"/>
      <c r="WRP67" s="137"/>
      <c r="WRQ67" s="137"/>
      <c r="WRR67" s="137"/>
      <c r="WRS67" s="137"/>
      <c r="WRT67" s="137"/>
      <c r="WRU67" s="137"/>
      <c r="WRV67" s="137"/>
      <c r="WRW67" s="137"/>
      <c r="WRX67" s="137"/>
      <c r="WRY67" s="137"/>
      <c r="WRZ67" s="137"/>
      <c r="WSA67" s="137"/>
      <c r="WSB67" s="137"/>
      <c r="WSC67" s="137"/>
      <c r="WSD67" s="137"/>
      <c r="WSE67" s="137"/>
      <c r="WSF67" s="137"/>
      <c r="WSG67" s="137"/>
      <c r="WSH67" s="137"/>
      <c r="WSI67" s="137"/>
      <c r="WSJ67" s="137"/>
      <c r="WSK67" s="137"/>
      <c r="WSL67" s="137"/>
      <c r="WSM67" s="137"/>
      <c r="WSN67" s="137"/>
      <c r="WSO67" s="137"/>
      <c r="WSP67" s="137"/>
      <c r="WSQ67" s="137"/>
      <c r="WSR67" s="137"/>
      <c r="WSS67" s="137"/>
      <c r="WST67" s="137"/>
      <c r="WSU67" s="137"/>
      <c r="WSV67" s="137"/>
      <c r="WSW67" s="137"/>
      <c r="WSX67" s="137"/>
      <c r="WSY67" s="137"/>
      <c r="WSZ67" s="137"/>
      <c r="WTA67" s="137"/>
      <c r="WTB67" s="137"/>
      <c r="WTC67" s="137"/>
      <c r="WTD67" s="137"/>
      <c r="WTE67" s="137"/>
      <c r="WTF67" s="137"/>
      <c r="WTG67" s="137"/>
      <c r="WTH67" s="137"/>
      <c r="WTI67" s="137"/>
      <c r="WTJ67" s="137"/>
      <c r="WTK67" s="137"/>
      <c r="WTL67" s="137"/>
      <c r="WTM67" s="137"/>
      <c r="WTN67" s="137"/>
      <c r="WTO67" s="137"/>
      <c r="WTP67" s="137"/>
      <c r="WTQ67" s="137"/>
      <c r="WTR67" s="137"/>
      <c r="WTS67" s="137"/>
      <c r="WTT67" s="137"/>
      <c r="WTU67" s="137"/>
      <c r="WTV67" s="137"/>
      <c r="WTW67" s="137"/>
      <c r="WTX67" s="137"/>
      <c r="WTY67" s="137"/>
      <c r="WTZ67" s="137"/>
      <c r="WUA67" s="137"/>
      <c r="WUB67" s="137"/>
      <c r="WUC67" s="137"/>
      <c r="WUD67" s="137"/>
      <c r="WUE67" s="137"/>
      <c r="WUF67" s="137"/>
      <c r="WUG67" s="137"/>
      <c r="WUH67" s="137"/>
      <c r="WUI67" s="137"/>
      <c r="WUJ67" s="137"/>
      <c r="WUK67" s="137"/>
      <c r="WUL67" s="137"/>
    </row>
    <row r="70" spans="1:16106" s="71" customFormat="1" ht="14.25" customHeight="1" x14ac:dyDescent="0.2">
      <c r="A70" s="137"/>
      <c r="B70" s="69"/>
      <c r="C70" s="137"/>
      <c r="D70" s="137"/>
      <c r="E70" s="138"/>
      <c r="G70" s="138"/>
      <c r="H70" s="137"/>
      <c r="I70" s="137"/>
      <c r="J70" s="137"/>
      <c r="K70" s="137"/>
      <c r="L70" s="137"/>
      <c r="M70" s="9"/>
      <c r="N70" s="137"/>
      <c r="O70" s="137"/>
      <c r="P70" s="137"/>
      <c r="Q70" s="137"/>
      <c r="R70" s="137"/>
      <c r="S70" s="137"/>
      <c r="T70" s="137"/>
      <c r="U70" s="137"/>
      <c r="V70" s="137"/>
      <c r="W70" s="137"/>
      <c r="X70" s="137"/>
      <c r="Y70" s="137"/>
      <c r="Z70" s="137"/>
      <c r="AA70" s="137"/>
      <c r="AB70" s="137"/>
      <c r="AC70" s="137"/>
      <c r="AD70" s="137"/>
      <c r="AE70" s="137"/>
      <c r="AF70" s="137"/>
      <c r="AG70" s="137"/>
      <c r="AH70" s="137"/>
      <c r="AI70" s="137"/>
      <c r="AJ70" s="137"/>
      <c r="AK70" s="137"/>
      <c r="AL70" s="137"/>
      <c r="AM70" s="137"/>
      <c r="AN70" s="137"/>
      <c r="AO70" s="137"/>
      <c r="AP70" s="137"/>
      <c r="AQ70" s="137"/>
      <c r="AR70" s="137"/>
      <c r="AS70" s="137"/>
      <c r="AT70" s="137"/>
      <c r="AU70" s="137"/>
      <c r="AV70" s="137"/>
      <c r="AW70" s="137"/>
      <c r="AX70" s="137"/>
      <c r="AY70" s="137"/>
      <c r="AZ70" s="137"/>
      <c r="BA70" s="137"/>
      <c r="BB70" s="137"/>
      <c r="BC70" s="137"/>
      <c r="BD70" s="137"/>
      <c r="BE70" s="137"/>
      <c r="BF70" s="137"/>
      <c r="BG70" s="137"/>
      <c r="BH70" s="137"/>
      <c r="BI70" s="137"/>
      <c r="BJ70" s="137"/>
      <c r="BK70" s="137"/>
      <c r="BL70" s="137"/>
      <c r="BM70" s="137"/>
      <c r="BN70" s="137"/>
      <c r="BO70" s="137"/>
      <c r="BP70" s="137"/>
      <c r="BQ70" s="137"/>
      <c r="BR70" s="137"/>
      <c r="BS70" s="137"/>
      <c r="BT70" s="137"/>
      <c r="BU70" s="137"/>
      <c r="BV70" s="137"/>
      <c r="BW70" s="137"/>
      <c r="BX70" s="137"/>
      <c r="BY70" s="137"/>
      <c r="BZ70" s="137"/>
      <c r="CA70" s="137"/>
      <c r="CB70" s="137"/>
      <c r="CC70" s="137"/>
      <c r="CD70" s="137"/>
      <c r="CE70" s="137"/>
      <c r="CF70" s="137"/>
      <c r="CG70" s="137"/>
      <c r="CH70" s="137"/>
      <c r="CI70" s="137"/>
      <c r="CJ70" s="137"/>
      <c r="CK70" s="137"/>
      <c r="CL70" s="137"/>
      <c r="CM70" s="137"/>
      <c r="CN70" s="137"/>
      <c r="CO70" s="137"/>
      <c r="CP70" s="137"/>
      <c r="CQ70" s="137"/>
      <c r="CR70" s="137"/>
      <c r="CS70" s="137"/>
      <c r="CT70" s="137"/>
      <c r="CU70" s="137"/>
      <c r="CV70" s="137"/>
      <c r="CW70" s="137"/>
      <c r="CX70" s="137"/>
      <c r="CY70" s="137"/>
      <c r="CZ70" s="137"/>
      <c r="DA70" s="137"/>
      <c r="DB70" s="137"/>
      <c r="DC70" s="137"/>
      <c r="DD70" s="137"/>
      <c r="DE70" s="137"/>
      <c r="DF70" s="137"/>
      <c r="DG70" s="137"/>
      <c r="DH70" s="137"/>
      <c r="DI70" s="137"/>
      <c r="DJ70" s="137"/>
      <c r="DK70" s="137"/>
      <c r="DL70" s="137"/>
      <c r="DM70" s="137"/>
      <c r="DN70" s="137"/>
      <c r="DO70" s="137"/>
      <c r="DP70" s="137"/>
      <c r="DQ70" s="137"/>
      <c r="DR70" s="137"/>
      <c r="DS70" s="137"/>
      <c r="DT70" s="137"/>
      <c r="DU70" s="137"/>
      <c r="DV70" s="137"/>
      <c r="DW70" s="137"/>
      <c r="DX70" s="137"/>
      <c r="DY70" s="137"/>
      <c r="DZ70" s="137"/>
      <c r="EA70" s="137"/>
      <c r="EB70" s="137"/>
      <c r="EC70" s="137"/>
      <c r="ED70" s="137"/>
      <c r="EE70" s="137"/>
      <c r="EF70" s="137"/>
      <c r="EG70" s="137"/>
      <c r="EH70" s="137"/>
      <c r="EI70" s="137"/>
      <c r="EJ70" s="137"/>
      <c r="EK70" s="137"/>
      <c r="EL70" s="137"/>
      <c r="EM70" s="137"/>
      <c r="EN70" s="137"/>
      <c r="EO70" s="137"/>
      <c r="EP70" s="137"/>
      <c r="EQ70" s="137"/>
      <c r="ER70" s="137"/>
      <c r="ES70" s="137"/>
      <c r="ET70" s="137"/>
      <c r="EU70" s="137"/>
      <c r="EV70" s="137"/>
      <c r="EW70" s="137"/>
      <c r="EX70" s="137"/>
      <c r="EY70" s="137"/>
      <c r="EZ70" s="137"/>
      <c r="FA70" s="137"/>
      <c r="FB70" s="137"/>
      <c r="FC70" s="137"/>
      <c r="FD70" s="137"/>
      <c r="FE70" s="137"/>
      <c r="FF70" s="137"/>
      <c r="FG70" s="137"/>
      <c r="FH70" s="137"/>
      <c r="FI70" s="137"/>
      <c r="FJ70" s="137"/>
      <c r="FK70" s="137"/>
      <c r="FL70" s="137"/>
      <c r="FM70" s="137"/>
      <c r="FN70" s="137"/>
      <c r="FO70" s="137"/>
      <c r="FP70" s="137"/>
      <c r="FQ70" s="137"/>
      <c r="FR70" s="137"/>
      <c r="FS70" s="137"/>
      <c r="FT70" s="137"/>
      <c r="FU70" s="137"/>
      <c r="FV70" s="137"/>
      <c r="FW70" s="137"/>
      <c r="FX70" s="137"/>
      <c r="FY70" s="137"/>
      <c r="FZ70" s="137"/>
      <c r="GA70" s="137"/>
      <c r="GB70" s="137"/>
      <c r="GC70" s="137"/>
      <c r="GD70" s="137"/>
      <c r="GE70" s="137"/>
      <c r="GF70" s="137"/>
      <c r="GG70" s="137"/>
      <c r="GH70" s="137"/>
      <c r="GI70" s="137"/>
      <c r="GJ70" s="137"/>
      <c r="GK70" s="137"/>
      <c r="GL70" s="137"/>
      <c r="GM70" s="137"/>
      <c r="GN70" s="137"/>
      <c r="GO70" s="137"/>
      <c r="GP70" s="137"/>
      <c r="GQ70" s="137"/>
      <c r="GR70" s="137"/>
      <c r="GS70" s="137"/>
      <c r="GT70" s="137"/>
      <c r="GU70" s="137"/>
      <c r="GV70" s="137"/>
      <c r="GW70" s="137"/>
      <c r="GX70" s="137"/>
      <c r="GY70" s="137"/>
      <c r="GZ70" s="137"/>
      <c r="HA70" s="137"/>
      <c r="HB70" s="137"/>
      <c r="HC70" s="137"/>
      <c r="HD70" s="137"/>
      <c r="HE70" s="137"/>
      <c r="HF70" s="137"/>
      <c r="HG70" s="137"/>
      <c r="HH70" s="137"/>
      <c r="HI70" s="137"/>
      <c r="HJ70" s="137"/>
      <c r="HK70" s="137"/>
      <c r="HL70" s="137"/>
      <c r="HM70" s="137"/>
      <c r="HN70" s="137"/>
      <c r="HO70" s="137"/>
      <c r="HP70" s="137"/>
      <c r="HQ70" s="137"/>
      <c r="HR70" s="137"/>
      <c r="HS70" s="137"/>
      <c r="HT70" s="137"/>
      <c r="HU70" s="137"/>
      <c r="HV70" s="137"/>
      <c r="HW70" s="137"/>
      <c r="HX70" s="137"/>
      <c r="HY70" s="137"/>
      <c r="HZ70" s="137"/>
      <c r="IA70" s="137"/>
      <c r="IB70" s="137"/>
      <c r="IC70" s="137"/>
      <c r="ID70" s="137"/>
      <c r="IE70" s="137"/>
      <c r="IF70" s="137"/>
      <c r="IG70" s="137"/>
      <c r="IH70" s="137"/>
      <c r="II70" s="137"/>
      <c r="IJ70" s="137"/>
      <c r="IK70" s="137"/>
      <c r="IL70" s="137"/>
      <c r="IM70" s="137"/>
      <c r="IN70" s="137"/>
      <c r="IO70" s="137"/>
      <c r="IP70" s="137"/>
      <c r="IQ70" s="137"/>
      <c r="IR70" s="137"/>
      <c r="IS70" s="137"/>
      <c r="IT70" s="137"/>
      <c r="IU70" s="137"/>
      <c r="IV70" s="137"/>
      <c r="IW70" s="137"/>
      <c r="IX70" s="137"/>
      <c r="IY70" s="137"/>
      <c r="IZ70" s="137"/>
      <c r="JA70" s="137"/>
      <c r="JB70" s="137"/>
      <c r="JC70" s="137"/>
      <c r="JD70" s="137"/>
      <c r="JE70" s="137"/>
      <c r="JF70" s="137"/>
      <c r="JG70" s="137"/>
      <c r="JH70" s="137"/>
      <c r="JI70" s="137"/>
      <c r="JJ70" s="137"/>
      <c r="JK70" s="137"/>
      <c r="JL70" s="137"/>
      <c r="JM70" s="137"/>
      <c r="JN70" s="137"/>
      <c r="JO70" s="137"/>
      <c r="JP70" s="137"/>
      <c r="JQ70" s="137"/>
      <c r="JR70" s="137"/>
      <c r="JS70" s="137"/>
      <c r="JT70" s="137"/>
      <c r="JU70" s="137"/>
      <c r="JV70" s="137"/>
      <c r="JW70" s="137"/>
      <c r="JX70" s="137"/>
      <c r="JY70" s="137"/>
      <c r="JZ70" s="137"/>
      <c r="KA70" s="137"/>
      <c r="KB70" s="137"/>
      <c r="KC70" s="137"/>
      <c r="KD70" s="137"/>
      <c r="KE70" s="137"/>
      <c r="KF70" s="137"/>
      <c r="KG70" s="137"/>
      <c r="KH70" s="137"/>
      <c r="KI70" s="137"/>
      <c r="KJ70" s="137"/>
      <c r="KK70" s="137"/>
      <c r="KL70" s="137"/>
      <c r="KM70" s="137"/>
      <c r="KN70" s="137"/>
      <c r="KO70" s="137"/>
      <c r="KP70" s="137"/>
      <c r="KQ70" s="137"/>
      <c r="KR70" s="137"/>
      <c r="KS70" s="137"/>
      <c r="KT70" s="137"/>
      <c r="KU70" s="137"/>
      <c r="KV70" s="137"/>
      <c r="KW70" s="137"/>
      <c r="KX70" s="137"/>
      <c r="KY70" s="137"/>
      <c r="KZ70" s="137"/>
      <c r="LA70" s="137"/>
      <c r="LB70" s="137"/>
      <c r="LC70" s="137"/>
      <c r="LD70" s="137"/>
      <c r="LE70" s="137"/>
      <c r="LF70" s="137"/>
      <c r="LG70" s="137"/>
      <c r="LH70" s="137"/>
      <c r="LI70" s="137"/>
      <c r="LJ70" s="137"/>
      <c r="LK70" s="137"/>
      <c r="LL70" s="137"/>
      <c r="LM70" s="137"/>
      <c r="LN70" s="137"/>
      <c r="LO70" s="137"/>
      <c r="LP70" s="137"/>
      <c r="LQ70" s="137"/>
      <c r="LR70" s="137"/>
      <c r="LS70" s="137"/>
      <c r="LT70" s="137"/>
      <c r="LU70" s="137"/>
      <c r="LV70" s="137"/>
      <c r="LW70" s="137"/>
      <c r="LX70" s="137"/>
      <c r="LY70" s="137"/>
      <c r="LZ70" s="137"/>
      <c r="MA70" s="137"/>
      <c r="MB70" s="137"/>
      <c r="MC70" s="137"/>
      <c r="MD70" s="137"/>
      <c r="ME70" s="137"/>
      <c r="MF70" s="137"/>
      <c r="MG70" s="137"/>
      <c r="MH70" s="137"/>
      <c r="MI70" s="137"/>
      <c r="MJ70" s="137"/>
      <c r="MK70" s="137"/>
      <c r="ML70" s="137"/>
      <c r="MM70" s="137"/>
      <c r="MN70" s="137"/>
      <c r="MO70" s="137"/>
      <c r="MP70" s="137"/>
      <c r="MQ70" s="137"/>
      <c r="MR70" s="137"/>
      <c r="MS70" s="137"/>
      <c r="MT70" s="137"/>
      <c r="MU70" s="137"/>
      <c r="MV70" s="137"/>
      <c r="MW70" s="137"/>
      <c r="MX70" s="137"/>
      <c r="MY70" s="137"/>
      <c r="MZ70" s="137"/>
      <c r="NA70" s="137"/>
      <c r="NB70" s="137"/>
      <c r="NC70" s="137"/>
      <c r="ND70" s="137"/>
      <c r="NE70" s="137"/>
      <c r="NF70" s="137"/>
      <c r="NG70" s="137"/>
      <c r="NH70" s="137"/>
      <c r="NI70" s="137"/>
      <c r="NJ70" s="137"/>
      <c r="NK70" s="137"/>
      <c r="NL70" s="137"/>
      <c r="NM70" s="137"/>
      <c r="NN70" s="137"/>
      <c r="NO70" s="137"/>
      <c r="NP70" s="137"/>
      <c r="NQ70" s="137"/>
      <c r="NR70" s="137"/>
      <c r="NS70" s="137"/>
      <c r="NT70" s="137"/>
      <c r="NU70" s="137"/>
      <c r="NV70" s="137"/>
      <c r="NW70" s="137"/>
      <c r="NX70" s="137"/>
      <c r="NY70" s="137"/>
      <c r="NZ70" s="137"/>
      <c r="OA70" s="137"/>
      <c r="OB70" s="137"/>
      <c r="OC70" s="137"/>
      <c r="OD70" s="137"/>
      <c r="OE70" s="137"/>
      <c r="OF70" s="137"/>
      <c r="OG70" s="137"/>
      <c r="OH70" s="137"/>
      <c r="OI70" s="137"/>
      <c r="OJ70" s="137"/>
      <c r="OK70" s="137"/>
      <c r="OL70" s="137"/>
      <c r="OM70" s="137"/>
      <c r="ON70" s="137"/>
      <c r="OO70" s="137"/>
      <c r="OP70" s="137"/>
      <c r="OQ70" s="137"/>
      <c r="OR70" s="137"/>
      <c r="OS70" s="137"/>
      <c r="OT70" s="137"/>
      <c r="OU70" s="137"/>
      <c r="OV70" s="137"/>
      <c r="OW70" s="137"/>
      <c r="OX70" s="137"/>
      <c r="OY70" s="137"/>
      <c r="OZ70" s="137"/>
      <c r="PA70" s="137"/>
      <c r="PB70" s="137"/>
      <c r="PC70" s="137"/>
      <c r="PD70" s="137"/>
      <c r="PE70" s="137"/>
      <c r="PF70" s="137"/>
      <c r="PG70" s="137"/>
      <c r="PH70" s="137"/>
      <c r="PI70" s="137"/>
      <c r="PJ70" s="137"/>
      <c r="PK70" s="137"/>
      <c r="PL70" s="137"/>
      <c r="PM70" s="137"/>
      <c r="PN70" s="137"/>
      <c r="PO70" s="137"/>
      <c r="PP70" s="137"/>
      <c r="PQ70" s="137"/>
      <c r="PR70" s="137"/>
      <c r="PS70" s="137"/>
      <c r="PT70" s="137"/>
      <c r="PU70" s="137"/>
      <c r="PV70" s="137"/>
      <c r="PW70" s="137"/>
      <c r="PX70" s="137"/>
      <c r="PY70" s="137"/>
      <c r="PZ70" s="137"/>
      <c r="QA70" s="137"/>
      <c r="QB70" s="137"/>
      <c r="QC70" s="137"/>
      <c r="QD70" s="137"/>
      <c r="QE70" s="137"/>
      <c r="QF70" s="137"/>
      <c r="QG70" s="137"/>
      <c r="QH70" s="137"/>
      <c r="QI70" s="137"/>
      <c r="QJ70" s="137"/>
      <c r="QK70" s="137"/>
      <c r="QL70" s="137"/>
      <c r="QM70" s="137"/>
      <c r="QN70" s="137"/>
      <c r="QO70" s="137"/>
      <c r="QP70" s="137"/>
      <c r="QQ70" s="137"/>
      <c r="QR70" s="137"/>
      <c r="QS70" s="137"/>
      <c r="QT70" s="137"/>
      <c r="QU70" s="137"/>
      <c r="QV70" s="137"/>
      <c r="QW70" s="137"/>
      <c r="QX70" s="137"/>
      <c r="QY70" s="137"/>
      <c r="QZ70" s="137"/>
      <c r="RA70" s="137"/>
      <c r="RB70" s="137"/>
      <c r="RC70" s="137"/>
      <c r="RD70" s="137"/>
      <c r="RE70" s="137"/>
      <c r="RF70" s="137"/>
      <c r="RG70" s="137"/>
      <c r="RH70" s="137"/>
      <c r="RI70" s="137"/>
      <c r="RJ70" s="137"/>
      <c r="RK70" s="137"/>
      <c r="RL70" s="137"/>
      <c r="RM70" s="137"/>
      <c r="RN70" s="137"/>
      <c r="RO70" s="137"/>
      <c r="RP70" s="137"/>
      <c r="RQ70" s="137"/>
      <c r="RR70" s="137"/>
      <c r="RS70" s="137"/>
      <c r="RT70" s="137"/>
      <c r="RU70" s="137"/>
      <c r="RV70" s="137"/>
      <c r="RW70" s="137"/>
      <c r="RX70" s="137"/>
      <c r="RY70" s="137"/>
      <c r="RZ70" s="137"/>
      <c r="SA70" s="137"/>
      <c r="SB70" s="137"/>
      <c r="SC70" s="137"/>
      <c r="SD70" s="137"/>
      <c r="SE70" s="137"/>
      <c r="SF70" s="137"/>
      <c r="SG70" s="137"/>
      <c r="SH70" s="137"/>
      <c r="SI70" s="137"/>
      <c r="SJ70" s="137"/>
      <c r="SK70" s="137"/>
      <c r="SL70" s="137"/>
      <c r="SM70" s="137"/>
      <c r="SN70" s="137"/>
      <c r="SO70" s="137"/>
      <c r="SP70" s="137"/>
      <c r="SQ70" s="137"/>
      <c r="SR70" s="137"/>
      <c r="SS70" s="137"/>
      <c r="ST70" s="137"/>
      <c r="SU70" s="137"/>
      <c r="SV70" s="137"/>
      <c r="SW70" s="137"/>
      <c r="SX70" s="137"/>
      <c r="SY70" s="137"/>
      <c r="SZ70" s="137"/>
      <c r="TA70" s="137"/>
      <c r="TB70" s="137"/>
      <c r="TC70" s="137"/>
      <c r="TD70" s="137"/>
      <c r="TE70" s="137"/>
      <c r="TF70" s="137"/>
      <c r="TG70" s="137"/>
      <c r="TH70" s="137"/>
      <c r="TI70" s="137"/>
      <c r="TJ70" s="137"/>
      <c r="TK70" s="137"/>
      <c r="TL70" s="137"/>
      <c r="TM70" s="137"/>
      <c r="TN70" s="137"/>
      <c r="TO70" s="137"/>
      <c r="TP70" s="137"/>
      <c r="TQ70" s="137"/>
      <c r="TR70" s="137"/>
      <c r="TS70" s="137"/>
      <c r="TT70" s="137"/>
      <c r="TU70" s="137"/>
      <c r="TV70" s="137"/>
      <c r="TW70" s="137"/>
      <c r="TX70" s="137"/>
      <c r="TY70" s="137"/>
      <c r="TZ70" s="137"/>
      <c r="UA70" s="137"/>
      <c r="UB70" s="137"/>
      <c r="UC70" s="137"/>
      <c r="UD70" s="137"/>
      <c r="UE70" s="137"/>
      <c r="UF70" s="137"/>
      <c r="UG70" s="137"/>
      <c r="UH70" s="137"/>
      <c r="UI70" s="137"/>
      <c r="UJ70" s="137"/>
      <c r="UK70" s="137"/>
      <c r="UL70" s="137"/>
      <c r="UM70" s="137"/>
      <c r="UN70" s="137"/>
      <c r="UO70" s="137"/>
      <c r="UP70" s="137"/>
      <c r="UQ70" s="137"/>
      <c r="UR70" s="137"/>
      <c r="US70" s="137"/>
      <c r="UT70" s="137"/>
      <c r="UU70" s="137"/>
      <c r="UV70" s="137"/>
      <c r="UW70" s="137"/>
      <c r="UX70" s="137"/>
      <c r="UY70" s="137"/>
      <c r="UZ70" s="137"/>
      <c r="VA70" s="137"/>
      <c r="VB70" s="137"/>
      <c r="VC70" s="137"/>
      <c r="VD70" s="137"/>
      <c r="VE70" s="137"/>
      <c r="VF70" s="137"/>
      <c r="VG70" s="137"/>
      <c r="VH70" s="137"/>
      <c r="VI70" s="137"/>
      <c r="VJ70" s="137"/>
      <c r="VK70" s="137"/>
      <c r="VL70" s="137"/>
      <c r="VM70" s="137"/>
      <c r="VN70" s="137"/>
      <c r="VO70" s="137"/>
      <c r="VP70" s="137"/>
      <c r="VQ70" s="137"/>
      <c r="VR70" s="137"/>
      <c r="VS70" s="137"/>
      <c r="VT70" s="137"/>
      <c r="VU70" s="137"/>
      <c r="VV70" s="137"/>
      <c r="VW70" s="137"/>
      <c r="VX70" s="137"/>
      <c r="VY70" s="137"/>
      <c r="VZ70" s="137"/>
      <c r="WA70" s="137"/>
      <c r="WB70" s="137"/>
      <c r="WC70" s="137"/>
      <c r="WD70" s="137"/>
      <c r="WE70" s="137"/>
      <c r="WF70" s="137"/>
      <c r="WG70" s="137"/>
      <c r="WH70" s="137"/>
      <c r="WI70" s="137"/>
      <c r="WJ70" s="137"/>
      <c r="WK70" s="137"/>
      <c r="WL70" s="137"/>
      <c r="WM70" s="137"/>
      <c r="WN70" s="137"/>
      <c r="WO70" s="137"/>
      <c r="WP70" s="137"/>
      <c r="WQ70" s="137"/>
      <c r="WR70" s="137"/>
      <c r="WS70" s="137"/>
      <c r="WT70" s="137"/>
      <c r="WU70" s="137"/>
      <c r="WV70" s="137"/>
      <c r="WW70" s="137"/>
      <c r="WX70" s="137"/>
      <c r="WY70" s="137"/>
      <c r="WZ70" s="137"/>
      <c r="XA70" s="137"/>
      <c r="XB70" s="137"/>
      <c r="XC70" s="137"/>
      <c r="XD70" s="137"/>
      <c r="XE70" s="137"/>
      <c r="XF70" s="137"/>
      <c r="XG70" s="137"/>
      <c r="XH70" s="137"/>
      <c r="XI70" s="137"/>
      <c r="XJ70" s="137"/>
      <c r="XK70" s="137"/>
      <c r="XL70" s="137"/>
      <c r="XM70" s="137"/>
      <c r="XN70" s="137"/>
      <c r="XO70" s="137"/>
      <c r="XP70" s="137"/>
      <c r="XQ70" s="137"/>
      <c r="XR70" s="137"/>
      <c r="XS70" s="137"/>
      <c r="XT70" s="137"/>
      <c r="XU70" s="137"/>
      <c r="XV70" s="137"/>
      <c r="XW70" s="137"/>
      <c r="XX70" s="137"/>
      <c r="XY70" s="137"/>
      <c r="XZ70" s="137"/>
      <c r="YA70" s="137"/>
      <c r="YB70" s="137"/>
      <c r="YC70" s="137"/>
      <c r="YD70" s="137"/>
      <c r="YE70" s="137"/>
      <c r="YF70" s="137"/>
      <c r="YG70" s="137"/>
      <c r="YH70" s="137"/>
      <c r="YI70" s="137"/>
      <c r="YJ70" s="137"/>
      <c r="YK70" s="137"/>
      <c r="YL70" s="137"/>
      <c r="YM70" s="137"/>
      <c r="YN70" s="137"/>
      <c r="YO70" s="137"/>
      <c r="YP70" s="137"/>
      <c r="YQ70" s="137"/>
      <c r="YR70" s="137"/>
      <c r="YS70" s="137"/>
      <c r="YT70" s="137"/>
      <c r="YU70" s="137"/>
      <c r="YV70" s="137"/>
      <c r="YW70" s="137"/>
      <c r="YX70" s="137"/>
      <c r="YY70" s="137"/>
      <c r="YZ70" s="137"/>
      <c r="ZA70" s="137"/>
      <c r="ZB70" s="137"/>
      <c r="ZC70" s="137"/>
      <c r="ZD70" s="137"/>
      <c r="ZE70" s="137"/>
      <c r="ZF70" s="137"/>
      <c r="ZG70" s="137"/>
      <c r="ZH70" s="137"/>
      <c r="ZI70" s="137"/>
      <c r="ZJ70" s="137"/>
      <c r="ZK70" s="137"/>
      <c r="ZL70" s="137"/>
      <c r="ZM70" s="137"/>
      <c r="ZN70" s="137"/>
      <c r="ZO70" s="137"/>
      <c r="ZP70" s="137"/>
      <c r="ZQ70" s="137"/>
      <c r="ZR70" s="137"/>
      <c r="ZS70" s="137"/>
      <c r="ZT70" s="137"/>
      <c r="ZU70" s="137"/>
      <c r="ZV70" s="137"/>
      <c r="ZW70" s="137"/>
      <c r="ZX70" s="137"/>
      <c r="ZY70" s="137"/>
      <c r="ZZ70" s="137"/>
      <c r="AAA70" s="137"/>
      <c r="AAB70" s="137"/>
      <c r="AAC70" s="137"/>
      <c r="AAD70" s="137"/>
      <c r="AAE70" s="137"/>
      <c r="AAF70" s="137"/>
      <c r="AAG70" s="137"/>
      <c r="AAH70" s="137"/>
      <c r="AAI70" s="137"/>
      <c r="AAJ70" s="137"/>
      <c r="AAK70" s="137"/>
      <c r="AAL70" s="137"/>
      <c r="AAM70" s="137"/>
      <c r="AAN70" s="137"/>
      <c r="AAO70" s="137"/>
      <c r="AAP70" s="137"/>
      <c r="AAQ70" s="137"/>
      <c r="AAR70" s="137"/>
      <c r="AAS70" s="137"/>
      <c r="AAT70" s="137"/>
      <c r="AAU70" s="137"/>
      <c r="AAV70" s="137"/>
      <c r="AAW70" s="137"/>
      <c r="AAX70" s="137"/>
      <c r="AAY70" s="137"/>
      <c r="AAZ70" s="137"/>
      <c r="ABA70" s="137"/>
      <c r="ABB70" s="137"/>
      <c r="ABC70" s="137"/>
      <c r="ABD70" s="137"/>
      <c r="ABE70" s="137"/>
      <c r="ABF70" s="137"/>
      <c r="ABG70" s="137"/>
      <c r="ABH70" s="137"/>
      <c r="ABI70" s="137"/>
      <c r="ABJ70" s="137"/>
      <c r="ABK70" s="137"/>
      <c r="ABL70" s="137"/>
      <c r="ABM70" s="137"/>
      <c r="ABN70" s="137"/>
      <c r="ABO70" s="137"/>
      <c r="ABP70" s="137"/>
      <c r="ABQ70" s="137"/>
      <c r="ABR70" s="137"/>
      <c r="ABS70" s="137"/>
      <c r="ABT70" s="137"/>
      <c r="ABU70" s="137"/>
      <c r="ABV70" s="137"/>
      <c r="ABW70" s="137"/>
      <c r="ABX70" s="137"/>
      <c r="ABY70" s="137"/>
      <c r="ABZ70" s="137"/>
      <c r="ACA70" s="137"/>
      <c r="ACB70" s="137"/>
      <c r="ACC70" s="137"/>
      <c r="ACD70" s="137"/>
      <c r="ACE70" s="137"/>
      <c r="ACF70" s="137"/>
      <c r="ACG70" s="137"/>
      <c r="ACH70" s="137"/>
      <c r="ACI70" s="137"/>
      <c r="ACJ70" s="137"/>
      <c r="ACK70" s="137"/>
      <c r="ACL70" s="137"/>
      <c r="ACM70" s="137"/>
      <c r="ACN70" s="137"/>
      <c r="ACO70" s="137"/>
      <c r="ACP70" s="137"/>
      <c r="ACQ70" s="137"/>
      <c r="ACR70" s="137"/>
      <c r="ACS70" s="137"/>
      <c r="ACT70" s="137"/>
      <c r="ACU70" s="137"/>
      <c r="ACV70" s="137"/>
      <c r="ACW70" s="137"/>
      <c r="ACX70" s="137"/>
      <c r="ACY70" s="137"/>
      <c r="ACZ70" s="137"/>
      <c r="ADA70" s="137"/>
      <c r="ADB70" s="137"/>
      <c r="ADC70" s="137"/>
      <c r="ADD70" s="137"/>
      <c r="ADE70" s="137"/>
      <c r="ADF70" s="137"/>
      <c r="ADG70" s="137"/>
      <c r="ADH70" s="137"/>
      <c r="ADI70" s="137"/>
      <c r="ADJ70" s="137"/>
      <c r="ADK70" s="137"/>
      <c r="ADL70" s="137"/>
      <c r="ADM70" s="137"/>
      <c r="ADN70" s="137"/>
      <c r="ADO70" s="137"/>
      <c r="ADP70" s="137"/>
      <c r="ADQ70" s="137"/>
      <c r="ADR70" s="137"/>
      <c r="ADS70" s="137"/>
      <c r="ADT70" s="137"/>
      <c r="ADU70" s="137"/>
      <c r="ADV70" s="137"/>
      <c r="ADW70" s="137"/>
      <c r="ADX70" s="137"/>
      <c r="ADY70" s="137"/>
      <c r="ADZ70" s="137"/>
      <c r="AEA70" s="137"/>
      <c r="AEB70" s="137"/>
      <c r="AEC70" s="137"/>
      <c r="AED70" s="137"/>
      <c r="AEE70" s="137"/>
      <c r="AEF70" s="137"/>
      <c r="AEG70" s="137"/>
      <c r="AEH70" s="137"/>
      <c r="AEI70" s="137"/>
      <c r="AEJ70" s="137"/>
      <c r="AEK70" s="137"/>
      <c r="AEL70" s="137"/>
      <c r="AEM70" s="137"/>
      <c r="AEN70" s="137"/>
      <c r="AEO70" s="137"/>
      <c r="AEP70" s="137"/>
      <c r="AEQ70" s="137"/>
      <c r="AER70" s="137"/>
      <c r="AES70" s="137"/>
      <c r="AET70" s="137"/>
      <c r="AEU70" s="137"/>
      <c r="AEV70" s="137"/>
      <c r="AEW70" s="137"/>
      <c r="AEX70" s="137"/>
      <c r="AEY70" s="137"/>
      <c r="AEZ70" s="137"/>
      <c r="AFA70" s="137"/>
      <c r="AFB70" s="137"/>
      <c r="AFC70" s="137"/>
      <c r="AFD70" s="137"/>
      <c r="AFE70" s="137"/>
      <c r="AFF70" s="137"/>
      <c r="AFG70" s="137"/>
      <c r="AFH70" s="137"/>
      <c r="AFI70" s="137"/>
      <c r="AFJ70" s="137"/>
      <c r="AFK70" s="137"/>
      <c r="AFL70" s="137"/>
      <c r="AFM70" s="137"/>
      <c r="AFN70" s="137"/>
      <c r="AFO70" s="137"/>
      <c r="AFP70" s="137"/>
      <c r="AFQ70" s="137"/>
      <c r="AFR70" s="137"/>
      <c r="AFS70" s="137"/>
      <c r="AFT70" s="137"/>
      <c r="AFU70" s="137"/>
      <c r="AFV70" s="137"/>
      <c r="AFW70" s="137"/>
      <c r="AFX70" s="137"/>
      <c r="AFY70" s="137"/>
      <c r="AFZ70" s="137"/>
      <c r="AGA70" s="137"/>
      <c r="AGB70" s="137"/>
      <c r="AGC70" s="137"/>
      <c r="AGD70" s="137"/>
      <c r="AGE70" s="137"/>
      <c r="AGF70" s="137"/>
      <c r="AGG70" s="137"/>
      <c r="AGH70" s="137"/>
      <c r="AGI70" s="137"/>
      <c r="AGJ70" s="137"/>
      <c r="AGK70" s="137"/>
      <c r="AGL70" s="137"/>
      <c r="AGM70" s="137"/>
      <c r="AGN70" s="137"/>
      <c r="AGO70" s="137"/>
      <c r="AGP70" s="137"/>
      <c r="AGQ70" s="137"/>
      <c r="AGR70" s="137"/>
      <c r="AGS70" s="137"/>
      <c r="AGT70" s="137"/>
      <c r="AGU70" s="137"/>
      <c r="AGV70" s="137"/>
      <c r="AGW70" s="137"/>
      <c r="AGX70" s="137"/>
      <c r="AGY70" s="137"/>
      <c r="AGZ70" s="137"/>
      <c r="AHA70" s="137"/>
      <c r="AHB70" s="137"/>
      <c r="AHC70" s="137"/>
      <c r="AHD70" s="137"/>
      <c r="AHE70" s="137"/>
      <c r="AHF70" s="137"/>
      <c r="AHG70" s="137"/>
      <c r="AHH70" s="137"/>
      <c r="AHI70" s="137"/>
      <c r="AHJ70" s="137"/>
      <c r="AHK70" s="137"/>
      <c r="AHL70" s="137"/>
      <c r="AHM70" s="137"/>
      <c r="AHN70" s="137"/>
      <c r="AHO70" s="137"/>
      <c r="AHP70" s="137"/>
      <c r="AHQ70" s="137"/>
      <c r="AHR70" s="137"/>
      <c r="AHS70" s="137"/>
      <c r="AHT70" s="137"/>
      <c r="AHU70" s="137"/>
      <c r="AHV70" s="137"/>
      <c r="AHW70" s="137"/>
      <c r="AHX70" s="137"/>
      <c r="AHY70" s="137"/>
      <c r="AHZ70" s="137"/>
      <c r="AIA70" s="137"/>
      <c r="AIB70" s="137"/>
      <c r="AIC70" s="137"/>
      <c r="AID70" s="137"/>
      <c r="AIE70" s="137"/>
      <c r="AIF70" s="137"/>
      <c r="AIG70" s="137"/>
      <c r="AIH70" s="137"/>
      <c r="AII70" s="137"/>
      <c r="AIJ70" s="137"/>
      <c r="AIK70" s="137"/>
      <c r="AIL70" s="137"/>
      <c r="AIM70" s="137"/>
      <c r="AIN70" s="137"/>
      <c r="AIO70" s="137"/>
      <c r="AIP70" s="137"/>
      <c r="AIQ70" s="137"/>
      <c r="AIR70" s="137"/>
      <c r="AIS70" s="137"/>
      <c r="AIT70" s="137"/>
      <c r="AIU70" s="137"/>
      <c r="AIV70" s="137"/>
      <c r="AIW70" s="137"/>
      <c r="AIX70" s="137"/>
      <c r="AIY70" s="137"/>
      <c r="AIZ70" s="137"/>
      <c r="AJA70" s="137"/>
      <c r="AJB70" s="137"/>
      <c r="AJC70" s="137"/>
      <c r="AJD70" s="137"/>
      <c r="AJE70" s="137"/>
      <c r="AJF70" s="137"/>
      <c r="AJG70" s="137"/>
      <c r="AJH70" s="137"/>
      <c r="AJI70" s="137"/>
      <c r="AJJ70" s="137"/>
      <c r="AJK70" s="137"/>
      <c r="AJL70" s="137"/>
      <c r="AJM70" s="137"/>
      <c r="AJN70" s="137"/>
      <c r="AJO70" s="137"/>
      <c r="AJP70" s="137"/>
      <c r="AJQ70" s="137"/>
      <c r="AJR70" s="137"/>
      <c r="AJS70" s="137"/>
      <c r="AJT70" s="137"/>
      <c r="AJU70" s="137"/>
      <c r="AJV70" s="137"/>
      <c r="AJW70" s="137"/>
      <c r="AJX70" s="137"/>
      <c r="AJY70" s="137"/>
      <c r="AJZ70" s="137"/>
      <c r="AKA70" s="137"/>
      <c r="AKB70" s="137"/>
      <c r="AKC70" s="137"/>
      <c r="AKD70" s="137"/>
      <c r="AKE70" s="137"/>
      <c r="AKF70" s="137"/>
      <c r="AKG70" s="137"/>
      <c r="AKH70" s="137"/>
      <c r="AKI70" s="137"/>
      <c r="AKJ70" s="137"/>
      <c r="AKK70" s="137"/>
      <c r="AKL70" s="137"/>
      <c r="AKM70" s="137"/>
      <c r="AKN70" s="137"/>
      <c r="AKO70" s="137"/>
      <c r="AKP70" s="137"/>
      <c r="AKQ70" s="137"/>
      <c r="AKR70" s="137"/>
      <c r="AKS70" s="137"/>
      <c r="AKT70" s="137"/>
      <c r="AKU70" s="137"/>
      <c r="AKV70" s="137"/>
      <c r="AKW70" s="137"/>
      <c r="AKX70" s="137"/>
      <c r="AKY70" s="137"/>
      <c r="AKZ70" s="137"/>
      <c r="ALA70" s="137"/>
      <c r="ALB70" s="137"/>
      <c r="ALC70" s="137"/>
      <c r="ALD70" s="137"/>
      <c r="ALE70" s="137"/>
      <c r="ALF70" s="137"/>
      <c r="ALG70" s="137"/>
      <c r="ALH70" s="137"/>
      <c r="ALI70" s="137"/>
      <c r="ALJ70" s="137"/>
      <c r="ALK70" s="137"/>
      <c r="ALL70" s="137"/>
      <c r="ALM70" s="137"/>
      <c r="ALN70" s="137"/>
      <c r="ALO70" s="137"/>
      <c r="ALP70" s="137"/>
      <c r="ALQ70" s="137"/>
      <c r="ALR70" s="137"/>
      <c r="ALS70" s="137"/>
      <c r="ALT70" s="137"/>
      <c r="ALU70" s="137"/>
      <c r="ALV70" s="137"/>
      <c r="ALW70" s="137"/>
      <c r="ALX70" s="137"/>
      <c r="ALY70" s="137"/>
      <c r="ALZ70" s="137"/>
      <c r="AMA70" s="137"/>
      <c r="AMB70" s="137"/>
      <c r="AMC70" s="137"/>
      <c r="AMD70" s="137"/>
      <c r="AME70" s="137"/>
      <c r="AMF70" s="137"/>
      <c r="AMG70" s="137"/>
      <c r="AMH70" s="137"/>
      <c r="AMI70" s="137"/>
      <c r="AMJ70" s="137"/>
      <c r="AMK70" s="137"/>
      <c r="AML70" s="137"/>
      <c r="AMM70" s="137"/>
      <c r="AMN70" s="137"/>
      <c r="AMO70" s="137"/>
      <c r="AMP70" s="137"/>
      <c r="AMQ70" s="137"/>
      <c r="AMR70" s="137"/>
      <c r="AMS70" s="137"/>
      <c r="AMT70" s="137"/>
      <c r="AMU70" s="137"/>
      <c r="AMV70" s="137"/>
      <c r="AMW70" s="137"/>
      <c r="AMX70" s="137"/>
      <c r="AMY70" s="137"/>
      <c r="AMZ70" s="137"/>
      <c r="ANA70" s="137"/>
      <c r="ANB70" s="137"/>
      <c r="ANC70" s="137"/>
      <c r="AND70" s="137"/>
      <c r="ANE70" s="137"/>
      <c r="ANF70" s="137"/>
      <c r="ANG70" s="137"/>
      <c r="ANH70" s="137"/>
      <c r="ANI70" s="137"/>
      <c r="ANJ70" s="137"/>
      <c r="ANK70" s="137"/>
      <c r="ANL70" s="137"/>
      <c r="ANM70" s="137"/>
      <c r="ANN70" s="137"/>
      <c r="ANO70" s="137"/>
      <c r="ANP70" s="137"/>
      <c r="ANQ70" s="137"/>
      <c r="ANR70" s="137"/>
      <c r="ANS70" s="137"/>
      <c r="ANT70" s="137"/>
      <c r="ANU70" s="137"/>
      <c r="ANV70" s="137"/>
      <c r="ANW70" s="137"/>
      <c r="ANX70" s="137"/>
      <c r="ANY70" s="137"/>
      <c r="ANZ70" s="137"/>
      <c r="AOA70" s="137"/>
      <c r="AOB70" s="137"/>
      <c r="AOC70" s="137"/>
      <c r="AOD70" s="137"/>
      <c r="AOE70" s="137"/>
      <c r="AOF70" s="137"/>
      <c r="AOG70" s="137"/>
      <c r="AOH70" s="137"/>
      <c r="AOI70" s="137"/>
      <c r="AOJ70" s="137"/>
      <c r="AOK70" s="137"/>
      <c r="AOL70" s="137"/>
      <c r="AOM70" s="137"/>
      <c r="AON70" s="137"/>
      <c r="AOO70" s="137"/>
      <c r="AOP70" s="137"/>
      <c r="AOQ70" s="137"/>
      <c r="AOR70" s="137"/>
      <c r="AOS70" s="137"/>
      <c r="AOT70" s="137"/>
      <c r="AOU70" s="137"/>
      <c r="AOV70" s="137"/>
      <c r="AOW70" s="137"/>
      <c r="AOX70" s="137"/>
      <c r="AOY70" s="137"/>
      <c r="AOZ70" s="137"/>
      <c r="APA70" s="137"/>
      <c r="APB70" s="137"/>
      <c r="APC70" s="137"/>
      <c r="APD70" s="137"/>
      <c r="APE70" s="137"/>
      <c r="APF70" s="137"/>
      <c r="APG70" s="137"/>
      <c r="APH70" s="137"/>
      <c r="API70" s="137"/>
      <c r="APJ70" s="137"/>
      <c r="APK70" s="137"/>
      <c r="APL70" s="137"/>
      <c r="APM70" s="137"/>
      <c r="APN70" s="137"/>
      <c r="APO70" s="137"/>
      <c r="APP70" s="137"/>
      <c r="APQ70" s="137"/>
      <c r="APR70" s="137"/>
      <c r="APS70" s="137"/>
      <c r="APT70" s="137"/>
      <c r="APU70" s="137"/>
      <c r="APV70" s="137"/>
      <c r="APW70" s="137"/>
      <c r="APX70" s="137"/>
      <c r="APY70" s="137"/>
      <c r="APZ70" s="137"/>
      <c r="AQA70" s="137"/>
      <c r="AQB70" s="137"/>
      <c r="AQC70" s="137"/>
      <c r="AQD70" s="137"/>
      <c r="AQE70" s="137"/>
      <c r="AQF70" s="137"/>
      <c r="AQG70" s="137"/>
      <c r="AQH70" s="137"/>
      <c r="AQI70" s="137"/>
      <c r="AQJ70" s="137"/>
      <c r="AQK70" s="137"/>
      <c r="AQL70" s="137"/>
      <c r="AQM70" s="137"/>
      <c r="AQN70" s="137"/>
      <c r="AQO70" s="137"/>
      <c r="AQP70" s="137"/>
      <c r="AQQ70" s="137"/>
      <c r="AQR70" s="137"/>
      <c r="AQS70" s="137"/>
      <c r="AQT70" s="137"/>
      <c r="AQU70" s="137"/>
      <c r="AQV70" s="137"/>
      <c r="AQW70" s="137"/>
      <c r="AQX70" s="137"/>
      <c r="AQY70" s="137"/>
      <c r="AQZ70" s="137"/>
      <c r="ARA70" s="137"/>
      <c r="ARB70" s="137"/>
      <c r="ARC70" s="137"/>
      <c r="ARD70" s="137"/>
      <c r="ARE70" s="137"/>
      <c r="ARF70" s="137"/>
      <c r="ARG70" s="137"/>
      <c r="ARH70" s="137"/>
      <c r="ARI70" s="137"/>
      <c r="ARJ70" s="137"/>
      <c r="ARK70" s="137"/>
      <c r="ARL70" s="137"/>
      <c r="ARM70" s="137"/>
      <c r="ARN70" s="137"/>
      <c r="ARO70" s="137"/>
      <c r="ARP70" s="137"/>
      <c r="ARQ70" s="137"/>
      <c r="ARR70" s="137"/>
      <c r="ARS70" s="137"/>
      <c r="ART70" s="137"/>
      <c r="ARU70" s="137"/>
      <c r="ARV70" s="137"/>
      <c r="ARW70" s="137"/>
      <c r="ARX70" s="137"/>
      <c r="ARY70" s="137"/>
      <c r="ARZ70" s="137"/>
      <c r="ASA70" s="137"/>
      <c r="ASB70" s="137"/>
      <c r="ASC70" s="137"/>
      <c r="ASD70" s="137"/>
      <c r="ASE70" s="137"/>
      <c r="ASF70" s="137"/>
      <c r="ASG70" s="137"/>
      <c r="ASH70" s="137"/>
      <c r="ASI70" s="137"/>
      <c r="ASJ70" s="137"/>
      <c r="ASK70" s="137"/>
      <c r="ASL70" s="137"/>
      <c r="ASM70" s="137"/>
      <c r="ASN70" s="137"/>
      <c r="ASO70" s="137"/>
      <c r="ASP70" s="137"/>
      <c r="ASQ70" s="137"/>
      <c r="ASR70" s="137"/>
      <c r="ASS70" s="137"/>
      <c r="AST70" s="137"/>
      <c r="ASU70" s="137"/>
      <c r="ASV70" s="137"/>
      <c r="ASW70" s="137"/>
      <c r="ASX70" s="137"/>
      <c r="ASY70" s="137"/>
      <c r="ASZ70" s="137"/>
      <c r="ATA70" s="137"/>
      <c r="ATB70" s="137"/>
      <c r="ATC70" s="137"/>
      <c r="ATD70" s="137"/>
      <c r="ATE70" s="137"/>
      <c r="ATF70" s="137"/>
      <c r="ATG70" s="137"/>
      <c r="ATH70" s="137"/>
      <c r="ATI70" s="137"/>
      <c r="ATJ70" s="137"/>
      <c r="ATK70" s="137"/>
      <c r="ATL70" s="137"/>
      <c r="ATM70" s="137"/>
      <c r="ATN70" s="137"/>
      <c r="ATO70" s="137"/>
      <c r="ATP70" s="137"/>
      <c r="ATQ70" s="137"/>
      <c r="ATR70" s="137"/>
      <c r="ATS70" s="137"/>
      <c r="ATT70" s="137"/>
      <c r="ATU70" s="137"/>
      <c r="ATV70" s="137"/>
      <c r="ATW70" s="137"/>
      <c r="ATX70" s="137"/>
      <c r="ATY70" s="137"/>
      <c r="ATZ70" s="137"/>
      <c r="AUA70" s="137"/>
      <c r="AUB70" s="137"/>
      <c r="AUC70" s="137"/>
      <c r="AUD70" s="137"/>
      <c r="AUE70" s="137"/>
      <c r="AUF70" s="137"/>
      <c r="AUG70" s="137"/>
      <c r="AUH70" s="137"/>
      <c r="AUI70" s="137"/>
      <c r="AUJ70" s="137"/>
      <c r="AUK70" s="137"/>
      <c r="AUL70" s="137"/>
      <c r="AUM70" s="137"/>
      <c r="AUN70" s="137"/>
      <c r="AUO70" s="137"/>
      <c r="AUP70" s="137"/>
      <c r="AUQ70" s="137"/>
      <c r="AUR70" s="137"/>
      <c r="AUS70" s="137"/>
      <c r="AUT70" s="137"/>
      <c r="AUU70" s="137"/>
      <c r="AUV70" s="137"/>
      <c r="AUW70" s="137"/>
      <c r="AUX70" s="137"/>
      <c r="AUY70" s="137"/>
      <c r="AUZ70" s="137"/>
      <c r="AVA70" s="137"/>
      <c r="AVB70" s="137"/>
      <c r="AVC70" s="137"/>
      <c r="AVD70" s="137"/>
      <c r="AVE70" s="137"/>
      <c r="AVF70" s="137"/>
      <c r="AVG70" s="137"/>
      <c r="AVH70" s="137"/>
      <c r="AVI70" s="137"/>
      <c r="AVJ70" s="137"/>
      <c r="AVK70" s="137"/>
      <c r="AVL70" s="137"/>
      <c r="AVM70" s="137"/>
      <c r="AVN70" s="137"/>
      <c r="AVO70" s="137"/>
      <c r="AVP70" s="137"/>
      <c r="AVQ70" s="137"/>
      <c r="AVR70" s="137"/>
      <c r="AVS70" s="137"/>
      <c r="AVT70" s="137"/>
      <c r="AVU70" s="137"/>
      <c r="AVV70" s="137"/>
      <c r="AVW70" s="137"/>
      <c r="AVX70" s="137"/>
      <c r="AVY70" s="137"/>
      <c r="AVZ70" s="137"/>
      <c r="AWA70" s="137"/>
      <c r="AWB70" s="137"/>
      <c r="AWC70" s="137"/>
      <c r="AWD70" s="137"/>
      <c r="AWE70" s="137"/>
      <c r="AWF70" s="137"/>
      <c r="AWG70" s="137"/>
      <c r="AWH70" s="137"/>
      <c r="AWI70" s="137"/>
      <c r="AWJ70" s="137"/>
      <c r="AWK70" s="137"/>
      <c r="AWL70" s="137"/>
      <c r="AWM70" s="137"/>
      <c r="AWN70" s="137"/>
      <c r="AWO70" s="137"/>
      <c r="AWP70" s="137"/>
      <c r="AWQ70" s="137"/>
      <c r="AWR70" s="137"/>
      <c r="AWS70" s="137"/>
      <c r="AWT70" s="137"/>
      <c r="AWU70" s="137"/>
      <c r="AWV70" s="137"/>
      <c r="AWW70" s="137"/>
      <c r="AWX70" s="137"/>
      <c r="AWY70" s="137"/>
      <c r="AWZ70" s="137"/>
      <c r="AXA70" s="137"/>
      <c r="AXB70" s="137"/>
      <c r="AXC70" s="137"/>
      <c r="AXD70" s="137"/>
      <c r="AXE70" s="137"/>
      <c r="AXF70" s="137"/>
      <c r="AXG70" s="137"/>
      <c r="AXH70" s="137"/>
      <c r="AXI70" s="137"/>
      <c r="AXJ70" s="137"/>
      <c r="AXK70" s="137"/>
      <c r="AXL70" s="137"/>
      <c r="AXM70" s="137"/>
      <c r="AXN70" s="137"/>
      <c r="AXO70" s="137"/>
      <c r="AXP70" s="137"/>
      <c r="AXQ70" s="137"/>
      <c r="AXR70" s="137"/>
      <c r="AXS70" s="137"/>
      <c r="AXT70" s="137"/>
      <c r="AXU70" s="137"/>
      <c r="AXV70" s="137"/>
      <c r="AXW70" s="137"/>
      <c r="AXX70" s="137"/>
      <c r="AXY70" s="137"/>
      <c r="AXZ70" s="137"/>
      <c r="AYA70" s="137"/>
      <c r="AYB70" s="137"/>
      <c r="AYC70" s="137"/>
      <c r="AYD70" s="137"/>
      <c r="AYE70" s="137"/>
      <c r="AYF70" s="137"/>
      <c r="AYG70" s="137"/>
      <c r="AYH70" s="137"/>
      <c r="AYI70" s="137"/>
      <c r="AYJ70" s="137"/>
      <c r="AYK70" s="137"/>
      <c r="AYL70" s="137"/>
      <c r="AYM70" s="137"/>
      <c r="AYN70" s="137"/>
      <c r="AYO70" s="137"/>
      <c r="AYP70" s="137"/>
      <c r="AYQ70" s="137"/>
      <c r="AYR70" s="137"/>
      <c r="AYS70" s="137"/>
      <c r="AYT70" s="137"/>
      <c r="AYU70" s="137"/>
      <c r="AYV70" s="137"/>
      <c r="AYW70" s="137"/>
      <c r="AYX70" s="137"/>
      <c r="AYY70" s="137"/>
      <c r="AYZ70" s="137"/>
      <c r="AZA70" s="137"/>
      <c r="AZB70" s="137"/>
      <c r="AZC70" s="137"/>
      <c r="AZD70" s="137"/>
      <c r="AZE70" s="137"/>
      <c r="AZF70" s="137"/>
      <c r="AZG70" s="137"/>
      <c r="AZH70" s="137"/>
      <c r="AZI70" s="137"/>
      <c r="AZJ70" s="137"/>
      <c r="AZK70" s="137"/>
      <c r="AZL70" s="137"/>
      <c r="AZM70" s="137"/>
      <c r="AZN70" s="137"/>
      <c r="AZO70" s="137"/>
      <c r="AZP70" s="137"/>
      <c r="AZQ70" s="137"/>
      <c r="AZR70" s="137"/>
      <c r="AZS70" s="137"/>
      <c r="AZT70" s="137"/>
      <c r="AZU70" s="137"/>
      <c r="AZV70" s="137"/>
      <c r="AZW70" s="137"/>
      <c r="AZX70" s="137"/>
      <c r="AZY70" s="137"/>
      <c r="AZZ70" s="137"/>
      <c r="BAA70" s="137"/>
      <c r="BAB70" s="137"/>
      <c r="BAC70" s="137"/>
      <c r="BAD70" s="137"/>
      <c r="BAE70" s="137"/>
      <c r="BAF70" s="137"/>
      <c r="BAG70" s="137"/>
      <c r="BAH70" s="137"/>
      <c r="BAI70" s="137"/>
      <c r="BAJ70" s="137"/>
      <c r="BAK70" s="137"/>
      <c r="BAL70" s="137"/>
      <c r="BAM70" s="137"/>
      <c r="BAN70" s="137"/>
      <c r="BAO70" s="137"/>
      <c r="BAP70" s="137"/>
      <c r="BAQ70" s="137"/>
      <c r="BAR70" s="137"/>
      <c r="BAS70" s="137"/>
      <c r="BAT70" s="137"/>
      <c r="BAU70" s="137"/>
      <c r="BAV70" s="137"/>
      <c r="BAW70" s="137"/>
      <c r="BAX70" s="137"/>
      <c r="BAY70" s="137"/>
      <c r="BAZ70" s="137"/>
      <c r="BBA70" s="137"/>
      <c r="BBB70" s="137"/>
      <c r="BBC70" s="137"/>
      <c r="BBD70" s="137"/>
      <c r="BBE70" s="137"/>
      <c r="BBF70" s="137"/>
      <c r="BBG70" s="137"/>
      <c r="BBH70" s="137"/>
      <c r="BBI70" s="137"/>
      <c r="BBJ70" s="137"/>
      <c r="BBK70" s="137"/>
      <c r="BBL70" s="137"/>
      <c r="BBM70" s="137"/>
      <c r="BBN70" s="137"/>
      <c r="BBO70" s="137"/>
      <c r="BBP70" s="137"/>
      <c r="BBQ70" s="137"/>
      <c r="BBR70" s="137"/>
      <c r="BBS70" s="137"/>
      <c r="BBT70" s="137"/>
      <c r="BBU70" s="137"/>
      <c r="BBV70" s="137"/>
      <c r="BBW70" s="137"/>
      <c r="BBX70" s="137"/>
      <c r="BBY70" s="137"/>
      <c r="BBZ70" s="137"/>
      <c r="BCA70" s="137"/>
      <c r="BCB70" s="137"/>
      <c r="BCC70" s="137"/>
      <c r="BCD70" s="137"/>
      <c r="BCE70" s="137"/>
      <c r="BCF70" s="137"/>
      <c r="BCG70" s="137"/>
      <c r="BCH70" s="137"/>
      <c r="BCI70" s="137"/>
      <c r="BCJ70" s="137"/>
      <c r="BCK70" s="137"/>
      <c r="BCL70" s="137"/>
      <c r="BCM70" s="137"/>
      <c r="BCN70" s="137"/>
      <c r="BCO70" s="137"/>
      <c r="BCP70" s="137"/>
      <c r="BCQ70" s="137"/>
      <c r="BCR70" s="137"/>
      <c r="BCS70" s="137"/>
      <c r="BCT70" s="137"/>
      <c r="BCU70" s="137"/>
      <c r="BCV70" s="137"/>
      <c r="BCW70" s="137"/>
      <c r="BCX70" s="137"/>
      <c r="BCY70" s="137"/>
      <c r="BCZ70" s="137"/>
      <c r="BDA70" s="137"/>
      <c r="BDB70" s="137"/>
      <c r="BDC70" s="137"/>
      <c r="BDD70" s="137"/>
      <c r="BDE70" s="137"/>
      <c r="BDF70" s="137"/>
      <c r="BDG70" s="137"/>
      <c r="BDH70" s="137"/>
      <c r="BDI70" s="137"/>
      <c r="BDJ70" s="137"/>
      <c r="BDK70" s="137"/>
      <c r="BDL70" s="137"/>
      <c r="BDM70" s="137"/>
      <c r="BDN70" s="137"/>
      <c r="BDO70" s="137"/>
      <c r="BDP70" s="137"/>
      <c r="BDQ70" s="137"/>
      <c r="BDR70" s="137"/>
      <c r="BDS70" s="137"/>
      <c r="BDT70" s="137"/>
      <c r="BDU70" s="137"/>
      <c r="BDV70" s="137"/>
      <c r="BDW70" s="137"/>
      <c r="BDX70" s="137"/>
      <c r="BDY70" s="137"/>
      <c r="BDZ70" s="137"/>
      <c r="BEA70" s="137"/>
      <c r="BEB70" s="137"/>
      <c r="BEC70" s="137"/>
      <c r="BED70" s="137"/>
      <c r="BEE70" s="137"/>
      <c r="BEF70" s="137"/>
      <c r="BEG70" s="137"/>
      <c r="BEH70" s="137"/>
      <c r="BEI70" s="137"/>
      <c r="BEJ70" s="137"/>
      <c r="BEK70" s="137"/>
      <c r="BEL70" s="137"/>
      <c r="BEM70" s="137"/>
      <c r="BEN70" s="137"/>
      <c r="BEO70" s="137"/>
      <c r="BEP70" s="137"/>
      <c r="BEQ70" s="137"/>
      <c r="BER70" s="137"/>
      <c r="BES70" s="137"/>
      <c r="BET70" s="137"/>
      <c r="BEU70" s="137"/>
      <c r="BEV70" s="137"/>
      <c r="BEW70" s="137"/>
      <c r="BEX70" s="137"/>
      <c r="BEY70" s="137"/>
      <c r="BEZ70" s="137"/>
      <c r="BFA70" s="137"/>
      <c r="BFB70" s="137"/>
      <c r="BFC70" s="137"/>
      <c r="BFD70" s="137"/>
      <c r="BFE70" s="137"/>
      <c r="BFF70" s="137"/>
      <c r="BFG70" s="137"/>
      <c r="BFH70" s="137"/>
      <c r="BFI70" s="137"/>
      <c r="BFJ70" s="137"/>
      <c r="BFK70" s="137"/>
      <c r="BFL70" s="137"/>
      <c r="BFM70" s="137"/>
      <c r="BFN70" s="137"/>
      <c r="BFO70" s="137"/>
      <c r="BFP70" s="137"/>
      <c r="BFQ70" s="137"/>
      <c r="BFR70" s="137"/>
      <c r="BFS70" s="137"/>
      <c r="BFT70" s="137"/>
      <c r="BFU70" s="137"/>
      <c r="BFV70" s="137"/>
      <c r="BFW70" s="137"/>
      <c r="BFX70" s="137"/>
      <c r="BFY70" s="137"/>
      <c r="BFZ70" s="137"/>
      <c r="BGA70" s="137"/>
      <c r="BGB70" s="137"/>
      <c r="BGC70" s="137"/>
      <c r="BGD70" s="137"/>
      <c r="BGE70" s="137"/>
      <c r="BGF70" s="137"/>
      <c r="BGG70" s="137"/>
      <c r="BGH70" s="137"/>
      <c r="BGI70" s="137"/>
      <c r="BGJ70" s="137"/>
      <c r="BGK70" s="137"/>
      <c r="BGL70" s="137"/>
      <c r="BGM70" s="137"/>
      <c r="BGN70" s="137"/>
      <c r="BGO70" s="137"/>
      <c r="BGP70" s="137"/>
      <c r="BGQ70" s="137"/>
      <c r="BGR70" s="137"/>
      <c r="BGS70" s="137"/>
      <c r="BGT70" s="137"/>
      <c r="BGU70" s="137"/>
      <c r="BGV70" s="137"/>
      <c r="BGW70" s="137"/>
      <c r="BGX70" s="137"/>
      <c r="BGY70" s="137"/>
      <c r="BGZ70" s="137"/>
      <c r="BHA70" s="137"/>
      <c r="BHB70" s="137"/>
      <c r="BHC70" s="137"/>
      <c r="BHD70" s="137"/>
      <c r="BHE70" s="137"/>
      <c r="BHF70" s="137"/>
      <c r="BHG70" s="137"/>
      <c r="BHH70" s="137"/>
      <c r="BHI70" s="137"/>
      <c r="BHJ70" s="137"/>
      <c r="BHK70" s="137"/>
      <c r="BHL70" s="137"/>
      <c r="BHM70" s="137"/>
      <c r="BHN70" s="137"/>
      <c r="BHO70" s="137"/>
      <c r="BHP70" s="137"/>
      <c r="BHQ70" s="137"/>
      <c r="BHR70" s="137"/>
      <c r="BHS70" s="137"/>
      <c r="BHT70" s="137"/>
      <c r="BHU70" s="137"/>
      <c r="BHV70" s="137"/>
      <c r="BHW70" s="137"/>
      <c r="BHX70" s="137"/>
      <c r="BHY70" s="137"/>
      <c r="BHZ70" s="137"/>
      <c r="BIA70" s="137"/>
      <c r="BIB70" s="137"/>
      <c r="BIC70" s="137"/>
      <c r="BID70" s="137"/>
      <c r="BIE70" s="137"/>
      <c r="BIF70" s="137"/>
      <c r="BIG70" s="137"/>
      <c r="BIH70" s="137"/>
      <c r="BII70" s="137"/>
      <c r="BIJ70" s="137"/>
      <c r="BIK70" s="137"/>
      <c r="BIL70" s="137"/>
      <c r="BIM70" s="137"/>
      <c r="BIN70" s="137"/>
      <c r="BIO70" s="137"/>
      <c r="BIP70" s="137"/>
      <c r="BIQ70" s="137"/>
      <c r="BIR70" s="137"/>
      <c r="BIS70" s="137"/>
      <c r="BIT70" s="137"/>
      <c r="BIU70" s="137"/>
      <c r="BIV70" s="137"/>
      <c r="BIW70" s="137"/>
      <c r="BIX70" s="137"/>
      <c r="BIY70" s="137"/>
      <c r="BIZ70" s="137"/>
      <c r="BJA70" s="137"/>
      <c r="BJB70" s="137"/>
      <c r="BJC70" s="137"/>
      <c r="BJD70" s="137"/>
      <c r="BJE70" s="137"/>
      <c r="BJF70" s="137"/>
      <c r="BJG70" s="137"/>
      <c r="BJH70" s="137"/>
      <c r="BJI70" s="137"/>
      <c r="BJJ70" s="137"/>
      <c r="BJK70" s="137"/>
      <c r="BJL70" s="137"/>
      <c r="BJM70" s="137"/>
      <c r="BJN70" s="137"/>
      <c r="BJO70" s="137"/>
      <c r="BJP70" s="137"/>
      <c r="BJQ70" s="137"/>
      <c r="BJR70" s="137"/>
      <c r="BJS70" s="137"/>
      <c r="BJT70" s="137"/>
      <c r="BJU70" s="137"/>
      <c r="BJV70" s="137"/>
      <c r="BJW70" s="137"/>
      <c r="BJX70" s="137"/>
      <c r="BJY70" s="137"/>
      <c r="BJZ70" s="137"/>
      <c r="BKA70" s="137"/>
      <c r="BKB70" s="137"/>
      <c r="BKC70" s="137"/>
      <c r="BKD70" s="137"/>
      <c r="BKE70" s="137"/>
      <c r="BKF70" s="137"/>
      <c r="BKG70" s="137"/>
      <c r="BKH70" s="137"/>
      <c r="BKI70" s="137"/>
      <c r="BKJ70" s="137"/>
      <c r="BKK70" s="137"/>
      <c r="BKL70" s="137"/>
      <c r="BKM70" s="137"/>
      <c r="BKN70" s="137"/>
      <c r="BKO70" s="137"/>
      <c r="BKP70" s="137"/>
      <c r="BKQ70" s="137"/>
      <c r="BKR70" s="137"/>
      <c r="BKS70" s="137"/>
      <c r="BKT70" s="137"/>
      <c r="BKU70" s="137"/>
      <c r="BKV70" s="137"/>
      <c r="BKW70" s="137"/>
      <c r="BKX70" s="137"/>
      <c r="BKY70" s="137"/>
      <c r="BKZ70" s="137"/>
      <c r="BLA70" s="137"/>
      <c r="BLB70" s="137"/>
      <c r="BLC70" s="137"/>
      <c r="BLD70" s="137"/>
      <c r="BLE70" s="137"/>
      <c r="BLF70" s="137"/>
      <c r="BLG70" s="137"/>
      <c r="BLH70" s="137"/>
      <c r="BLI70" s="137"/>
      <c r="BLJ70" s="137"/>
      <c r="BLK70" s="137"/>
      <c r="BLL70" s="137"/>
      <c r="BLM70" s="137"/>
      <c r="BLN70" s="137"/>
      <c r="BLO70" s="137"/>
      <c r="BLP70" s="137"/>
      <c r="BLQ70" s="137"/>
      <c r="BLR70" s="137"/>
      <c r="BLS70" s="137"/>
      <c r="BLT70" s="137"/>
      <c r="BLU70" s="137"/>
      <c r="BLV70" s="137"/>
      <c r="BLW70" s="137"/>
      <c r="BLX70" s="137"/>
      <c r="BLY70" s="137"/>
      <c r="BLZ70" s="137"/>
      <c r="BMA70" s="137"/>
      <c r="BMB70" s="137"/>
      <c r="BMC70" s="137"/>
      <c r="BMD70" s="137"/>
      <c r="BME70" s="137"/>
      <c r="BMF70" s="137"/>
      <c r="BMG70" s="137"/>
      <c r="BMH70" s="137"/>
      <c r="BMI70" s="137"/>
      <c r="BMJ70" s="137"/>
      <c r="BMK70" s="137"/>
      <c r="BML70" s="137"/>
      <c r="BMM70" s="137"/>
      <c r="BMN70" s="137"/>
      <c r="BMO70" s="137"/>
      <c r="BMP70" s="137"/>
      <c r="BMQ70" s="137"/>
      <c r="BMR70" s="137"/>
      <c r="BMS70" s="137"/>
      <c r="BMT70" s="137"/>
      <c r="BMU70" s="137"/>
      <c r="BMV70" s="137"/>
      <c r="BMW70" s="137"/>
      <c r="BMX70" s="137"/>
      <c r="BMY70" s="137"/>
      <c r="BMZ70" s="137"/>
      <c r="BNA70" s="137"/>
      <c r="BNB70" s="137"/>
      <c r="BNC70" s="137"/>
      <c r="BND70" s="137"/>
      <c r="BNE70" s="137"/>
      <c r="BNF70" s="137"/>
      <c r="BNG70" s="137"/>
      <c r="BNH70" s="137"/>
      <c r="BNI70" s="137"/>
      <c r="BNJ70" s="137"/>
      <c r="BNK70" s="137"/>
      <c r="BNL70" s="137"/>
      <c r="BNM70" s="137"/>
      <c r="BNN70" s="137"/>
      <c r="BNO70" s="137"/>
      <c r="BNP70" s="137"/>
      <c r="BNQ70" s="137"/>
      <c r="BNR70" s="137"/>
      <c r="BNS70" s="137"/>
      <c r="BNT70" s="137"/>
      <c r="BNU70" s="137"/>
      <c r="BNV70" s="137"/>
      <c r="BNW70" s="137"/>
      <c r="BNX70" s="137"/>
      <c r="BNY70" s="137"/>
      <c r="BNZ70" s="137"/>
      <c r="BOA70" s="137"/>
      <c r="BOB70" s="137"/>
      <c r="BOC70" s="137"/>
      <c r="BOD70" s="137"/>
      <c r="BOE70" s="137"/>
      <c r="BOF70" s="137"/>
      <c r="BOG70" s="137"/>
      <c r="BOH70" s="137"/>
      <c r="BOI70" s="137"/>
      <c r="BOJ70" s="137"/>
      <c r="BOK70" s="137"/>
      <c r="BOL70" s="137"/>
      <c r="BOM70" s="137"/>
      <c r="BON70" s="137"/>
      <c r="BOO70" s="137"/>
      <c r="BOP70" s="137"/>
      <c r="BOQ70" s="137"/>
      <c r="BOR70" s="137"/>
      <c r="BOS70" s="137"/>
      <c r="BOT70" s="137"/>
      <c r="BOU70" s="137"/>
      <c r="BOV70" s="137"/>
      <c r="BOW70" s="137"/>
      <c r="BOX70" s="137"/>
      <c r="BOY70" s="137"/>
      <c r="BOZ70" s="137"/>
      <c r="BPA70" s="137"/>
      <c r="BPB70" s="137"/>
      <c r="BPC70" s="137"/>
      <c r="BPD70" s="137"/>
      <c r="BPE70" s="137"/>
      <c r="BPF70" s="137"/>
      <c r="BPG70" s="137"/>
      <c r="BPH70" s="137"/>
      <c r="BPI70" s="137"/>
      <c r="BPJ70" s="137"/>
      <c r="BPK70" s="137"/>
      <c r="BPL70" s="137"/>
      <c r="BPM70" s="137"/>
      <c r="BPN70" s="137"/>
      <c r="BPO70" s="137"/>
      <c r="BPP70" s="137"/>
      <c r="BPQ70" s="137"/>
      <c r="BPR70" s="137"/>
      <c r="BPS70" s="137"/>
      <c r="BPT70" s="137"/>
      <c r="BPU70" s="137"/>
      <c r="BPV70" s="137"/>
      <c r="BPW70" s="137"/>
      <c r="BPX70" s="137"/>
      <c r="BPY70" s="137"/>
      <c r="BPZ70" s="137"/>
      <c r="BQA70" s="137"/>
      <c r="BQB70" s="137"/>
      <c r="BQC70" s="137"/>
      <c r="BQD70" s="137"/>
      <c r="BQE70" s="137"/>
      <c r="BQF70" s="137"/>
      <c r="BQG70" s="137"/>
      <c r="BQH70" s="137"/>
      <c r="BQI70" s="137"/>
      <c r="BQJ70" s="137"/>
      <c r="BQK70" s="137"/>
      <c r="BQL70" s="137"/>
      <c r="BQM70" s="137"/>
      <c r="BQN70" s="137"/>
      <c r="BQO70" s="137"/>
      <c r="BQP70" s="137"/>
      <c r="BQQ70" s="137"/>
      <c r="BQR70" s="137"/>
      <c r="BQS70" s="137"/>
      <c r="BQT70" s="137"/>
      <c r="BQU70" s="137"/>
      <c r="BQV70" s="137"/>
      <c r="BQW70" s="137"/>
      <c r="BQX70" s="137"/>
      <c r="BQY70" s="137"/>
      <c r="BQZ70" s="137"/>
      <c r="BRA70" s="137"/>
      <c r="BRB70" s="137"/>
      <c r="BRC70" s="137"/>
      <c r="BRD70" s="137"/>
      <c r="BRE70" s="137"/>
      <c r="BRF70" s="137"/>
      <c r="BRG70" s="137"/>
      <c r="BRH70" s="137"/>
      <c r="BRI70" s="137"/>
      <c r="BRJ70" s="137"/>
      <c r="BRK70" s="137"/>
      <c r="BRL70" s="137"/>
      <c r="BRM70" s="137"/>
      <c r="BRN70" s="137"/>
      <c r="BRO70" s="137"/>
      <c r="BRP70" s="137"/>
      <c r="BRQ70" s="137"/>
      <c r="BRR70" s="137"/>
      <c r="BRS70" s="137"/>
      <c r="BRT70" s="137"/>
      <c r="BRU70" s="137"/>
      <c r="BRV70" s="137"/>
      <c r="BRW70" s="137"/>
      <c r="BRX70" s="137"/>
      <c r="BRY70" s="137"/>
      <c r="BRZ70" s="137"/>
      <c r="BSA70" s="137"/>
      <c r="BSB70" s="137"/>
      <c r="BSC70" s="137"/>
      <c r="BSD70" s="137"/>
      <c r="BSE70" s="137"/>
      <c r="BSF70" s="137"/>
      <c r="BSG70" s="137"/>
      <c r="BSH70" s="137"/>
      <c r="BSI70" s="137"/>
      <c r="BSJ70" s="137"/>
      <c r="BSK70" s="137"/>
      <c r="BSL70" s="137"/>
      <c r="BSM70" s="137"/>
      <c r="BSN70" s="137"/>
      <c r="BSO70" s="137"/>
      <c r="BSP70" s="137"/>
      <c r="BSQ70" s="137"/>
      <c r="BSR70" s="137"/>
      <c r="BSS70" s="137"/>
      <c r="BST70" s="137"/>
      <c r="BSU70" s="137"/>
      <c r="BSV70" s="137"/>
      <c r="BSW70" s="137"/>
      <c r="BSX70" s="137"/>
      <c r="BSY70" s="137"/>
      <c r="BSZ70" s="137"/>
      <c r="BTA70" s="137"/>
      <c r="BTB70" s="137"/>
      <c r="BTC70" s="137"/>
      <c r="BTD70" s="137"/>
      <c r="BTE70" s="137"/>
      <c r="BTF70" s="137"/>
      <c r="BTG70" s="137"/>
      <c r="BTH70" s="137"/>
      <c r="BTI70" s="137"/>
      <c r="BTJ70" s="137"/>
      <c r="BTK70" s="137"/>
      <c r="BTL70" s="137"/>
      <c r="BTM70" s="137"/>
      <c r="BTN70" s="137"/>
      <c r="BTO70" s="137"/>
      <c r="BTP70" s="137"/>
      <c r="BTQ70" s="137"/>
      <c r="BTR70" s="137"/>
      <c r="BTS70" s="137"/>
      <c r="BTT70" s="137"/>
      <c r="BTU70" s="137"/>
      <c r="BTV70" s="137"/>
      <c r="BTW70" s="137"/>
      <c r="BTX70" s="137"/>
      <c r="BTY70" s="137"/>
      <c r="BTZ70" s="137"/>
      <c r="BUA70" s="137"/>
      <c r="BUB70" s="137"/>
      <c r="BUC70" s="137"/>
      <c r="BUD70" s="137"/>
      <c r="BUE70" s="137"/>
      <c r="BUF70" s="137"/>
      <c r="BUG70" s="137"/>
      <c r="BUH70" s="137"/>
      <c r="BUI70" s="137"/>
      <c r="BUJ70" s="137"/>
      <c r="BUK70" s="137"/>
      <c r="BUL70" s="137"/>
      <c r="BUM70" s="137"/>
      <c r="BUN70" s="137"/>
      <c r="BUO70" s="137"/>
      <c r="BUP70" s="137"/>
      <c r="BUQ70" s="137"/>
      <c r="BUR70" s="137"/>
      <c r="BUS70" s="137"/>
      <c r="BUT70" s="137"/>
      <c r="BUU70" s="137"/>
      <c r="BUV70" s="137"/>
      <c r="BUW70" s="137"/>
      <c r="BUX70" s="137"/>
      <c r="BUY70" s="137"/>
      <c r="BUZ70" s="137"/>
      <c r="BVA70" s="137"/>
      <c r="BVB70" s="137"/>
      <c r="BVC70" s="137"/>
      <c r="BVD70" s="137"/>
      <c r="BVE70" s="137"/>
      <c r="BVF70" s="137"/>
      <c r="BVG70" s="137"/>
      <c r="BVH70" s="137"/>
      <c r="BVI70" s="137"/>
      <c r="BVJ70" s="137"/>
      <c r="BVK70" s="137"/>
      <c r="BVL70" s="137"/>
      <c r="BVM70" s="137"/>
      <c r="BVN70" s="137"/>
      <c r="BVO70" s="137"/>
      <c r="BVP70" s="137"/>
      <c r="BVQ70" s="137"/>
      <c r="BVR70" s="137"/>
      <c r="BVS70" s="137"/>
      <c r="BVT70" s="137"/>
      <c r="BVU70" s="137"/>
      <c r="BVV70" s="137"/>
      <c r="BVW70" s="137"/>
      <c r="BVX70" s="137"/>
      <c r="BVY70" s="137"/>
      <c r="BVZ70" s="137"/>
      <c r="BWA70" s="137"/>
      <c r="BWB70" s="137"/>
      <c r="BWC70" s="137"/>
      <c r="BWD70" s="137"/>
      <c r="BWE70" s="137"/>
      <c r="BWF70" s="137"/>
      <c r="BWG70" s="137"/>
      <c r="BWH70" s="137"/>
      <c r="BWI70" s="137"/>
      <c r="BWJ70" s="137"/>
      <c r="BWK70" s="137"/>
      <c r="BWL70" s="137"/>
      <c r="BWM70" s="137"/>
      <c r="BWN70" s="137"/>
      <c r="BWO70" s="137"/>
      <c r="BWP70" s="137"/>
      <c r="BWQ70" s="137"/>
      <c r="BWR70" s="137"/>
      <c r="BWS70" s="137"/>
      <c r="BWT70" s="137"/>
      <c r="BWU70" s="137"/>
      <c r="BWV70" s="137"/>
      <c r="BWW70" s="137"/>
      <c r="BWX70" s="137"/>
      <c r="BWY70" s="137"/>
      <c r="BWZ70" s="137"/>
      <c r="BXA70" s="137"/>
      <c r="BXB70" s="137"/>
      <c r="BXC70" s="137"/>
      <c r="BXD70" s="137"/>
      <c r="BXE70" s="137"/>
      <c r="BXF70" s="137"/>
      <c r="BXG70" s="137"/>
      <c r="BXH70" s="137"/>
      <c r="BXI70" s="137"/>
      <c r="BXJ70" s="137"/>
      <c r="BXK70" s="137"/>
      <c r="BXL70" s="137"/>
      <c r="BXM70" s="137"/>
      <c r="BXN70" s="137"/>
      <c r="BXO70" s="137"/>
      <c r="BXP70" s="137"/>
      <c r="BXQ70" s="137"/>
      <c r="BXR70" s="137"/>
      <c r="BXS70" s="137"/>
      <c r="BXT70" s="137"/>
      <c r="BXU70" s="137"/>
      <c r="BXV70" s="137"/>
      <c r="BXW70" s="137"/>
      <c r="BXX70" s="137"/>
      <c r="BXY70" s="137"/>
      <c r="BXZ70" s="137"/>
      <c r="BYA70" s="137"/>
      <c r="BYB70" s="137"/>
      <c r="BYC70" s="137"/>
      <c r="BYD70" s="137"/>
      <c r="BYE70" s="137"/>
      <c r="BYF70" s="137"/>
      <c r="BYG70" s="137"/>
      <c r="BYH70" s="137"/>
      <c r="BYI70" s="137"/>
      <c r="BYJ70" s="137"/>
      <c r="BYK70" s="137"/>
      <c r="BYL70" s="137"/>
      <c r="BYM70" s="137"/>
      <c r="BYN70" s="137"/>
      <c r="BYO70" s="137"/>
      <c r="BYP70" s="137"/>
      <c r="BYQ70" s="137"/>
      <c r="BYR70" s="137"/>
      <c r="BYS70" s="137"/>
      <c r="BYT70" s="137"/>
      <c r="BYU70" s="137"/>
      <c r="BYV70" s="137"/>
      <c r="BYW70" s="137"/>
      <c r="BYX70" s="137"/>
      <c r="BYY70" s="137"/>
      <c r="BYZ70" s="137"/>
      <c r="BZA70" s="137"/>
      <c r="BZB70" s="137"/>
      <c r="BZC70" s="137"/>
      <c r="BZD70" s="137"/>
      <c r="BZE70" s="137"/>
      <c r="BZF70" s="137"/>
      <c r="BZG70" s="137"/>
      <c r="BZH70" s="137"/>
      <c r="BZI70" s="137"/>
      <c r="BZJ70" s="137"/>
      <c r="BZK70" s="137"/>
      <c r="BZL70" s="137"/>
      <c r="BZM70" s="137"/>
      <c r="BZN70" s="137"/>
      <c r="BZO70" s="137"/>
      <c r="BZP70" s="137"/>
      <c r="BZQ70" s="137"/>
      <c r="BZR70" s="137"/>
      <c r="BZS70" s="137"/>
      <c r="BZT70" s="137"/>
      <c r="BZU70" s="137"/>
      <c r="BZV70" s="137"/>
      <c r="BZW70" s="137"/>
      <c r="BZX70" s="137"/>
      <c r="BZY70" s="137"/>
      <c r="BZZ70" s="137"/>
      <c r="CAA70" s="137"/>
      <c r="CAB70" s="137"/>
      <c r="CAC70" s="137"/>
      <c r="CAD70" s="137"/>
      <c r="CAE70" s="137"/>
      <c r="CAF70" s="137"/>
      <c r="CAG70" s="137"/>
      <c r="CAH70" s="137"/>
      <c r="CAI70" s="137"/>
      <c r="CAJ70" s="137"/>
      <c r="CAK70" s="137"/>
      <c r="CAL70" s="137"/>
      <c r="CAM70" s="137"/>
      <c r="CAN70" s="137"/>
      <c r="CAO70" s="137"/>
      <c r="CAP70" s="137"/>
      <c r="CAQ70" s="137"/>
      <c r="CAR70" s="137"/>
      <c r="CAS70" s="137"/>
      <c r="CAT70" s="137"/>
      <c r="CAU70" s="137"/>
      <c r="CAV70" s="137"/>
      <c r="CAW70" s="137"/>
      <c r="CAX70" s="137"/>
      <c r="CAY70" s="137"/>
      <c r="CAZ70" s="137"/>
      <c r="CBA70" s="137"/>
      <c r="CBB70" s="137"/>
      <c r="CBC70" s="137"/>
      <c r="CBD70" s="137"/>
      <c r="CBE70" s="137"/>
      <c r="CBF70" s="137"/>
      <c r="CBG70" s="137"/>
      <c r="CBH70" s="137"/>
      <c r="CBI70" s="137"/>
      <c r="CBJ70" s="137"/>
      <c r="CBK70" s="137"/>
      <c r="CBL70" s="137"/>
      <c r="CBM70" s="137"/>
      <c r="CBN70" s="137"/>
      <c r="CBO70" s="137"/>
      <c r="CBP70" s="137"/>
      <c r="CBQ70" s="137"/>
      <c r="CBR70" s="137"/>
      <c r="CBS70" s="137"/>
      <c r="CBT70" s="137"/>
      <c r="CBU70" s="137"/>
      <c r="CBV70" s="137"/>
      <c r="CBW70" s="137"/>
      <c r="CBX70" s="137"/>
      <c r="CBY70" s="137"/>
      <c r="CBZ70" s="137"/>
      <c r="CCA70" s="137"/>
      <c r="CCB70" s="137"/>
      <c r="CCC70" s="137"/>
      <c r="CCD70" s="137"/>
      <c r="CCE70" s="137"/>
      <c r="CCF70" s="137"/>
      <c r="CCG70" s="137"/>
      <c r="CCH70" s="137"/>
      <c r="CCI70" s="137"/>
      <c r="CCJ70" s="137"/>
      <c r="CCK70" s="137"/>
      <c r="CCL70" s="137"/>
      <c r="CCM70" s="137"/>
      <c r="CCN70" s="137"/>
      <c r="CCO70" s="137"/>
      <c r="CCP70" s="137"/>
      <c r="CCQ70" s="137"/>
      <c r="CCR70" s="137"/>
      <c r="CCS70" s="137"/>
      <c r="CCT70" s="137"/>
      <c r="CCU70" s="137"/>
      <c r="CCV70" s="137"/>
      <c r="CCW70" s="137"/>
      <c r="CCX70" s="137"/>
      <c r="CCY70" s="137"/>
      <c r="CCZ70" s="137"/>
      <c r="CDA70" s="137"/>
      <c r="CDB70" s="137"/>
      <c r="CDC70" s="137"/>
      <c r="CDD70" s="137"/>
      <c r="CDE70" s="137"/>
      <c r="CDF70" s="137"/>
      <c r="CDG70" s="137"/>
      <c r="CDH70" s="137"/>
      <c r="CDI70" s="137"/>
      <c r="CDJ70" s="137"/>
      <c r="CDK70" s="137"/>
      <c r="CDL70" s="137"/>
      <c r="CDM70" s="137"/>
      <c r="CDN70" s="137"/>
      <c r="CDO70" s="137"/>
      <c r="CDP70" s="137"/>
      <c r="CDQ70" s="137"/>
      <c r="CDR70" s="137"/>
      <c r="CDS70" s="137"/>
      <c r="CDT70" s="137"/>
      <c r="CDU70" s="137"/>
      <c r="CDV70" s="137"/>
      <c r="CDW70" s="137"/>
      <c r="CDX70" s="137"/>
      <c r="CDY70" s="137"/>
      <c r="CDZ70" s="137"/>
      <c r="CEA70" s="137"/>
      <c r="CEB70" s="137"/>
      <c r="CEC70" s="137"/>
      <c r="CED70" s="137"/>
      <c r="CEE70" s="137"/>
      <c r="CEF70" s="137"/>
      <c r="CEG70" s="137"/>
      <c r="CEH70" s="137"/>
      <c r="CEI70" s="137"/>
      <c r="CEJ70" s="137"/>
      <c r="CEK70" s="137"/>
      <c r="CEL70" s="137"/>
      <c r="CEM70" s="137"/>
      <c r="CEN70" s="137"/>
      <c r="CEO70" s="137"/>
      <c r="CEP70" s="137"/>
      <c r="CEQ70" s="137"/>
      <c r="CER70" s="137"/>
      <c r="CES70" s="137"/>
      <c r="CET70" s="137"/>
      <c r="CEU70" s="137"/>
      <c r="CEV70" s="137"/>
      <c r="CEW70" s="137"/>
      <c r="CEX70" s="137"/>
      <c r="CEY70" s="137"/>
      <c r="CEZ70" s="137"/>
      <c r="CFA70" s="137"/>
      <c r="CFB70" s="137"/>
      <c r="CFC70" s="137"/>
      <c r="CFD70" s="137"/>
      <c r="CFE70" s="137"/>
      <c r="CFF70" s="137"/>
      <c r="CFG70" s="137"/>
      <c r="CFH70" s="137"/>
      <c r="CFI70" s="137"/>
      <c r="CFJ70" s="137"/>
      <c r="CFK70" s="137"/>
      <c r="CFL70" s="137"/>
      <c r="CFM70" s="137"/>
      <c r="CFN70" s="137"/>
      <c r="CFO70" s="137"/>
      <c r="CFP70" s="137"/>
      <c r="CFQ70" s="137"/>
      <c r="CFR70" s="137"/>
      <c r="CFS70" s="137"/>
      <c r="CFT70" s="137"/>
      <c r="CFU70" s="137"/>
      <c r="CFV70" s="137"/>
      <c r="CFW70" s="137"/>
      <c r="CFX70" s="137"/>
      <c r="CFY70" s="137"/>
      <c r="CFZ70" s="137"/>
      <c r="CGA70" s="137"/>
      <c r="CGB70" s="137"/>
      <c r="CGC70" s="137"/>
      <c r="CGD70" s="137"/>
      <c r="CGE70" s="137"/>
      <c r="CGF70" s="137"/>
      <c r="CGG70" s="137"/>
      <c r="CGH70" s="137"/>
      <c r="CGI70" s="137"/>
      <c r="CGJ70" s="137"/>
      <c r="CGK70" s="137"/>
      <c r="CGL70" s="137"/>
      <c r="CGM70" s="137"/>
      <c r="CGN70" s="137"/>
      <c r="CGO70" s="137"/>
      <c r="CGP70" s="137"/>
      <c r="CGQ70" s="137"/>
      <c r="CGR70" s="137"/>
      <c r="CGS70" s="137"/>
      <c r="CGT70" s="137"/>
      <c r="CGU70" s="137"/>
      <c r="CGV70" s="137"/>
      <c r="CGW70" s="137"/>
      <c r="CGX70" s="137"/>
      <c r="CGY70" s="137"/>
      <c r="CGZ70" s="137"/>
      <c r="CHA70" s="137"/>
      <c r="CHB70" s="137"/>
      <c r="CHC70" s="137"/>
      <c r="CHD70" s="137"/>
      <c r="CHE70" s="137"/>
      <c r="CHF70" s="137"/>
      <c r="CHG70" s="137"/>
      <c r="CHH70" s="137"/>
      <c r="CHI70" s="137"/>
      <c r="CHJ70" s="137"/>
      <c r="CHK70" s="137"/>
      <c r="CHL70" s="137"/>
      <c r="CHM70" s="137"/>
      <c r="CHN70" s="137"/>
      <c r="CHO70" s="137"/>
      <c r="CHP70" s="137"/>
      <c r="CHQ70" s="137"/>
      <c r="CHR70" s="137"/>
      <c r="CHS70" s="137"/>
      <c r="CHT70" s="137"/>
      <c r="CHU70" s="137"/>
      <c r="CHV70" s="137"/>
      <c r="CHW70" s="137"/>
      <c r="CHX70" s="137"/>
      <c r="CHY70" s="137"/>
      <c r="CHZ70" s="137"/>
      <c r="CIA70" s="137"/>
      <c r="CIB70" s="137"/>
      <c r="CIC70" s="137"/>
      <c r="CID70" s="137"/>
      <c r="CIE70" s="137"/>
      <c r="CIF70" s="137"/>
      <c r="CIG70" s="137"/>
      <c r="CIH70" s="137"/>
      <c r="CII70" s="137"/>
      <c r="CIJ70" s="137"/>
      <c r="CIK70" s="137"/>
      <c r="CIL70" s="137"/>
      <c r="CIM70" s="137"/>
      <c r="CIN70" s="137"/>
      <c r="CIO70" s="137"/>
      <c r="CIP70" s="137"/>
      <c r="CIQ70" s="137"/>
      <c r="CIR70" s="137"/>
      <c r="CIS70" s="137"/>
      <c r="CIT70" s="137"/>
      <c r="CIU70" s="137"/>
      <c r="CIV70" s="137"/>
      <c r="CIW70" s="137"/>
      <c r="CIX70" s="137"/>
      <c r="CIY70" s="137"/>
      <c r="CIZ70" s="137"/>
      <c r="CJA70" s="137"/>
      <c r="CJB70" s="137"/>
      <c r="CJC70" s="137"/>
      <c r="CJD70" s="137"/>
      <c r="CJE70" s="137"/>
      <c r="CJF70" s="137"/>
      <c r="CJG70" s="137"/>
      <c r="CJH70" s="137"/>
      <c r="CJI70" s="137"/>
      <c r="CJJ70" s="137"/>
      <c r="CJK70" s="137"/>
      <c r="CJL70" s="137"/>
      <c r="CJM70" s="137"/>
      <c r="CJN70" s="137"/>
      <c r="CJO70" s="137"/>
      <c r="CJP70" s="137"/>
      <c r="CJQ70" s="137"/>
      <c r="CJR70" s="137"/>
      <c r="CJS70" s="137"/>
      <c r="CJT70" s="137"/>
      <c r="CJU70" s="137"/>
      <c r="CJV70" s="137"/>
      <c r="CJW70" s="137"/>
      <c r="CJX70" s="137"/>
      <c r="CJY70" s="137"/>
      <c r="CJZ70" s="137"/>
      <c r="CKA70" s="137"/>
      <c r="CKB70" s="137"/>
      <c r="CKC70" s="137"/>
      <c r="CKD70" s="137"/>
      <c r="CKE70" s="137"/>
      <c r="CKF70" s="137"/>
      <c r="CKG70" s="137"/>
      <c r="CKH70" s="137"/>
      <c r="CKI70" s="137"/>
      <c r="CKJ70" s="137"/>
      <c r="CKK70" s="137"/>
      <c r="CKL70" s="137"/>
      <c r="CKM70" s="137"/>
      <c r="CKN70" s="137"/>
      <c r="CKO70" s="137"/>
      <c r="CKP70" s="137"/>
      <c r="CKQ70" s="137"/>
      <c r="CKR70" s="137"/>
      <c r="CKS70" s="137"/>
      <c r="CKT70" s="137"/>
      <c r="CKU70" s="137"/>
      <c r="CKV70" s="137"/>
      <c r="CKW70" s="137"/>
      <c r="CKX70" s="137"/>
      <c r="CKY70" s="137"/>
      <c r="CKZ70" s="137"/>
      <c r="CLA70" s="137"/>
      <c r="CLB70" s="137"/>
      <c r="CLC70" s="137"/>
      <c r="CLD70" s="137"/>
      <c r="CLE70" s="137"/>
      <c r="CLF70" s="137"/>
      <c r="CLG70" s="137"/>
      <c r="CLH70" s="137"/>
      <c r="CLI70" s="137"/>
      <c r="CLJ70" s="137"/>
      <c r="CLK70" s="137"/>
      <c r="CLL70" s="137"/>
      <c r="CLM70" s="137"/>
      <c r="CLN70" s="137"/>
      <c r="CLO70" s="137"/>
      <c r="CLP70" s="137"/>
      <c r="CLQ70" s="137"/>
      <c r="CLR70" s="137"/>
      <c r="CLS70" s="137"/>
      <c r="CLT70" s="137"/>
      <c r="CLU70" s="137"/>
      <c r="CLV70" s="137"/>
      <c r="CLW70" s="137"/>
      <c r="CLX70" s="137"/>
      <c r="CLY70" s="137"/>
      <c r="CLZ70" s="137"/>
      <c r="CMA70" s="137"/>
      <c r="CMB70" s="137"/>
      <c r="CMC70" s="137"/>
      <c r="CMD70" s="137"/>
      <c r="CME70" s="137"/>
      <c r="CMF70" s="137"/>
      <c r="CMG70" s="137"/>
      <c r="CMH70" s="137"/>
      <c r="CMI70" s="137"/>
      <c r="CMJ70" s="137"/>
      <c r="CMK70" s="137"/>
      <c r="CML70" s="137"/>
      <c r="CMM70" s="137"/>
      <c r="CMN70" s="137"/>
      <c r="CMO70" s="137"/>
      <c r="CMP70" s="137"/>
      <c r="CMQ70" s="137"/>
      <c r="CMR70" s="137"/>
      <c r="CMS70" s="137"/>
      <c r="CMT70" s="137"/>
      <c r="CMU70" s="137"/>
      <c r="CMV70" s="137"/>
      <c r="CMW70" s="137"/>
      <c r="CMX70" s="137"/>
      <c r="CMY70" s="137"/>
      <c r="CMZ70" s="137"/>
      <c r="CNA70" s="137"/>
      <c r="CNB70" s="137"/>
      <c r="CNC70" s="137"/>
      <c r="CND70" s="137"/>
      <c r="CNE70" s="137"/>
      <c r="CNF70" s="137"/>
      <c r="CNG70" s="137"/>
      <c r="CNH70" s="137"/>
      <c r="CNI70" s="137"/>
      <c r="CNJ70" s="137"/>
      <c r="CNK70" s="137"/>
      <c r="CNL70" s="137"/>
      <c r="CNM70" s="137"/>
      <c r="CNN70" s="137"/>
      <c r="CNO70" s="137"/>
      <c r="CNP70" s="137"/>
      <c r="CNQ70" s="137"/>
      <c r="CNR70" s="137"/>
      <c r="CNS70" s="137"/>
      <c r="CNT70" s="137"/>
      <c r="CNU70" s="137"/>
      <c r="CNV70" s="137"/>
      <c r="CNW70" s="137"/>
      <c r="CNX70" s="137"/>
      <c r="CNY70" s="137"/>
      <c r="CNZ70" s="137"/>
      <c r="COA70" s="137"/>
      <c r="COB70" s="137"/>
      <c r="COC70" s="137"/>
      <c r="COD70" s="137"/>
      <c r="COE70" s="137"/>
      <c r="COF70" s="137"/>
      <c r="COG70" s="137"/>
      <c r="COH70" s="137"/>
      <c r="COI70" s="137"/>
      <c r="COJ70" s="137"/>
      <c r="COK70" s="137"/>
      <c r="COL70" s="137"/>
      <c r="COM70" s="137"/>
      <c r="CON70" s="137"/>
      <c r="COO70" s="137"/>
      <c r="COP70" s="137"/>
      <c r="COQ70" s="137"/>
      <c r="COR70" s="137"/>
      <c r="COS70" s="137"/>
      <c r="COT70" s="137"/>
      <c r="COU70" s="137"/>
      <c r="COV70" s="137"/>
      <c r="COW70" s="137"/>
      <c r="COX70" s="137"/>
      <c r="COY70" s="137"/>
      <c r="COZ70" s="137"/>
      <c r="CPA70" s="137"/>
      <c r="CPB70" s="137"/>
      <c r="CPC70" s="137"/>
      <c r="CPD70" s="137"/>
      <c r="CPE70" s="137"/>
      <c r="CPF70" s="137"/>
      <c r="CPG70" s="137"/>
      <c r="CPH70" s="137"/>
      <c r="CPI70" s="137"/>
      <c r="CPJ70" s="137"/>
      <c r="CPK70" s="137"/>
      <c r="CPL70" s="137"/>
      <c r="CPM70" s="137"/>
      <c r="CPN70" s="137"/>
      <c r="CPO70" s="137"/>
      <c r="CPP70" s="137"/>
      <c r="CPQ70" s="137"/>
      <c r="CPR70" s="137"/>
      <c r="CPS70" s="137"/>
      <c r="CPT70" s="137"/>
      <c r="CPU70" s="137"/>
      <c r="CPV70" s="137"/>
      <c r="CPW70" s="137"/>
      <c r="CPX70" s="137"/>
      <c r="CPY70" s="137"/>
      <c r="CPZ70" s="137"/>
      <c r="CQA70" s="137"/>
      <c r="CQB70" s="137"/>
      <c r="CQC70" s="137"/>
      <c r="CQD70" s="137"/>
      <c r="CQE70" s="137"/>
      <c r="CQF70" s="137"/>
      <c r="CQG70" s="137"/>
      <c r="CQH70" s="137"/>
      <c r="CQI70" s="137"/>
      <c r="CQJ70" s="137"/>
      <c r="CQK70" s="137"/>
      <c r="CQL70" s="137"/>
      <c r="CQM70" s="137"/>
      <c r="CQN70" s="137"/>
      <c r="CQO70" s="137"/>
      <c r="CQP70" s="137"/>
      <c r="CQQ70" s="137"/>
      <c r="CQR70" s="137"/>
      <c r="CQS70" s="137"/>
      <c r="CQT70" s="137"/>
      <c r="CQU70" s="137"/>
      <c r="CQV70" s="137"/>
      <c r="CQW70" s="137"/>
      <c r="CQX70" s="137"/>
      <c r="CQY70" s="137"/>
      <c r="CQZ70" s="137"/>
      <c r="CRA70" s="137"/>
      <c r="CRB70" s="137"/>
      <c r="CRC70" s="137"/>
      <c r="CRD70" s="137"/>
      <c r="CRE70" s="137"/>
      <c r="CRF70" s="137"/>
      <c r="CRG70" s="137"/>
      <c r="CRH70" s="137"/>
      <c r="CRI70" s="137"/>
      <c r="CRJ70" s="137"/>
      <c r="CRK70" s="137"/>
      <c r="CRL70" s="137"/>
      <c r="CRM70" s="137"/>
      <c r="CRN70" s="137"/>
      <c r="CRO70" s="137"/>
      <c r="CRP70" s="137"/>
      <c r="CRQ70" s="137"/>
      <c r="CRR70" s="137"/>
      <c r="CRS70" s="137"/>
      <c r="CRT70" s="137"/>
      <c r="CRU70" s="137"/>
      <c r="CRV70" s="137"/>
      <c r="CRW70" s="137"/>
      <c r="CRX70" s="137"/>
      <c r="CRY70" s="137"/>
      <c r="CRZ70" s="137"/>
      <c r="CSA70" s="137"/>
      <c r="CSB70" s="137"/>
      <c r="CSC70" s="137"/>
      <c r="CSD70" s="137"/>
      <c r="CSE70" s="137"/>
      <c r="CSF70" s="137"/>
      <c r="CSG70" s="137"/>
      <c r="CSH70" s="137"/>
      <c r="CSI70" s="137"/>
      <c r="CSJ70" s="137"/>
      <c r="CSK70" s="137"/>
      <c r="CSL70" s="137"/>
      <c r="CSM70" s="137"/>
      <c r="CSN70" s="137"/>
      <c r="CSO70" s="137"/>
      <c r="CSP70" s="137"/>
      <c r="CSQ70" s="137"/>
      <c r="CSR70" s="137"/>
      <c r="CSS70" s="137"/>
      <c r="CST70" s="137"/>
      <c r="CSU70" s="137"/>
      <c r="CSV70" s="137"/>
      <c r="CSW70" s="137"/>
      <c r="CSX70" s="137"/>
      <c r="CSY70" s="137"/>
      <c r="CSZ70" s="137"/>
      <c r="CTA70" s="137"/>
      <c r="CTB70" s="137"/>
      <c r="CTC70" s="137"/>
      <c r="CTD70" s="137"/>
      <c r="CTE70" s="137"/>
      <c r="CTF70" s="137"/>
      <c r="CTG70" s="137"/>
      <c r="CTH70" s="137"/>
      <c r="CTI70" s="137"/>
      <c r="CTJ70" s="137"/>
      <c r="CTK70" s="137"/>
      <c r="CTL70" s="137"/>
      <c r="CTM70" s="137"/>
      <c r="CTN70" s="137"/>
      <c r="CTO70" s="137"/>
      <c r="CTP70" s="137"/>
      <c r="CTQ70" s="137"/>
      <c r="CTR70" s="137"/>
      <c r="CTS70" s="137"/>
      <c r="CTT70" s="137"/>
      <c r="CTU70" s="137"/>
      <c r="CTV70" s="137"/>
      <c r="CTW70" s="137"/>
      <c r="CTX70" s="137"/>
      <c r="CTY70" s="137"/>
      <c r="CTZ70" s="137"/>
      <c r="CUA70" s="137"/>
      <c r="CUB70" s="137"/>
      <c r="CUC70" s="137"/>
      <c r="CUD70" s="137"/>
      <c r="CUE70" s="137"/>
      <c r="CUF70" s="137"/>
      <c r="CUG70" s="137"/>
      <c r="CUH70" s="137"/>
      <c r="CUI70" s="137"/>
      <c r="CUJ70" s="137"/>
      <c r="CUK70" s="137"/>
      <c r="CUL70" s="137"/>
      <c r="CUM70" s="137"/>
      <c r="CUN70" s="137"/>
      <c r="CUO70" s="137"/>
      <c r="CUP70" s="137"/>
      <c r="CUQ70" s="137"/>
      <c r="CUR70" s="137"/>
      <c r="CUS70" s="137"/>
      <c r="CUT70" s="137"/>
      <c r="CUU70" s="137"/>
      <c r="CUV70" s="137"/>
      <c r="CUW70" s="137"/>
      <c r="CUX70" s="137"/>
      <c r="CUY70" s="137"/>
      <c r="CUZ70" s="137"/>
      <c r="CVA70" s="137"/>
      <c r="CVB70" s="137"/>
      <c r="CVC70" s="137"/>
      <c r="CVD70" s="137"/>
      <c r="CVE70" s="137"/>
      <c r="CVF70" s="137"/>
      <c r="CVG70" s="137"/>
      <c r="CVH70" s="137"/>
      <c r="CVI70" s="137"/>
      <c r="CVJ70" s="137"/>
      <c r="CVK70" s="137"/>
      <c r="CVL70" s="137"/>
      <c r="CVM70" s="137"/>
      <c r="CVN70" s="137"/>
      <c r="CVO70" s="137"/>
      <c r="CVP70" s="137"/>
      <c r="CVQ70" s="137"/>
      <c r="CVR70" s="137"/>
      <c r="CVS70" s="137"/>
      <c r="CVT70" s="137"/>
      <c r="CVU70" s="137"/>
      <c r="CVV70" s="137"/>
      <c r="CVW70" s="137"/>
      <c r="CVX70" s="137"/>
      <c r="CVY70" s="137"/>
      <c r="CVZ70" s="137"/>
      <c r="CWA70" s="137"/>
      <c r="CWB70" s="137"/>
      <c r="CWC70" s="137"/>
      <c r="CWD70" s="137"/>
      <c r="CWE70" s="137"/>
      <c r="CWF70" s="137"/>
      <c r="CWG70" s="137"/>
      <c r="CWH70" s="137"/>
      <c r="CWI70" s="137"/>
      <c r="CWJ70" s="137"/>
      <c r="CWK70" s="137"/>
      <c r="CWL70" s="137"/>
      <c r="CWM70" s="137"/>
      <c r="CWN70" s="137"/>
      <c r="CWO70" s="137"/>
      <c r="CWP70" s="137"/>
      <c r="CWQ70" s="137"/>
      <c r="CWR70" s="137"/>
      <c r="CWS70" s="137"/>
      <c r="CWT70" s="137"/>
      <c r="CWU70" s="137"/>
      <c r="CWV70" s="137"/>
      <c r="CWW70" s="137"/>
      <c r="CWX70" s="137"/>
      <c r="CWY70" s="137"/>
      <c r="CWZ70" s="137"/>
      <c r="CXA70" s="137"/>
      <c r="CXB70" s="137"/>
      <c r="CXC70" s="137"/>
      <c r="CXD70" s="137"/>
      <c r="CXE70" s="137"/>
      <c r="CXF70" s="137"/>
      <c r="CXG70" s="137"/>
      <c r="CXH70" s="137"/>
      <c r="CXI70" s="137"/>
      <c r="CXJ70" s="137"/>
      <c r="CXK70" s="137"/>
      <c r="CXL70" s="137"/>
      <c r="CXM70" s="137"/>
      <c r="CXN70" s="137"/>
      <c r="CXO70" s="137"/>
      <c r="CXP70" s="137"/>
      <c r="CXQ70" s="137"/>
      <c r="CXR70" s="137"/>
      <c r="CXS70" s="137"/>
      <c r="CXT70" s="137"/>
      <c r="CXU70" s="137"/>
      <c r="CXV70" s="137"/>
      <c r="CXW70" s="137"/>
      <c r="CXX70" s="137"/>
      <c r="CXY70" s="137"/>
      <c r="CXZ70" s="137"/>
      <c r="CYA70" s="137"/>
      <c r="CYB70" s="137"/>
      <c r="CYC70" s="137"/>
      <c r="CYD70" s="137"/>
      <c r="CYE70" s="137"/>
      <c r="CYF70" s="137"/>
      <c r="CYG70" s="137"/>
      <c r="CYH70" s="137"/>
      <c r="CYI70" s="137"/>
      <c r="CYJ70" s="137"/>
      <c r="CYK70" s="137"/>
      <c r="CYL70" s="137"/>
      <c r="CYM70" s="137"/>
      <c r="CYN70" s="137"/>
      <c r="CYO70" s="137"/>
      <c r="CYP70" s="137"/>
      <c r="CYQ70" s="137"/>
      <c r="CYR70" s="137"/>
      <c r="CYS70" s="137"/>
      <c r="CYT70" s="137"/>
      <c r="CYU70" s="137"/>
      <c r="CYV70" s="137"/>
      <c r="CYW70" s="137"/>
      <c r="CYX70" s="137"/>
      <c r="CYY70" s="137"/>
      <c r="CYZ70" s="137"/>
      <c r="CZA70" s="137"/>
      <c r="CZB70" s="137"/>
      <c r="CZC70" s="137"/>
      <c r="CZD70" s="137"/>
      <c r="CZE70" s="137"/>
      <c r="CZF70" s="137"/>
      <c r="CZG70" s="137"/>
      <c r="CZH70" s="137"/>
      <c r="CZI70" s="137"/>
      <c r="CZJ70" s="137"/>
      <c r="CZK70" s="137"/>
      <c r="CZL70" s="137"/>
      <c r="CZM70" s="137"/>
      <c r="CZN70" s="137"/>
      <c r="CZO70" s="137"/>
      <c r="CZP70" s="137"/>
      <c r="CZQ70" s="137"/>
      <c r="CZR70" s="137"/>
      <c r="CZS70" s="137"/>
      <c r="CZT70" s="137"/>
      <c r="CZU70" s="137"/>
      <c r="CZV70" s="137"/>
      <c r="CZW70" s="137"/>
      <c r="CZX70" s="137"/>
      <c r="CZY70" s="137"/>
      <c r="CZZ70" s="137"/>
      <c r="DAA70" s="137"/>
      <c r="DAB70" s="137"/>
      <c r="DAC70" s="137"/>
      <c r="DAD70" s="137"/>
      <c r="DAE70" s="137"/>
      <c r="DAF70" s="137"/>
      <c r="DAG70" s="137"/>
      <c r="DAH70" s="137"/>
      <c r="DAI70" s="137"/>
      <c r="DAJ70" s="137"/>
      <c r="DAK70" s="137"/>
      <c r="DAL70" s="137"/>
      <c r="DAM70" s="137"/>
      <c r="DAN70" s="137"/>
      <c r="DAO70" s="137"/>
      <c r="DAP70" s="137"/>
      <c r="DAQ70" s="137"/>
      <c r="DAR70" s="137"/>
      <c r="DAS70" s="137"/>
      <c r="DAT70" s="137"/>
      <c r="DAU70" s="137"/>
      <c r="DAV70" s="137"/>
      <c r="DAW70" s="137"/>
      <c r="DAX70" s="137"/>
      <c r="DAY70" s="137"/>
      <c r="DAZ70" s="137"/>
      <c r="DBA70" s="137"/>
      <c r="DBB70" s="137"/>
      <c r="DBC70" s="137"/>
      <c r="DBD70" s="137"/>
      <c r="DBE70" s="137"/>
      <c r="DBF70" s="137"/>
      <c r="DBG70" s="137"/>
      <c r="DBH70" s="137"/>
      <c r="DBI70" s="137"/>
      <c r="DBJ70" s="137"/>
      <c r="DBK70" s="137"/>
      <c r="DBL70" s="137"/>
      <c r="DBM70" s="137"/>
      <c r="DBN70" s="137"/>
      <c r="DBO70" s="137"/>
      <c r="DBP70" s="137"/>
      <c r="DBQ70" s="137"/>
      <c r="DBR70" s="137"/>
      <c r="DBS70" s="137"/>
      <c r="DBT70" s="137"/>
      <c r="DBU70" s="137"/>
      <c r="DBV70" s="137"/>
      <c r="DBW70" s="137"/>
      <c r="DBX70" s="137"/>
      <c r="DBY70" s="137"/>
      <c r="DBZ70" s="137"/>
      <c r="DCA70" s="137"/>
      <c r="DCB70" s="137"/>
      <c r="DCC70" s="137"/>
      <c r="DCD70" s="137"/>
      <c r="DCE70" s="137"/>
      <c r="DCF70" s="137"/>
      <c r="DCG70" s="137"/>
      <c r="DCH70" s="137"/>
      <c r="DCI70" s="137"/>
      <c r="DCJ70" s="137"/>
      <c r="DCK70" s="137"/>
      <c r="DCL70" s="137"/>
      <c r="DCM70" s="137"/>
      <c r="DCN70" s="137"/>
      <c r="DCO70" s="137"/>
      <c r="DCP70" s="137"/>
      <c r="DCQ70" s="137"/>
      <c r="DCR70" s="137"/>
      <c r="DCS70" s="137"/>
      <c r="DCT70" s="137"/>
      <c r="DCU70" s="137"/>
      <c r="DCV70" s="137"/>
      <c r="DCW70" s="137"/>
      <c r="DCX70" s="137"/>
      <c r="DCY70" s="137"/>
      <c r="DCZ70" s="137"/>
      <c r="DDA70" s="137"/>
      <c r="DDB70" s="137"/>
      <c r="DDC70" s="137"/>
      <c r="DDD70" s="137"/>
      <c r="DDE70" s="137"/>
      <c r="DDF70" s="137"/>
      <c r="DDG70" s="137"/>
      <c r="DDH70" s="137"/>
      <c r="DDI70" s="137"/>
      <c r="DDJ70" s="137"/>
      <c r="DDK70" s="137"/>
      <c r="DDL70" s="137"/>
      <c r="DDM70" s="137"/>
      <c r="DDN70" s="137"/>
      <c r="DDO70" s="137"/>
      <c r="DDP70" s="137"/>
      <c r="DDQ70" s="137"/>
      <c r="DDR70" s="137"/>
      <c r="DDS70" s="137"/>
      <c r="DDT70" s="137"/>
      <c r="DDU70" s="137"/>
      <c r="DDV70" s="137"/>
      <c r="DDW70" s="137"/>
      <c r="DDX70" s="137"/>
      <c r="DDY70" s="137"/>
      <c r="DDZ70" s="137"/>
      <c r="DEA70" s="137"/>
      <c r="DEB70" s="137"/>
      <c r="DEC70" s="137"/>
      <c r="DED70" s="137"/>
      <c r="DEE70" s="137"/>
      <c r="DEF70" s="137"/>
      <c r="DEG70" s="137"/>
      <c r="DEH70" s="137"/>
      <c r="DEI70" s="137"/>
      <c r="DEJ70" s="137"/>
      <c r="DEK70" s="137"/>
      <c r="DEL70" s="137"/>
      <c r="DEM70" s="137"/>
      <c r="DEN70" s="137"/>
      <c r="DEO70" s="137"/>
      <c r="DEP70" s="137"/>
      <c r="DEQ70" s="137"/>
      <c r="DER70" s="137"/>
      <c r="DES70" s="137"/>
      <c r="DET70" s="137"/>
      <c r="DEU70" s="137"/>
      <c r="DEV70" s="137"/>
      <c r="DEW70" s="137"/>
      <c r="DEX70" s="137"/>
      <c r="DEY70" s="137"/>
      <c r="DEZ70" s="137"/>
      <c r="DFA70" s="137"/>
      <c r="DFB70" s="137"/>
      <c r="DFC70" s="137"/>
      <c r="DFD70" s="137"/>
      <c r="DFE70" s="137"/>
      <c r="DFF70" s="137"/>
      <c r="DFG70" s="137"/>
      <c r="DFH70" s="137"/>
      <c r="DFI70" s="137"/>
      <c r="DFJ70" s="137"/>
      <c r="DFK70" s="137"/>
      <c r="DFL70" s="137"/>
      <c r="DFM70" s="137"/>
      <c r="DFN70" s="137"/>
      <c r="DFO70" s="137"/>
      <c r="DFP70" s="137"/>
      <c r="DFQ70" s="137"/>
      <c r="DFR70" s="137"/>
      <c r="DFS70" s="137"/>
      <c r="DFT70" s="137"/>
      <c r="DFU70" s="137"/>
      <c r="DFV70" s="137"/>
      <c r="DFW70" s="137"/>
      <c r="DFX70" s="137"/>
      <c r="DFY70" s="137"/>
      <c r="DFZ70" s="137"/>
      <c r="DGA70" s="137"/>
      <c r="DGB70" s="137"/>
      <c r="DGC70" s="137"/>
      <c r="DGD70" s="137"/>
      <c r="DGE70" s="137"/>
      <c r="DGF70" s="137"/>
      <c r="DGG70" s="137"/>
      <c r="DGH70" s="137"/>
      <c r="DGI70" s="137"/>
      <c r="DGJ70" s="137"/>
      <c r="DGK70" s="137"/>
      <c r="DGL70" s="137"/>
      <c r="DGM70" s="137"/>
      <c r="DGN70" s="137"/>
      <c r="DGO70" s="137"/>
      <c r="DGP70" s="137"/>
      <c r="DGQ70" s="137"/>
      <c r="DGR70" s="137"/>
      <c r="DGS70" s="137"/>
      <c r="DGT70" s="137"/>
      <c r="DGU70" s="137"/>
      <c r="DGV70" s="137"/>
      <c r="DGW70" s="137"/>
      <c r="DGX70" s="137"/>
      <c r="DGY70" s="137"/>
      <c r="DGZ70" s="137"/>
      <c r="DHA70" s="137"/>
      <c r="DHB70" s="137"/>
      <c r="DHC70" s="137"/>
      <c r="DHD70" s="137"/>
      <c r="DHE70" s="137"/>
      <c r="DHF70" s="137"/>
      <c r="DHG70" s="137"/>
      <c r="DHH70" s="137"/>
      <c r="DHI70" s="137"/>
      <c r="DHJ70" s="137"/>
      <c r="DHK70" s="137"/>
      <c r="DHL70" s="137"/>
      <c r="DHM70" s="137"/>
      <c r="DHN70" s="137"/>
      <c r="DHO70" s="137"/>
      <c r="DHP70" s="137"/>
      <c r="DHQ70" s="137"/>
      <c r="DHR70" s="137"/>
      <c r="DHS70" s="137"/>
      <c r="DHT70" s="137"/>
      <c r="DHU70" s="137"/>
      <c r="DHV70" s="137"/>
      <c r="DHW70" s="137"/>
      <c r="DHX70" s="137"/>
      <c r="DHY70" s="137"/>
      <c r="DHZ70" s="137"/>
      <c r="DIA70" s="137"/>
      <c r="DIB70" s="137"/>
      <c r="DIC70" s="137"/>
      <c r="DID70" s="137"/>
      <c r="DIE70" s="137"/>
      <c r="DIF70" s="137"/>
      <c r="DIG70" s="137"/>
      <c r="DIH70" s="137"/>
      <c r="DII70" s="137"/>
      <c r="DIJ70" s="137"/>
      <c r="DIK70" s="137"/>
      <c r="DIL70" s="137"/>
      <c r="DIM70" s="137"/>
      <c r="DIN70" s="137"/>
      <c r="DIO70" s="137"/>
      <c r="DIP70" s="137"/>
      <c r="DIQ70" s="137"/>
      <c r="DIR70" s="137"/>
      <c r="DIS70" s="137"/>
      <c r="DIT70" s="137"/>
      <c r="DIU70" s="137"/>
      <c r="DIV70" s="137"/>
      <c r="DIW70" s="137"/>
      <c r="DIX70" s="137"/>
      <c r="DIY70" s="137"/>
      <c r="DIZ70" s="137"/>
      <c r="DJA70" s="137"/>
      <c r="DJB70" s="137"/>
      <c r="DJC70" s="137"/>
      <c r="DJD70" s="137"/>
      <c r="DJE70" s="137"/>
      <c r="DJF70" s="137"/>
      <c r="DJG70" s="137"/>
      <c r="DJH70" s="137"/>
      <c r="DJI70" s="137"/>
      <c r="DJJ70" s="137"/>
      <c r="DJK70" s="137"/>
      <c r="DJL70" s="137"/>
      <c r="DJM70" s="137"/>
      <c r="DJN70" s="137"/>
      <c r="DJO70" s="137"/>
      <c r="DJP70" s="137"/>
      <c r="DJQ70" s="137"/>
      <c r="DJR70" s="137"/>
      <c r="DJS70" s="137"/>
      <c r="DJT70" s="137"/>
      <c r="DJU70" s="137"/>
      <c r="DJV70" s="137"/>
      <c r="DJW70" s="137"/>
      <c r="DJX70" s="137"/>
      <c r="DJY70" s="137"/>
      <c r="DJZ70" s="137"/>
      <c r="DKA70" s="137"/>
      <c r="DKB70" s="137"/>
      <c r="DKC70" s="137"/>
      <c r="DKD70" s="137"/>
      <c r="DKE70" s="137"/>
      <c r="DKF70" s="137"/>
      <c r="DKG70" s="137"/>
      <c r="DKH70" s="137"/>
      <c r="DKI70" s="137"/>
      <c r="DKJ70" s="137"/>
      <c r="DKK70" s="137"/>
      <c r="DKL70" s="137"/>
      <c r="DKM70" s="137"/>
      <c r="DKN70" s="137"/>
      <c r="DKO70" s="137"/>
      <c r="DKP70" s="137"/>
      <c r="DKQ70" s="137"/>
      <c r="DKR70" s="137"/>
      <c r="DKS70" s="137"/>
      <c r="DKT70" s="137"/>
      <c r="DKU70" s="137"/>
      <c r="DKV70" s="137"/>
      <c r="DKW70" s="137"/>
      <c r="DKX70" s="137"/>
      <c r="DKY70" s="137"/>
      <c r="DKZ70" s="137"/>
      <c r="DLA70" s="137"/>
      <c r="DLB70" s="137"/>
      <c r="DLC70" s="137"/>
      <c r="DLD70" s="137"/>
      <c r="DLE70" s="137"/>
      <c r="DLF70" s="137"/>
      <c r="DLG70" s="137"/>
      <c r="DLH70" s="137"/>
      <c r="DLI70" s="137"/>
      <c r="DLJ70" s="137"/>
      <c r="DLK70" s="137"/>
      <c r="DLL70" s="137"/>
      <c r="DLM70" s="137"/>
      <c r="DLN70" s="137"/>
      <c r="DLO70" s="137"/>
      <c r="DLP70" s="137"/>
      <c r="DLQ70" s="137"/>
      <c r="DLR70" s="137"/>
      <c r="DLS70" s="137"/>
      <c r="DLT70" s="137"/>
      <c r="DLU70" s="137"/>
      <c r="DLV70" s="137"/>
      <c r="DLW70" s="137"/>
      <c r="DLX70" s="137"/>
      <c r="DLY70" s="137"/>
      <c r="DLZ70" s="137"/>
      <c r="DMA70" s="137"/>
      <c r="DMB70" s="137"/>
      <c r="DMC70" s="137"/>
      <c r="DMD70" s="137"/>
      <c r="DME70" s="137"/>
      <c r="DMF70" s="137"/>
      <c r="DMG70" s="137"/>
      <c r="DMH70" s="137"/>
      <c r="DMI70" s="137"/>
      <c r="DMJ70" s="137"/>
      <c r="DMK70" s="137"/>
      <c r="DML70" s="137"/>
      <c r="DMM70" s="137"/>
      <c r="DMN70" s="137"/>
      <c r="DMO70" s="137"/>
      <c r="DMP70" s="137"/>
      <c r="DMQ70" s="137"/>
      <c r="DMR70" s="137"/>
      <c r="DMS70" s="137"/>
      <c r="DMT70" s="137"/>
      <c r="DMU70" s="137"/>
      <c r="DMV70" s="137"/>
      <c r="DMW70" s="137"/>
      <c r="DMX70" s="137"/>
      <c r="DMY70" s="137"/>
      <c r="DMZ70" s="137"/>
      <c r="DNA70" s="137"/>
      <c r="DNB70" s="137"/>
      <c r="DNC70" s="137"/>
      <c r="DND70" s="137"/>
      <c r="DNE70" s="137"/>
      <c r="DNF70" s="137"/>
      <c r="DNG70" s="137"/>
      <c r="DNH70" s="137"/>
      <c r="DNI70" s="137"/>
      <c r="DNJ70" s="137"/>
      <c r="DNK70" s="137"/>
      <c r="DNL70" s="137"/>
      <c r="DNM70" s="137"/>
      <c r="DNN70" s="137"/>
      <c r="DNO70" s="137"/>
      <c r="DNP70" s="137"/>
      <c r="DNQ70" s="137"/>
      <c r="DNR70" s="137"/>
      <c r="DNS70" s="137"/>
      <c r="DNT70" s="137"/>
      <c r="DNU70" s="137"/>
      <c r="DNV70" s="137"/>
      <c r="DNW70" s="137"/>
      <c r="DNX70" s="137"/>
      <c r="DNY70" s="137"/>
      <c r="DNZ70" s="137"/>
      <c r="DOA70" s="137"/>
      <c r="DOB70" s="137"/>
      <c r="DOC70" s="137"/>
      <c r="DOD70" s="137"/>
      <c r="DOE70" s="137"/>
      <c r="DOF70" s="137"/>
      <c r="DOG70" s="137"/>
      <c r="DOH70" s="137"/>
      <c r="DOI70" s="137"/>
      <c r="DOJ70" s="137"/>
      <c r="DOK70" s="137"/>
      <c r="DOL70" s="137"/>
      <c r="DOM70" s="137"/>
      <c r="DON70" s="137"/>
      <c r="DOO70" s="137"/>
      <c r="DOP70" s="137"/>
      <c r="DOQ70" s="137"/>
      <c r="DOR70" s="137"/>
      <c r="DOS70" s="137"/>
      <c r="DOT70" s="137"/>
      <c r="DOU70" s="137"/>
      <c r="DOV70" s="137"/>
      <c r="DOW70" s="137"/>
      <c r="DOX70" s="137"/>
      <c r="DOY70" s="137"/>
      <c r="DOZ70" s="137"/>
      <c r="DPA70" s="137"/>
      <c r="DPB70" s="137"/>
      <c r="DPC70" s="137"/>
      <c r="DPD70" s="137"/>
      <c r="DPE70" s="137"/>
      <c r="DPF70" s="137"/>
      <c r="DPG70" s="137"/>
      <c r="DPH70" s="137"/>
      <c r="DPI70" s="137"/>
      <c r="DPJ70" s="137"/>
      <c r="DPK70" s="137"/>
      <c r="DPL70" s="137"/>
      <c r="DPM70" s="137"/>
      <c r="DPN70" s="137"/>
      <c r="DPO70" s="137"/>
      <c r="DPP70" s="137"/>
      <c r="DPQ70" s="137"/>
      <c r="DPR70" s="137"/>
      <c r="DPS70" s="137"/>
      <c r="DPT70" s="137"/>
      <c r="DPU70" s="137"/>
      <c r="DPV70" s="137"/>
      <c r="DPW70" s="137"/>
      <c r="DPX70" s="137"/>
      <c r="DPY70" s="137"/>
      <c r="DPZ70" s="137"/>
      <c r="DQA70" s="137"/>
      <c r="DQB70" s="137"/>
      <c r="DQC70" s="137"/>
      <c r="DQD70" s="137"/>
      <c r="DQE70" s="137"/>
      <c r="DQF70" s="137"/>
      <c r="DQG70" s="137"/>
      <c r="DQH70" s="137"/>
      <c r="DQI70" s="137"/>
      <c r="DQJ70" s="137"/>
      <c r="DQK70" s="137"/>
      <c r="DQL70" s="137"/>
      <c r="DQM70" s="137"/>
      <c r="DQN70" s="137"/>
      <c r="DQO70" s="137"/>
      <c r="DQP70" s="137"/>
      <c r="DQQ70" s="137"/>
      <c r="DQR70" s="137"/>
      <c r="DQS70" s="137"/>
      <c r="DQT70" s="137"/>
      <c r="DQU70" s="137"/>
      <c r="DQV70" s="137"/>
      <c r="DQW70" s="137"/>
      <c r="DQX70" s="137"/>
      <c r="DQY70" s="137"/>
      <c r="DQZ70" s="137"/>
      <c r="DRA70" s="137"/>
      <c r="DRB70" s="137"/>
      <c r="DRC70" s="137"/>
      <c r="DRD70" s="137"/>
      <c r="DRE70" s="137"/>
      <c r="DRF70" s="137"/>
      <c r="DRG70" s="137"/>
      <c r="DRH70" s="137"/>
      <c r="DRI70" s="137"/>
      <c r="DRJ70" s="137"/>
      <c r="DRK70" s="137"/>
      <c r="DRL70" s="137"/>
      <c r="DRM70" s="137"/>
      <c r="DRN70" s="137"/>
      <c r="DRO70" s="137"/>
      <c r="DRP70" s="137"/>
      <c r="DRQ70" s="137"/>
      <c r="DRR70" s="137"/>
      <c r="DRS70" s="137"/>
      <c r="DRT70" s="137"/>
      <c r="DRU70" s="137"/>
      <c r="DRV70" s="137"/>
      <c r="DRW70" s="137"/>
      <c r="DRX70" s="137"/>
      <c r="DRY70" s="137"/>
      <c r="DRZ70" s="137"/>
      <c r="DSA70" s="137"/>
      <c r="DSB70" s="137"/>
      <c r="DSC70" s="137"/>
      <c r="DSD70" s="137"/>
      <c r="DSE70" s="137"/>
      <c r="DSF70" s="137"/>
      <c r="DSG70" s="137"/>
      <c r="DSH70" s="137"/>
      <c r="DSI70" s="137"/>
      <c r="DSJ70" s="137"/>
      <c r="DSK70" s="137"/>
      <c r="DSL70" s="137"/>
      <c r="DSM70" s="137"/>
      <c r="DSN70" s="137"/>
      <c r="DSO70" s="137"/>
      <c r="DSP70" s="137"/>
      <c r="DSQ70" s="137"/>
      <c r="DSR70" s="137"/>
      <c r="DSS70" s="137"/>
      <c r="DST70" s="137"/>
      <c r="DSU70" s="137"/>
      <c r="DSV70" s="137"/>
      <c r="DSW70" s="137"/>
      <c r="DSX70" s="137"/>
      <c r="DSY70" s="137"/>
      <c r="DSZ70" s="137"/>
      <c r="DTA70" s="137"/>
      <c r="DTB70" s="137"/>
      <c r="DTC70" s="137"/>
      <c r="DTD70" s="137"/>
      <c r="DTE70" s="137"/>
      <c r="DTF70" s="137"/>
      <c r="DTG70" s="137"/>
      <c r="DTH70" s="137"/>
      <c r="DTI70" s="137"/>
      <c r="DTJ70" s="137"/>
      <c r="DTK70" s="137"/>
      <c r="DTL70" s="137"/>
      <c r="DTM70" s="137"/>
      <c r="DTN70" s="137"/>
      <c r="DTO70" s="137"/>
      <c r="DTP70" s="137"/>
      <c r="DTQ70" s="137"/>
      <c r="DTR70" s="137"/>
      <c r="DTS70" s="137"/>
      <c r="DTT70" s="137"/>
      <c r="DTU70" s="137"/>
      <c r="DTV70" s="137"/>
      <c r="DTW70" s="137"/>
      <c r="DTX70" s="137"/>
      <c r="DTY70" s="137"/>
      <c r="DTZ70" s="137"/>
      <c r="DUA70" s="137"/>
      <c r="DUB70" s="137"/>
      <c r="DUC70" s="137"/>
      <c r="DUD70" s="137"/>
      <c r="DUE70" s="137"/>
      <c r="DUF70" s="137"/>
      <c r="DUG70" s="137"/>
      <c r="DUH70" s="137"/>
      <c r="DUI70" s="137"/>
      <c r="DUJ70" s="137"/>
      <c r="DUK70" s="137"/>
      <c r="DUL70" s="137"/>
      <c r="DUM70" s="137"/>
      <c r="DUN70" s="137"/>
      <c r="DUO70" s="137"/>
      <c r="DUP70" s="137"/>
      <c r="DUQ70" s="137"/>
      <c r="DUR70" s="137"/>
      <c r="DUS70" s="137"/>
      <c r="DUT70" s="137"/>
      <c r="DUU70" s="137"/>
      <c r="DUV70" s="137"/>
      <c r="DUW70" s="137"/>
      <c r="DUX70" s="137"/>
      <c r="DUY70" s="137"/>
      <c r="DUZ70" s="137"/>
      <c r="DVA70" s="137"/>
      <c r="DVB70" s="137"/>
      <c r="DVC70" s="137"/>
      <c r="DVD70" s="137"/>
      <c r="DVE70" s="137"/>
      <c r="DVF70" s="137"/>
      <c r="DVG70" s="137"/>
      <c r="DVH70" s="137"/>
      <c r="DVI70" s="137"/>
      <c r="DVJ70" s="137"/>
      <c r="DVK70" s="137"/>
      <c r="DVL70" s="137"/>
      <c r="DVM70" s="137"/>
      <c r="DVN70" s="137"/>
      <c r="DVO70" s="137"/>
      <c r="DVP70" s="137"/>
      <c r="DVQ70" s="137"/>
      <c r="DVR70" s="137"/>
      <c r="DVS70" s="137"/>
      <c r="DVT70" s="137"/>
      <c r="DVU70" s="137"/>
      <c r="DVV70" s="137"/>
      <c r="DVW70" s="137"/>
      <c r="DVX70" s="137"/>
      <c r="DVY70" s="137"/>
      <c r="DVZ70" s="137"/>
      <c r="DWA70" s="137"/>
      <c r="DWB70" s="137"/>
      <c r="DWC70" s="137"/>
      <c r="DWD70" s="137"/>
      <c r="DWE70" s="137"/>
      <c r="DWF70" s="137"/>
      <c r="DWG70" s="137"/>
      <c r="DWH70" s="137"/>
      <c r="DWI70" s="137"/>
      <c r="DWJ70" s="137"/>
      <c r="DWK70" s="137"/>
      <c r="DWL70" s="137"/>
      <c r="DWM70" s="137"/>
      <c r="DWN70" s="137"/>
      <c r="DWO70" s="137"/>
      <c r="DWP70" s="137"/>
      <c r="DWQ70" s="137"/>
      <c r="DWR70" s="137"/>
      <c r="DWS70" s="137"/>
      <c r="DWT70" s="137"/>
      <c r="DWU70" s="137"/>
      <c r="DWV70" s="137"/>
      <c r="DWW70" s="137"/>
      <c r="DWX70" s="137"/>
      <c r="DWY70" s="137"/>
      <c r="DWZ70" s="137"/>
      <c r="DXA70" s="137"/>
      <c r="DXB70" s="137"/>
      <c r="DXC70" s="137"/>
      <c r="DXD70" s="137"/>
      <c r="DXE70" s="137"/>
      <c r="DXF70" s="137"/>
      <c r="DXG70" s="137"/>
      <c r="DXH70" s="137"/>
      <c r="DXI70" s="137"/>
      <c r="DXJ70" s="137"/>
      <c r="DXK70" s="137"/>
      <c r="DXL70" s="137"/>
      <c r="DXM70" s="137"/>
      <c r="DXN70" s="137"/>
      <c r="DXO70" s="137"/>
      <c r="DXP70" s="137"/>
      <c r="DXQ70" s="137"/>
      <c r="DXR70" s="137"/>
      <c r="DXS70" s="137"/>
      <c r="DXT70" s="137"/>
      <c r="DXU70" s="137"/>
      <c r="DXV70" s="137"/>
      <c r="DXW70" s="137"/>
      <c r="DXX70" s="137"/>
      <c r="DXY70" s="137"/>
      <c r="DXZ70" s="137"/>
      <c r="DYA70" s="137"/>
      <c r="DYB70" s="137"/>
      <c r="DYC70" s="137"/>
      <c r="DYD70" s="137"/>
      <c r="DYE70" s="137"/>
      <c r="DYF70" s="137"/>
      <c r="DYG70" s="137"/>
      <c r="DYH70" s="137"/>
      <c r="DYI70" s="137"/>
      <c r="DYJ70" s="137"/>
      <c r="DYK70" s="137"/>
      <c r="DYL70" s="137"/>
      <c r="DYM70" s="137"/>
      <c r="DYN70" s="137"/>
      <c r="DYO70" s="137"/>
      <c r="DYP70" s="137"/>
      <c r="DYQ70" s="137"/>
      <c r="DYR70" s="137"/>
      <c r="DYS70" s="137"/>
      <c r="DYT70" s="137"/>
      <c r="DYU70" s="137"/>
      <c r="DYV70" s="137"/>
      <c r="DYW70" s="137"/>
      <c r="DYX70" s="137"/>
      <c r="DYY70" s="137"/>
      <c r="DYZ70" s="137"/>
      <c r="DZA70" s="137"/>
      <c r="DZB70" s="137"/>
      <c r="DZC70" s="137"/>
      <c r="DZD70" s="137"/>
      <c r="DZE70" s="137"/>
      <c r="DZF70" s="137"/>
      <c r="DZG70" s="137"/>
      <c r="DZH70" s="137"/>
      <c r="DZI70" s="137"/>
      <c r="DZJ70" s="137"/>
      <c r="DZK70" s="137"/>
      <c r="DZL70" s="137"/>
      <c r="DZM70" s="137"/>
      <c r="DZN70" s="137"/>
      <c r="DZO70" s="137"/>
      <c r="DZP70" s="137"/>
      <c r="DZQ70" s="137"/>
      <c r="DZR70" s="137"/>
      <c r="DZS70" s="137"/>
      <c r="DZT70" s="137"/>
      <c r="DZU70" s="137"/>
      <c r="DZV70" s="137"/>
      <c r="DZW70" s="137"/>
      <c r="DZX70" s="137"/>
      <c r="DZY70" s="137"/>
      <c r="DZZ70" s="137"/>
      <c r="EAA70" s="137"/>
      <c r="EAB70" s="137"/>
      <c r="EAC70" s="137"/>
      <c r="EAD70" s="137"/>
      <c r="EAE70" s="137"/>
      <c r="EAF70" s="137"/>
      <c r="EAG70" s="137"/>
      <c r="EAH70" s="137"/>
      <c r="EAI70" s="137"/>
      <c r="EAJ70" s="137"/>
      <c r="EAK70" s="137"/>
      <c r="EAL70" s="137"/>
      <c r="EAM70" s="137"/>
      <c r="EAN70" s="137"/>
      <c r="EAO70" s="137"/>
      <c r="EAP70" s="137"/>
      <c r="EAQ70" s="137"/>
      <c r="EAR70" s="137"/>
      <c r="EAS70" s="137"/>
      <c r="EAT70" s="137"/>
      <c r="EAU70" s="137"/>
      <c r="EAV70" s="137"/>
      <c r="EAW70" s="137"/>
      <c r="EAX70" s="137"/>
      <c r="EAY70" s="137"/>
      <c r="EAZ70" s="137"/>
      <c r="EBA70" s="137"/>
      <c r="EBB70" s="137"/>
      <c r="EBC70" s="137"/>
      <c r="EBD70" s="137"/>
      <c r="EBE70" s="137"/>
      <c r="EBF70" s="137"/>
      <c r="EBG70" s="137"/>
      <c r="EBH70" s="137"/>
      <c r="EBI70" s="137"/>
      <c r="EBJ70" s="137"/>
      <c r="EBK70" s="137"/>
      <c r="EBL70" s="137"/>
      <c r="EBM70" s="137"/>
      <c r="EBN70" s="137"/>
      <c r="EBO70" s="137"/>
      <c r="EBP70" s="137"/>
      <c r="EBQ70" s="137"/>
      <c r="EBR70" s="137"/>
      <c r="EBS70" s="137"/>
      <c r="EBT70" s="137"/>
      <c r="EBU70" s="137"/>
      <c r="EBV70" s="137"/>
      <c r="EBW70" s="137"/>
      <c r="EBX70" s="137"/>
      <c r="EBY70" s="137"/>
      <c r="EBZ70" s="137"/>
      <c r="ECA70" s="137"/>
      <c r="ECB70" s="137"/>
      <c r="ECC70" s="137"/>
      <c r="ECD70" s="137"/>
      <c r="ECE70" s="137"/>
      <c r="ECF70" s="137"/>
      <c r="ECG70" s="137"/>
      <c r="ECH70" s="137"/>
      <c r="ECI70" s="137"/>
      <c r="ECJ70" s="137"/>
      <c r="ECK70" s="137"/>
      <c r="ECL70" s="137"/>
      <c r="ECM70" s="137"/>
      <c r="ECN70" s="137"/>
      <c r="ECO70" s="137"/>
      <c r="ECP70" s="137"/>
      <c r="ECQ70" s="137"/>
      <c r="ECR70" s="137"/>
      <c r="ECS70" s="137"/>
      <c r="ECT70" s="137"/>
      <c r="ECU70" s="137"/>
      <c r="ECV70" s="137"/>
      <c r="ECW70" s="137"/>
      <c r="ECX70" s="137"/>
      <c r="ECY70" s="137"/>
      <c r="ECZ70" s="137"/>
      <c r="EDA70" s="137"/>
      <c r="EDB70" s="137"/>
      <c r="EDC70" s="137"/>
      <c r="EDD70" s="137"/>
      <c r="EDE70" s="137"/>
      <c r="EDF70" s="137"/>
      <c r="EDG70" s="137"/>
      <c r="EDH70" s="137"/>
      <c r="EDI70" s="137"/>
      <c r="EDJ70" s="137"/>
      <c r="EDK70" s="137"/>
      <c r="EDL70" s="137"/>
      <c r="EDM70" s="137"/>
      <c r="EDN70" s="137"/>
      <c r="EDO70" s="137"/>
      <c r="EDP70" s="137"/>
      <c r="EDQ70" s="137"/>
      <c r="EDR70" s="137"/>
      <c r="EDS70" s="137"/>
      <c r="EDT70" s="137"/>
      <c r="EDU70" s="137"/>
      <c r="EDV70" s="137"/>
      <c r="EDW70" s="137"/>
      <c r="EDX70" s="137"/>
      <c r="EDY70" s="137"/>
      <c r="EDZ70" s="137"/>
      <c r="EEA70" s="137"/>
      <c r="EEB70" s="137"/>
      <c r="EEC70" s="137"/>
      <c r="EED70" s="137"/>
      <c r="EEE70" s="137"/>
      <c r="EEF70" s="137"/>
      <c r="EEG70" s="137"/>
      <c r="EEH70" s="137"/>
      <c r="EEI70" s="137"/>
      <c r="EEJ70" s="137"/>
      <c r="EEK70" s="137"/>
      <c r="EEL70" s="137"/>
      <c r="EEM70" s="137"/>
      <c r="EEN70" s="137"/>
      <c r="EEO70" s="137"/>
      <c r="EEP70" s="137"/>
      <c r="EEQ70" s="137"/>
      <c r="EER70" s="137"/>
      <c r="EES70" s="137"/>
      <c r="EET70" s="137"/>
      <c r="EEU70" s="137"/>
      <c r="EEV70" s="137"/>
      <c r="EEW70" s="137"/>
      <c r="EEX70" s="137"/>
      <c r="EEY70" s="137"/>
      <c r="EEZ70" s="137"/>
      <c r="EFA70" s="137"/>
      <c r="EFB70" s="137"/>
      <c r="EFC70" s="137"/>
      <c r="EFD70" s="137"/>
      <c r="EFE70" s="137"/>
      <c r="EFF70" s="137"/>
      <c r="EFG70" s="137"/>
      <c r="EFH70" s="137"/>
      <c r="EFI70" s="137"/>
      <c r="EFJ70" s="137"/>
      <c r="EFK70" s="137"/>
      <c r="EFL70" s="137"/>
      <c r="EFM70" s="137"/>
      <c r="EFN70" s="137"/>
      <c r="EFO70" s="137"/>
      <c r="EFP70" s="137"/>
      <c r="EFQ70" s="137"/>
      <c r="EFR70" s="137"/>
      <c r="EFS70" s="137"/>
      <c r="EFT70" s="137"/>
      <c r="EFU70" s="137"/>
      <c r="EFV70" s="137"/>
      <c r="EFW70" s="137"/>
      <c r="EFX70" s="137"/>
      <c r="EFY70" s="137"/>
      <c r="EFZ70" s="137"/>
      <c r="EGA70" s="137"/>
      <c r="EGB70" s="137"/>
      <c r="EGC70" s="137"/>
      <c r="EGD70" s="137"/>
      <c r="EGE70" s="137"/>
      <c r="EGF70" s="137"/>
      <c r="EGG70" s="137"/>
      <c r="EGH70" s="137"/>
      <c r="EGI70" s="137"/>
      <c r="EGJ70" s="137"/>
      <c r="EGK70" s="137"/>
      <c r="EGL70" s="137"/>
      <c r="EGM70" s="137"/>
      <c r="EGN70" s="137"/>
      <c r="EGO70" s="137"/>
      <c r="EGP70" s="137"/>
      <c r="EGQ70" s="137"/>
      <c r="EGR70" s="137"/>
      <c r="EGS70" s="137"/>
      <c r="EGT70" s="137"/>
      <c r="EGU70" s="137"/>
      <c r="EGV70" s="137"/>
      <c r="EGW70" s="137"/>
      <c r="EGX70" s="137"/>
      <c r="EGY70" s="137"/>
      <c r="EGZ70" s="137"/>
      <c r="EHA70" s="137"/>
      <c r="EHB70" s="137"/>
      <c r="EHC70" s="137"/>
      <c r="EHD70" s="137"/>
      <c r="EHE70" s="137"/>
      <c r="EHF70" s="137"/>
      <c r="EHG70" s="137"/>
      <c r="EHH70" s="137"/>
      <c r="EHI70" s="137"/>
      <c r="EHJ70" s="137"/>
      <c r="EHK70" s="137"/>
      <c r="EHL70" s="137"/>
      <c r="EHM70" s="137"/>
      <c r="EHN70" s="137"/>
      <c r="EHO70" s="137"/>
      <c r="EHP70" s="137"/>
      <c r="EHQ70" s="137"/>
      <c r="EHR70" s="137"/>
      <c r="EHS70" s="137"/>
      <c r="EHT70" s="137"/>
      <c r="EHU70" s="137"/>
      <c r="EHV70" s="137"/>
      <c r="EHW70" s="137"/>
      <c r="EHX70" s="137"/>
      <c r="EHY70" s="137"/>
      <c r="EHZ70" s="137"/>
      <c r="EIA70" s="137"/>
      <c r="EIB70" s="137"/>
      <c r="EIC70" s="137"/>
      <c r="EID70" s="137"/>
      <c r="EIE70" s="137"/>
      <c r="EIF70" s="137"/>
      <c r="EIG70" s="137"/>
      <c r="EIH70" s="137"/>
      <c r="EII70" s="137"/>
      <c r="EIJ70" s="137"/>
      <c r="EIK70" s="137"/>
      <c r="EIL70" s="137"/>
      <c r="EIM70" s="137"/>
      <c r="EIN70" s="137"/>
      <c r="EIO70" s="137"/>
      <c r="EIP70" s="137"/>
      <c r="EIQ70" s="137"/>
      <c r="EIR70" s="137"/>
      <c r="EIS70" s="137"/>
      <c r="EIT70" s="137"/>
      <c r="EIU70" s="137"/>
      <c r="EIV70" s="137"/>
      <c r="EIW70" s="137"/>
      <c r="EIX70" s="137"/>
      <c r="EIY70" s="137"/>
      <c r="EIZ70" s="137"/>
      <c r="EJA70" s="137"/>
      <c r="EJB70" s="137"/>
      <c r="EJC70" s="137"/>
      <c r="EJD70" s="137"/>
      <c r="EJE70" s="137"/>
      <c r="EJF70" s="137"/>
      <c r="EJG70" s="137"/>
      <c r="EJH70" s="137"/>
      <c r="EJI70" s="137"/>
      <c r="EJJ70" s="137"/>
      <c r="EJK70" s="137"/>
      <c r="EJL70" s="137"/>
      <c r="EJM70" s="137"/>
      <c r="EJN70" s="137"/>
      <c r="EJO70" s="137"/>
      <c r="EJP70" s="137"/>
      <c r="EJQ70" s="137"/>
      <c r="EJR70" s="137"/>
      <c r="EJS70" s="137"/>
      <c r="EJT70" s="137"/>
      <c r="EJU70" s="137"/>
      <c r="EJV70" s="137"/>
      <c r="EJW70" s="137"/>
      <c r="EJX70" s="137"/>
      <c r="EJY70" s="137"/>
      <c r="EJZ70" s="137"/>
      <c r="EKA70" s="137"/>
      <c r="EKB70" s="137"/>
      <c r="EKC70" s="137"/>
      <c r="EKD70" s="137"/>
      <c r="EKE70" s="137"/>
      <c r="EKF70" s="137"/>
      <c r="EKG70" s="137"/>
      <c r="EKH70" s="137"/>
      <c r="EKI70" s="137"/>
      <c r="EKJ70" s="137"/>
      <c r="EKK70" s="137"/>
      <c r="EKL70" s="137"/>
      <c r="EKM70" s="137"/>
      <c r="EKN70" s="137"/>
      <c r="EKO70" s="137"/>
      <c r="EKP70" s="137"/>
      <c r="EKQ70" s="137"/>
      <c r="EKR70" s="137"/>
      <c r="EKS70" s="137"/>
      <c r="EKT70" s="137"/>
      <c r="EKU70" s="137"/>
      <c r="EKV70" s="137"/>
      <c r="EKW70" s="137"/>
      <c r="EKX70" s="137"/>
      <c r="EKY70" s="137"/>
      <c r="EKZ70" s="137"/>
      <c r="ELA70" s="137"/>
      <c r="ELB70" s="137"/>
      <c r="ELC70" s="137"/>
      <c r="ELD70" s="137"/>
      <c r="ELE70" s="137"/>
      <c r="ELF70" s="137"/>
      <c r="ELG70" s="137"/>
      <c r="ELH70" s="137"/>
      <c r="ELI70" s="137"/>
      <c r="ELJ70" s="137"/>
      <c r="ELK70" s="137"/>
      <c r="ELL70" s="137"/>
      <c r="ELM70" s="137"/>
      <c r="ELN70" s="137"/>
      <c r="ELO70" s="137"/>
      <c r="ELP70" s="137"/>
      <c r="ELQ70" s="137"/>
      <c r="ELR70" s="137"/>
      <c r="ELS70" s="137"/>
      <c r="ELT70" s="137"/>
      <c r="ELU70" s="137"/>
      <c r="ELV70" s="137"/>
      <c r="ELW70" s="137"/>
      <c r="ELX70" s="137"/>
      <c r="ELY70" s="137"/>
      <c r="ELZ70" s="137"/>
      <c r="EMA70" s="137"/>
      <c r="EMB70" s="137"/>
      <c r="EMC70" s="137"/>
      <c r="EMD70" s="137"/>
      <c r="EME70" s="137"/>
      <c r="EMF70" s="137"/>
      <c r="EMG70" s="137"/>
      <c r="EMH70" s="137"/>
      <c r="EMI70" s="137"/>
      <c r="EMJ70" s="137"/>
      <c r="EMK70" s="137"/>
      <c r="EML70" s="137"/>
      <c r="EMM70" s="137"/>
      <c r="EMN70" s="137"/>
      <c r="EMO70" s="137"/>
      <c r="EMP70" s="137"/>
      <c r="EMQ70" s="137"/>
      <c r="EMR70" s="137"/>
      <c r="EMS70" s="137"/>
      <c r="EMT70" s="137"/>
      <c r="EMU70" s="137"/>
      <c r="EMV70" s="137"/>
      <c r="EMW70" s="137"/>
      <c r="EMX70" s="137"/>
      <c r="EMY70" s="137"/>
      <c r="EMZ70" s="137"/>
      <c r="ENA70" s="137"/>
      <c r="ENB70" s="137"/>
      <c r="ENC70" s="137"/>
      <c r="END70" s="137"/>
      <c r="ENE70" s="137"/>
      <c r="ENF70" s="137"/>
      <c r="ENG70" s="137"/>
      <c r="ENH70" s="137"/>
      <c r="ENI70" s="137"/>
      <c r="ENJ70" s="137"/>
      <c r="ENK70" s="137"/>
      <c r="ENL70" s="137"/>
      <c r="ENM70" s="137"/>
      <c r="ENN70" s="137"/>
      <c r="ENO70" s="137"/>
      <c r="ENP70" s="137"/>
      <c r="ENQ70" s="137"/>
      <c r="ENR70" s="137"/>
      <c r="ENS70" s="137"/>
      <c r="ENT70" s="137"/>
      <c r="ENU70" s="137"/>
      <c r="ENV70" s="137"/>
      <c r="ENW70" s="137"/>
      <c r="ENX70" s="137"/>
      <c r="ENY70" s="137"/>
      <c r="ENZ70" s="137"/>
      <c r="EOA70" s="137"/>
      <c r="EOB70" s="137"/>
      <c r="EOC70" s="137"/>
      <c r="EOD70" s="137"/>
      <c r="EOE70" s="137"/>
      <c r="EOF70" s="137"/>
      <c r="EOG70" s="137"/>
      <c r="EOH70" s="137"/>
      <c r="EOI70" s="137"/>
      <c r="EOJ70" s="137"/>
      <c r="EOK70" s="137"/>
      <c r="EOL70" s="137"/>
      <c r="EOM70" s="137"/>
      <c r="EON70" s="137"/>
      <c r="EOO70" s="137"/>
      <c r="EOP70" s="137"/>
      <c r="EOQ70" s="137"/>
      <c r="EOR70" s="137"/>
      <c r="EOS70" s="137"/>
      <c r="EOT70" s="137"/>
      <c r="EOU70" s="137"/>
      <c r="EOV70" s="137"/>
      <c r="EOW70" s="137"/>
      <c r="EOX70" s="137"/>
      <c r="EOY70" s="137"/>
      <c r="EOZ70" s="137"/>
      <c r="EPA70" s="137"/>
      <c r="EPB70" s="137"/>
      <c r="EPC70" s="137"/>
      <c r="EPD70" s="137"/>
      <c r="EPE70" s="137"/>
      <c r="EPF70" s="137"/>
      <c r="EPG70" s="137"/>
      <c r="EPH70" s="137"/>
      <c r="EPI70" s="137"/>
      <c r="EPJ70" s="137"/>
      <c r="EPK70" s="137"/>
      <c r="EPL70" s="137"/>
      <c r="EPM70" s="137"/>
      <c r="EPN70" s="137"/>
      <c r="EPO70" s="137"/>
      <c r="EPP70" s="137"/>
      <c r="EPQ70" s="137"/>
      <c r="EPR70" s="137"/>
      <c r="EPS70" s="137"/>
      <c r="EPT70" s="137"/>
      <c r="EPU70" s="137"/>
      <c r="EPV70" s="137"/>
      <c r="EPW70" s="137"/>
      <c r="EPX70" s="137"/>
      <c r="EPY70" s="137"/>
      <c r="EPZ70" s="137"/>
      <c r="EQA70" s="137"/>
      <c r="EQB70" s="137"/>
      <c r="EQC70" s="137"/>
      <c r="EQD70" s="137"/>
      <c r="EQE70" s="137"/>
      <c r="EQF70" s="137"/>
      <c r="EQG70" s="137"/>
      <c r="EQH70" s="137"/>
      <c r="EQI70" s="137"/>
      <c r="EQJ70" s="137"/>
      <c r="EQK70" s="137"/>
      <c r="EQL70" s="137"/>
      <c r="EQM70" s="137"/>
      <c r="EQN70" s="137"/>
      <c r="EQO70" s="137"/>
      <c r="EQP70" s="137"/>
      <c r="EQQ70" s="137"/>
      <c r="EQR70" s="137"/>
      <c r="EQS70" s="137"/>
      <c r="EQT70" s="137"/>
      <c r="EQU70" s="137"/>
      <c r="EQV70" s="137"/>
      <c r="EQW70" s="137"/>
      <c r="EQX70" s="137"/>
      <c r="EQY70" s="137"/>
      <c r="EQZ70" s="137"/>
      <c r="ERA70" s="137"/>
      <c r="ERB70" s="137"/>
      <c r="ERC70" s="137"/>
      <c r="ERD70" s="137"/>
      <c r="ERE70" s="137"/>
      <c r="ERF70" s="137"/>
      <c r="ERG70" s="137"/>
      <c r="ERH70" s="137"/>
      <c r="ERI70" s="137"/>
      <c r="ERJ70" s="137"/>
      <c r="ERK70" s="137"/>
      <c r="ERL70" s="137"/>
      <c r="ERM70" s="137"/>
      <c r="ERN70" s="137"/>
      <c r="ERO70" s="137"/>
      <c r="ERP70" s="137"/>
      <c r="ERQ70" s="137"/>
      <c r="ERR70" s="137"/>
      <c r="ERS70" s="137"/>
      <c r="ERT70" s="137"/>
      <c r="ERU70" s="137"/>
      <c r="ERV70" s="137"/>
      <c r="ERW70" s="137"/>
      <c r="ERX70" s="137"/>
      <c r="ERY70" s="137"/>
      <c r="ERZ70" s="137"/>
      <c r="ESA70" s="137"/>
      <c r="ESB70" s="137"/>
      <c r="ESC70" s="137"/>
      <c r="ESD70" s="137"/>
      <c r="ESE70" s="137"/>
      <c r="ESF70" s="137"/>
      <c r="ESG70" s="137"/>
      <c r="ESH70" s="137"/>
      <c r="ESI70" s="137"/>
      <c r="ESJ70" s="137"/>
      <c r="ESK70" s="137"/>
      <c r="ESL70" s="137"/>
      <c r="ESM70" s="137"/>
      <c r="ESN70" s="137"/>
      <c r="ESO70" s="137"/>
      <c r="ESP70" s="137"/>
      <c r="ESQ70" s="137"/>
      <c r="ESR70" s="137"/>
      <c r="ESS70" s="137"/>
      <c r="EST70" s="137"/>
      <c r="ESU70" s="137"/>
      <c r="ESV70" s="137"/>
      <c r="ESW70" s="137"/>
      <c r="ESX70" s="137"/>
      <c r="ESY70" s="137"/>
      <c r="ESZ70" s="137"/>
      <c r="ETA70" s="137"/>
      <c r="ETB70" s="137"/>
      <c r="ETC70" s="137"/>
      <c r="ETD70" s="137"/>
      <c r="ETE70" s="137"/>
      <c r="ETF70" s="137"/>
      <c r="ETG70" s="137"/>
      <c r="ETH70" s="137"/>
      <c r="ETI70" s="137"/>
      <c r="ETJ70" s="137"/>
      <c r="ETK70" s="137"/>
      <c r="ETL70" s="137"/>
      <c r="ETM70" s="137"/>
      <c r="ETN70" s="137"/>
      <c r="ETO70" s="137"/>
      <c r="ETP70" s="137"/>
      <c r="ETQ70" s="137"/>
      <c r="ETR70" s="137"/>
      <c r="ETS70" s="137"/>
      <c r="ETT70" s="137"/>
      <c r="ETU70" s="137"/>
      <c r="ETV70" s="137"/>
      <c r="ETW70" s="137"/>
      <c r="ETX70" s="137"/>
      <c r="ETY70" s="137"/>
      <c r="ETZ70" s="137"/>
      <c r="EUA70" s="137"/>
      <c r="EUB70" s="137"/>
      <c r="EUC70" s="137"/>
      <c r="EUD70" s="137"/>
      <c r="EUE70" s="137"/>
      <c r="EUF70" s="137"/>
      <c r="EUG70" s="137"/>
      <c r="EUH70" s="137"/>
      <c r="EUI70" s="137"/>
      <c r="EUJ70" s="137"/>
      <c r="EUK70" s="137"/>
      <c r="EUL70" s="137"/>
      <c r="EUM70" s="137"/>
      <c r="EUN70" s="137"/>
      <c r="EUO70" s="137"/>
      <c r="EUP70" s="137"/>
      <c r="EUQ70" s="137"/>
      <c r="EUR70" s="137"/>
      <c r="EUS70" s="137"/>
      <c r="EUT70" s="137"/>
      <c r="EUU70" s="137"/>
      <c r="EUV70" s="137"/>
      <c r="EUW70" s="137"/>
      <c r="EUX70" s="137"/>
      <c r="EUY70" s="137"/>
      <c r="EUZ70" s="137"/>
      <c r="EVA70" s="137"/>
      <c r="EVB70" s="137"/>
      <c r="EVC70" s="137"/>
      <c r="EVD70" s="137"/>
      <c r="EVE70" s="137"/>
      <c r="EVF70" s="137"/>
      <c r="EVG70" s="137"/>
      <c r="EVH70" s="137"/>
      <c r="EVI70" s="137"/>
      <c r="EVJ70" s="137"/>
      <c r="EVK70" s="137"/>
      <c r="EVL70" s="137"/>
      <c r="EVM70" s="137"/>
      <c r="EVN70" s="137"/>
      <c r="EVO70" s="137"/>
      <c r="EVP70" s="137"/>
      <c r="EVQ70" s="137"/>
      <c r="EVR70" s="137"/>
      <c r="EVS70" s="137"/>
      <c r="EVT70" s="137"/>
      <c r="EVU70" s="137"/>
      <c r="EVV70" s="137"/>
      <c r="EVW70" s="137"/>
      <c r="EVX70" s="137"/>
      <c r="EVY70" s="137"/>
      <c r="EVZ70" s="137"/>
      <c r="EWA70" s="137"/>
      <c r="EWB70" s="137"/>
      <c r="EWC70" s="137"/>
      <c r="EWD70" s="137"/>
      <c r="EWE70" s="137"/>
      <c r="EWF70" s="137"/>
      <c r="EWG70" s="137"/>
      <c r="EWH70" s="137"/>
      <c r="EWI70" s="137"/>
      <c r="EWJ70" s="137"/>
      <c r="EWK70" s="137"/>
      <c r="EWL70" s="137"/>
      <c r="EWM70" s="137"/>
      <c r="EWN70" s="137"/>
      <c r="EWO70" s="137"/>
      <c r="EWP70" s="137"/>
      <c r="EWQ70" s="137"/>
      <c r="EWR70" s="137"/>
      <c r="EWS70" s="137"/>
      <c r="EWT70" s="137"/>
      <c r="EWU70" s="137"/>
      <c r="EWV70" s="137"/>
      <c r="EWW70" s="137"/>
      <c r="EWX70" s="137"/>
      <c r="EWY70" s="137"/>
      <c r="EWZ70" s="137"/>
      <c r="EXA70" s="137"/>
      <c r="EXB70" s="137"/>
      <c r="EXC70" s="137"/>
      <c r="EXD70" s="137"/>
      <c r="EXE70" s="137"/>
      <c r="EXF70" s="137"/>
      <c r="EXG70" s="137"/>
      <c r="EXH70" s="137"/>
      <c r="EXI70" s="137"/>
      <c r="EXJ70" s="137"/>
      <c r="EXK70" s="137"/>
      <c r="EXL70" s="137"/>
      <c r="EXM70" s="137"/>
      <c r="EXN70" s="137"/>
      <c r="EXO70" s="137"/>
      <c r="EXP70" s="137"/>
      <c r="EXQ70" s="137"/>
      <c r="EXR70" s="137"/>
      <c r="EXS70" s="137"/>
      <c r="EXT70" s="137"/>
      <c r="EXU70" s="137"/>
      <c r="EXV70" s="137"/>
      <c r="EXW70" s="137"/>
      <c r="EXX70" s="137"/>
      <c r="EXY70" s="137"/>
      <c r="EXZ70" s="137"/>
      <c r="EYA70" s="137"/>
      <c r="EYB70" s="137"/>
      <c r="EYC70" s="137"/>
      <c r="EYD70" s="137"/>
      <c r="EYE70" s="137"/>
      <c r="EYF70" s="137"/>
      <c r="EYG70" s="137"/>
      <c r="EYH70" s="137"/>
      <c r="EYI70" s="137"/>
      <c r="EYJ70" s="137"/>
      <c r="EYK70" s="137"/>
      <c r="EYL70" s="137"/>
      <c r="EYM70" s="137"/>
      <c r="EYN70" s="137"/>
      <c r="EYO70" s="137"/>
      <c r="EYP70" s="137"/>
      <c r="EYQ70" s="137"/>
      <c r="EYR70" s="137"/>
      <c r="EYS70" s="137"/>
      <c r="EYT70" s="137"/>
      <c r="EYU70" s="137"/>
      <c r="EYV70" s="137"/>
      <c r="EYW70" s="137"/>
      <c r="EYX70" s="137"/>
      <c r="EYY70" s="137"/>
      <c r="EYZ70" s="137"/>
      <c r="EZA70" s="137"/>
      <c r="EZB70" s="137"/>
      <c r="EZC70" s="137"/>
      <c r="EZD70" s="137"/>
      <c r="EZE70" s="137"/>
      <c r="EZF70" s="137"/>
      <c r="EZG70" s="137"/>
      <c r="EZH70" s="137"/>
      <c r="EZI70" s="137"/>
      <c r="EZJ70" s="137"/>
      <c r="EZK70" s="137"/>
      <c r="EZL70" s="137"/>
      <c r="EZM70" s="137"/>
      <c r="EZN70" s="137"/>
      <c r="EZO70" s="137"/>
      <c r="EZP70" s="137"/>
      <c r="EZQ70" s="137"/>
      <c r="EZR70" s="137"/>
      <c r="EZS70" s="137"/>
      <c r="EZT70" s="137"/>
      <c r="EZU70" s="137"/>
      <c r="EZV70" s="137"/>
      <c r="EZW70" s="137"/>
      <c r="EZX70" s="137"/>
      <c r="EZY70" s="137"/>
      <c r="EZZ70" s="137"/>
      <c r="FAA70" s="137"/>
      <c r="FAB70" s="137"/>
      <c r="FAC70" s="137"/>
      <c r="FAD70" s="137"/>
      <c r="FAE70" s="137"/>
      <c r="FAF70" s="137"/>
      <c r="FAG70" s="137"/>
      <c r="FAH70" s="137"/>
      <c r="FAI70" s="137"/>
      <c r="FAJ70" s="137"/>
      <c r="FAK70" s="137"/>
      <c r="FAL70" s="137"/>
      <c r="FAM70" s="137"/>
      <c r="FAN70" s="137"/>
      <c r="FAO70" s="137"/>
      <c r="FAP70" s="137"/>
      <c r="FAQ70" s="137"/>
      <c r="FAR70" s="137"/>
      <c r="FAS70" s="137"/>
      <c r="FAT70" s="137"/>
      <c r="FAU70" s="137"/>
      <c r="FAV70" s="137"/>
      <c r="FAW70" s="137"/>
      <c r="FAX70" s="137"/>
      <c r="FAY70" s="137"/>
      <c r="FAZ70" s="137"/>
      <c r="FBA70" s="137"/>
      <c r="FBB70" s="137"/>
      <c r="FBC70" s="137"/>
      <c r="FBD70" s="137"/>
      <c r="FBE70" s="137"/>
      <c r="FBF70" s="137"/>
      <c r="FBG70" s="137"/>
      <c r="FBH70" s="137"/>
      <c r="FBI70" s="137"/>
      <c r="FBJ70" s="137"/>
      <c r="FBK70" s="137"/>
      <c r="FBL70" s="137"/>
      <c r="FBM70" s="137"/>
      <c r="FBN70" s="137"/>
      <c r="FBO70" s="137"/>
      <c r="FBP70" s="137"/>
      <c r="FBQ70" s="137"/>
      <c r="FBR70" s="137"/>
      <c r="FBS70" s="137"/>
      <c r="FBT70" s="137"/>
      <c r="FBU70" s="137"/>
      <c r="FBV70" s="137"/>
      <c r="FBW70" s="137"/>
      <c r="FBX70" s="137"/>
      <c r="FBY70" s="137"/>
      <c r="FBZ70" s="137"/>
      <c r="FCA70" s="137"/>
      <c r="FCB70" s="137"/>
      <c r="FCC70" s="137"/>
      <c r="FCD70" s="137"/>
      <c r="FCE70" s="137"/>
      <c r="FCF70" s="137"/>
      <c r="FCG70" s="137"/>
      <c r="FCH70" s="137"/>
      <c r="FCI70" s="137"/>
      <c r="FCJ70" s="137"/>
      <c r="FCK70" s="137"/>
      <c r="FCL70" s="137"/>
      <c r="FCM70" s="137"/>
      <c r="FCN70" s="137"/>
      <c r="FCO70" s="137"/>
      <c r="FCP70" s="137"/>
      <c r="FCQ70" s="137"/>
      <c r="FCR70" s="137"/>
      <c r="FCS70" s="137"/>
      <c r="FCT70" s="137"/>
      <c r="FCU70" s="137"/>
      <c r="FCV70" s="137"/>
      <c r="FCW70" s="137"/>
      <c r="FCX70" s="137"/>
      <c r="FCY70" s="137"/>
      <c r="FCZ70" s="137"/>
      <c r="FDA70" s="137"/>
      <c r="FDB70" s="137"/>
      <c r="FDC70" s="137"/>
      <c r="FDD70" s="137"/>
      <c r="FDE70" s="137"/>
      <c r="FDF70" s="137"/>
      <c r="FDG70" s="137"/>
      <c r="FDH70" s="137"/>
      <c r="FDI70" s="137"/>
      <c r="FDJ70" s="137"/>
      <c r="FDK70" s="137"/>
      <c r="FDL70" s="137"/>
      <c r="FDM70" s="137"/>
      <c r="FDN70" s="137"/>
      <c r="FDO70" s="137"/>
      <c r="FDP70" s="137"/>
      <c r="FDQ70" s="137"/>
      <c r="FDR70" s="137"/>
      <c r="FDS70" s="137"/>
      <c r="FDT70" s="137"/>
      <c r="FDU70" s="137"/>
      <c r="FDV70" s="137"/>
      <c r="FDW70" s="137"/>
      <c r="FDX70" s="137"/>
      <c r="FDY70" s="137"/>
      <c r="FDZ70" s="137"/>
      <c r="FEA70" s="137"/>
      <c r="FEB70" s="137"/>
      <c r="FEC70" s="137"/>
      <c r="FED70" s="137"/>
      <c r="FEE70" s="137"/>
      <c r="FEF70" s="137"/>
      <c r="FEG70" s="137"/>
      <c r="FEH70" s="137"/>
      <c r="FEI70" s="137"/>
      <c r="FEJ70" s="137"/>
      <c r="FEK70" s="137"/>
      <c r="FEL70" s="137"/>
      <c r="FEM70" s="137"/>
      <c r="FEN70" s="137"/>
      <c r="FEO70" s="137"/>
      <c r="FEP70" s="137"/>
      <c r="FEQ70" s="137"/>
      <c r="FER70" s="137"/>
      <c r="FES70" s="137"/>
      <c r="FET70" s="137"/>
      <c r="FEU70" s="137"/>
      <c r="FEV70" s="137"/>
      <c r="FEW70" s="137"/>
      <c r="FEX70" s="137"/>
      <c r="FEY70" s="137"/>
      <c r="FEZ70" s="137"/>
      <c r="FFA70" s="137"/>
      <c r="FFB70" s="137"/>
      <c r="FFC70" s="137"/>
      <c r="FFD70" s="137"/>
      <c r="FFE70" s="137"/>
      <c r="FFF70" s="137"/>
      <c r="FFG70" s="137"/>
      <c r="FFH70" s="137"/>
      <c r="FFI70" s="137"/>
      <c r="FFJ70" s="137"/>
      <c r="FFK70" s="137"/>
      <c r="FFL70" s="137"/>
      <c r="FFM70" s="137"/>
      <c r="FFN70" s="137"/>
      <c r="FFO70" s="137"/>
      <c r="FFP70" s="137"/>
      <c r="FFQ70" s="137"/>
      <c r="FFR70" s="137"/>
      <c r="FFS70" s="137"/>
      <c r="FFT70" s="137"/>
      <c r="FFU70" s="137"/>
      <c r="FFV70" s="137"/>
      <c r="FFW70" s="137"/>
      <c r="FFX70" s="137"/>
      <c r="FFY70" s="137"/>
      <c r="FFZ70" s="137"/>
      <c r="FGA70" s="137"/>
      <c r="FGB70" s="137"/>
      <c r="FGC70" s="137"/>
      <c r="FGD70" s="137"/>
      <c r="FGE70" s="137"/>
      <c r="FGF70" s="137"/>
      <c r="FGG70" s="137"/>
      <c r="FGH70" s="137"/>
      <c r="FGI70" s="137"/>
      <c r="FGJ70" s="137"/>
      <c r="FGK70" s="137"/>
      <c r="FGL70" s="137"/>
      <c r="FGM70" s="137"/>
      <c r="FGN70" s="137"/>
      <c r="FGO70" s="137"/>
      <c r="FGP70" s="137"/>
      <c r="FGQ70" s="137"/>
      <c r="FGR70" s="137"/>
      <c r="FGS70" s="137"/>
      <c r="FGT70" s="137"/>
      <c r="FGU70" s="137"/>
      <c r="FGV70" s="137"/>
      <c r="FGW70" s="137"/>
      <c r="FGX70" s="137"/>
      <c r="FGY70" s="137"/>
      <c r="FGZ70" s="137"/>
      <c r="FHA70" s="137"/>
      <c r="FHB70" s="137"/>
      <c r="FHC70" s="137"/>
      <c r="FHD70" s="137"/>
      <c r="FHE70" s="137"/>
      <c r="FHF70" s="137"/>
      <c r="FHG70" s="137"/>
      <c r="FHH70" s="137"/>
      <c r="FHI70" s="137"/>
      <c r="FHJ70" s="137"/>
      <c r="FHK70" s="137"/>
      <c r="FHL70" s="137"/>
      <c r="FHM70" s="137"/>
      <c r="FHN70" s="137"/>
      <c r="FHO70" s="137"/>
      <c r="FHP70" s="137"/>
      <c r="FHQ70" s="137"/>
      <c r="FHR70" s="137"/>
      <c r="FHS70" s="137"/>
      <c r="FHT70" s="137"/>
      <c r="FHU70" s="137"/>
      <c r="FHV70" s="137"/>
      <c r="FHW70" s="137"/>
      <c r="FHX70" s="137"/>
      <c r="FHY70" s="137"/>
      <c r="FHZ70" s="137"/>
      <c r="FIA70" s="137"/>
      <c r="FIB70" s="137"/>
      <c r="FIC70" s="137"/>
      <c r="FID70" s="137"/>
      <c r="FIE70" s="137"/>
      <c r="FIF70" s="137"/>
      <c r="FIG70" s="137"/>
      <c r="FIH70" s="137"/>
      <c r="FII70" s="137"/>
      <c r="FIJ70" s="137"/>
      <c r="FIK70" s="137"/>
      <c r="FIL70" s="137"/>
      <c r="FIM70" s="137"/>
      <c r="FIN70" s="137"/>
      <c r="FIO70" s="137"/>
      <c r="FIP70" s="137"/>
      <c r="FIQ70" s="137"/>
      <c r="FIR70" s="137"/>
      <c r="FIS70" s="137"/>
      <c r="FIT70" s="137"/>
      <c r="FIU70" s="137"/>
      <c r="FIV70" s="137"/>
      <c r="FIW70" s="137"/>
      <c r="FIX70" s="137"/>
      <c r="FIY70" s="137"/>
      <c r="FIZ70" s="137"/>
      <c r="FJA70" s="137"/>
      <c r="FJB70" s="137"/>
      <c r="FJC70" s="137"/>
      <c r="FJD70" s="137"/>
      <c r="FJE70" s="137"/>
      <c r="FJF70" s="137"/>
      <c r="FJG70" s="137"/>
      <c r="FJH70" s="137"/>
      <c r="FJI70" s="137"/>
      <c r="FJJ70" s="137"/>
      <c r="FJK70" s="137"/>
      <c r="FJL70" s="137"/>
      <c r="FJM70" s="137"/>
      <c r="FJN70" s="137"/>
      <c r="FJO70" s="137"/>
      <c r="FJP70" s="137"/>
      <c r="FJQ70" s="137"/>
      <c r="FJR70" s="137"/>
      <c r="FJS70" s="137"/>
      <c r="FJT70" s="137"/>
      <c r="FJU70" s="137"/>
      <c r="FJV70" s="137"/>
      <c r="FJW70" s="137"/>
      <c r="FJX70" s="137"/>
      <c r="FJY70" s="137"/>
      <c r="FJZ70" s="137"/>
      <c r="FKA70" s="137"/>
      <c r="FKB70" s="137"/>
      <c r="FKC70" s="137"/>
      <c r="FKD70" s="137"/>
      <c r="FKE70" s="137"/>
      <c r="FKF70" s="137"/>
      <c r="FKG70" s="137"/>
      <c r="FKH70" s="137"/>
      <c r="FKI70" s="137"/>
      <c r="FKJ70" s="137"/>
      <c r="FKK70" s="137"/>
      <c r="FKL70" s="137"/>
      <c r="FKM70" s="137"/>
      <c r="FKN70" s="137"/>
      <c r="FKO70" s="137"/>
      <c r="FKP70" s="137"/>
      <c r="FKQ70" s="137"/>
      <c r="FKR70" s="137"/>
      <c r="FKS70" s="137"/>
      <c r="FKT70" s="137"/>
      <c r="FKU70" s="137"/>
      <c r="FKV70" s="137"/>
      <c r="FKW70" s="137"/>
      <c r="FKX70" s="137"/>
      <c r="FKY70" s="137"/>
      <c r="FKZ70" s="137"/>
      <c r="FLA70" s="137"/>
      <c r="FLB70" s="137"/>
      <c r="FLC70" s="137"/>
      <c r="FLD70" s="137"/>
      <c r="FLE70" s="137"/>
      <c r="FLF70" s="137"/>
      <c r="FLG70" s="137"/>
      <c r="FLH70" s="137"/>
      <c r="FLI70" s="137"/>
      <c r="FLJ70" s="137"/>
      <c r="FLK70" s="137"/>
      <c r="FLL70" s="137"/>
      <c r="FLM70" s="137"/>
      <c r="FLN70" s="137"/>
      <c r="FLO70" s="137"/>
      <c r="FLP70" s="137"/>
      <c r="FLQ70" s="137"/>
      <c r="FLR70" s="137"/>
      <c r="FLS70" s="137"/>
      <c r="FLT70" s="137"/>
      <c r="FLU70" s="137"/>
      <c r="FLV70" s="137"/>
      <c r="FLW70" s="137"/>
      <c r="FLX70" s="137"/>
      <c r="FLY70" s="137"/>
      <c r="FLZ70" s="137"/>
      <c r="FMA70" s="137"/>
      <c r="FMB70" s="137"/>
      <c r="FMC70" s="137"/>
      <c r="FMD70" s="137"/>
      <c r="FME70" s="137"/>
      <c r="FMF70" s="137"/>
      <c r="FMG70" s="137"/>
      <c r="FMH70" s="137"/>
      <c r="FMI70" s="137"/>
      <c r="FMJ70" s="137"/>
      <c r="FMK70" s="137"/>
      <c r="FML70" s="137"/>
      <c r="FMM70" s="137"/>
      <c r="FMN70" s="137"/>
      <c r="FMO70" s="137"/>
      <c r="FMP70" s="137"/>
      <c r="FMQ70" s="137"/>
      <c r="FMR70" s="137"/>
      <c r="FMS70" s="137"/>
      <c r="FMT70" s="137"/>
      <c r="FMU70" s="137"/>
      <c r="FMV70" s="137"/>
      <c r="FMW70" s="137"/>
      <c r="FMX70" s="137"/>
      <c r="FMY70" s="137"/>
      <c r="FMZ70" s="137"/>
      <c r="FNA70" s="137"/>
      <c r="FNB70" s="137"/>
      <c r="FNC70" s="137"/>
      <c r="FND70" s="137"/>
      <c r="FNE70" s="137"/>
      <c r="FNF70" s="137"/>
      <c r="FNG70" s="137"/>
      <c r="FNH70" s="137"/>
      <c r="FNI70" s="137"/>
      <c r="FNJ70" s="137"/>
      <c r="FNK70" s="137"/>
      <c r="FNL70" s="137"/>
      <c r="FNM70" s="137"/>
      <c r="FNN70" s="137"/>
      <c r="FNO70" s="137"/>
      <c r="FNP70" s="137"/>
      <c r="FNQ70" s="137"/>
      <c r="FNR70" s="137"/>
      <c r="FNS70" s="137"/>
      <c r="FNT70" s="137"/>
      <c r="FNU70" s="137"/>
      <c r="FNV70" s="137"/>
      <c r="FNW70" s="137"/>
      <c r="FNX70" s="137"/>
      <c r="FNY70" s="137"/>
      <c r="FNZ70" s="137"/>
      <c r="FOA70" s="137"/>
      <c r="FOB70" s="137"/>
      <c r="FOC70" s="137"/>
      <c r="FOD70" s="137"/>
      <c r="FOE70" s="137"/>
      <c r="FOF70" s="137"/>
      <c r="FOG70" s="137"/>
      <c r="FOH70" s="137"/>
      <c r="FOI70" s="137"/>
      <c r="FOJ70" s="137"/>
      <c r="FOK70" s="137"/>
      <c r="FOL70" s="137"/>
      <c r="FOM70" s="137"/>
      <c r="FON70" s="137"/>
      <c r="FOO70" s="137"/>
      <c r="FOP70" s="137"/>
      <c r="FOQ70" s="137"/>
      <c r="FOR70" s="137"/>
      <c r="FOS70" s="137"/>
      <c r="FOT70" s="137"/>
      <c r="FOU70" s="137"/>
      <c r="FOV70" s="137"/>
      <c r="FOW70" s="137"/>
      <c r="FOX70" s="137"/>
      <c r="FOY70" s="137"/>
      <c r="FOZ70" s="137"/>
      <c r="FPA70" s="137"/>
      <c r="FPB70" s="137"/>
      <c r="FPC70" s="137"/>
      <c r="FPD70" s="137"/>
      <c r="FPE70" s="137"/>
      <c r="FPF70" s="137"/>
      <c r="FPG70" s="137"/>
      <c r="FPH70" s="137"/>
      <c r="FPI70" s="137"/>
      <c r="FPJ70" s="137"/>
      <c r="FPK70" s="137"/>
      <c r="FPL70" s="137"/>
      <c r="FPM70" s="137"/>
      <c r="FPN70" s="137"/>
      <c r="FPO70" s="137"/>
      <c r="FPP70" s="137"/>
      <c r="FPQ70" s="137"/>
      <c r="FPR70" s="137"/>
      <c r="FPS70" s="137"/>
      <c r="FPT70" s="137"/>
      <c r="FPU70" s="137"/>
      <c r="FPV70" s="137"/>
      <c r="FPW70" s="137"/>
      <c r="FPX70" s="137"/>
      <c r="FPY70" s="137"/>
      <c r="FPZ70" s="137"/>
      <c r="FQA70" s="137"/>
      <c r="FQB70" s="137"/>
      <c r="FQC70" s="137"/>
      <c r="FQD70" s="137"/>
      <c r="FQE70" s="137"/>
      <c r="FQF70" s="137"/>
      <c r="FQG70" s="137"/>
      <c r="FQH70" s="137"/>
      <c r="FQI70" s="137"/>
      <c r="FQJ70" s="137"/>
      <c r="FQK70" s="137"/>
      <c r="FQL70" s="137"/>
      <c r="FQM70" s="137"/>
      <c r="FQN70" s="137"/>
      <c r="FQO70" s="137"/>
      <c r="FQP70" s="137"/>
      <c r="FQQ70" s="137"/>
      <c r="FQR70" s="137"/>
      <c r="FQS70" s="137"/>
      <c r="FQT70" s="137"/>
      <c r="FQU70" s="137"/>
      <c r="FQV70" s="137"/>
      <c r="FQW70" s="137"/>
      <c r="FQX70" s="137"/>
      <c r="FQY70" s="137"/>
      <c r="FQZ70" s="137"/>
      <c r="FRA70" s="137"/>
      <c r="FRB70" s="137"/>
      <c r="FRC70" s="137"/>
      <c r="FRD70" s="137"/>
      <c r="FRE70" s="137"/>
      <c r="FRF70" s="137"/>
      <c r="FRG70" s="137"/>
      <c r="FRH70" s="137"/>
      <c r="FRI70" s="137"/>
      <c r="FRJ70" s="137"/>
      <c r="FRK70" s="137"/>
      <c r="FRL70" s="137"/>
      <c r="FRM70" s="137"/>
      <c r="FRN70" s="137"/>
      <c r="FRO70" s="137"/>
      <c r="FRP70" s="137"/>
      <c r="FRQ70" s="137"/>
      <c r="FRR70" s="137"/>
      <c r="FRS70" s="137"/>
      <c r="FRT70" s="137"/>
      <c r="FRU70" s="137"/>
      <c r="FRV70" s="137"/>
      <c r="FRW70" s="137"/>
      <c r="FRX70" s="137"/>
      <c r="FRY70" s="137"/>
      <c r="FRZ70" s="137"/>
      <c r="FSA70" s="137"/>
      <c r="FSB70" s="137"/>
      <c r="FSC70" s="137"/>
      <c r="FSD70" s="137"/>
      <c r="FSE70" s="137"/>
      <c r="FSF70" s="137"/>
      <c r="FSG70" s="137"/>
      <c r="FSH70" s="137"/>
      <c r="FSI70" s="137"/>
      <c r="FSJ70" s="137"/>
      <c r="FSK70" s="137"/>
      <c r="FSL70" s="137"/>
      <c r="FSM70" s="137"/>
      <c r="FSN70" s="137"/>
      <c r="FSO70" s="137"/>
      <c r="FSP70" s="137"/>
      <c r="FSQ70" s="137"/>
      <c r="FSR70" s="137"/>
      <c r="FSS70" s="137"/>
      <c r="FST70" s="137"/>
      <c r="FSU70" s="137"/>
      <c r="FSV70" s="137"/>
      <c r="FSW70" s="137"/>
      <c r="FSX70" s="137"/>
      <c r="FSY70" s="137"/>
      <c r="FSZ70" s="137"/>
      <c r="FTA70" s="137"/>
      <c r="FTB70" s="137"/>
      <c r="FTC70" s="137"/>
      <c r="FTD70" s="137"/>
      <c r="FTE70" s="137"/>
      <c r="FTF70" s="137"/>
      <c r="FTG70" s="137"/>
      <c r="FTH70" s="137"/>
      <c r="FTI70" s="137"/>
      <c r="FTJ70" s="137"/>
      <c r="FTK70" s="137"/>
      <c r="FTL70" s="137"/>
      <c r="FTM70" s="137"/>
      <c r="FTN70" s="137"/>
      <c r="FTO70" s="137"/>
      <c r="FTP70" s="137"/>
      <c r="FTQ70" s="137"/>
      <c r="FTR70" s="137"/>
      <c r="FTS70" s="137"/>
      <c r="FTT70" s="137"/>
      <c r="FTU70" s="137"/>
      <c r="FTV70" s="137"/>
      <c r="FTW70" s="137"/>
      <c r="FTX70" s="137"/>
      <c r="FTY70" s="137"/>
      <c r="FTZ70" s="137"/>
      <c r="FUA70" s="137"/>
      <c r="FUB70" s="137"/>
      <c r="FUC70" s="137"/>
      <c r="FUD70" s="137"/>
      <c r="FUE70" s="137"/>
      <c r="FUF70" s="137"/>
      <c r="FUG70" s="137"/>
      <c r="FUH70" s="137"/>
      <c r="FUI70" s="137"/>
      <c r="FUJ70" s="137"/>
      <c r="FUK70" s="137"/>
      <c r="FUL70" s="137"/>
      <c r="FUM70" s="137"/>
      <c r="FUN70" s="137"/>
      <c r="FUO70" s="137"/>
      <c r="FUP70" s="137"/>
      <c r="FUQ70" s="137"/>
      <c r="FUR70" s="137"/>
      <c r="FUS70" s="137"/>
      <c r="FUT70" s="137"/>
      <c r="FUU70" s="137"/>
      <c r="FUV70" s="137"/>
      <c r="FUW70" s="137"/>
      <c r="FUX70" s="137"/>
      <c r="FUY70" s="137"/>
      <c r="FUZ70" s="137"/>
      <c r="FVA70" s="137"/>
      <c r="FVB70" s="137"/>
      <c r="FVC70" s="137"/>
      <c r="FVD70" s="137"/>
      <c r="FVE70" s="137"/>
      <c r="FVF70" s="137"/>
      <c r="FVG70" s="137"/>
      <c r="FVH70" s="137"/>
      <c r="FVI70" s="137"/>
      <c r="FVJ70" s="137"/>
      <c r="FVK70" s="137"/>
      <c r="FVL70" s="137"/>
      <c r="FVM70" s="137"/>
      <c r="FVN70" s="137"/>
      <c r="FVO70" s="137"/>
      <c r="FVP70" s="137"/>
      <c r="FVQ70" s="137"/>
      <c r="FVR70" s="137"/>
      <c r="FVS70" s="137"/>
      <c r="FVT70" s="137"/>
      <c r="FVU70" s="137"/>
      <c r="FVV70" s="137"/>
      <c r="FVW70" s="137"/>
      <c r="FVX70" s="137"/>
      <c r="FVY70" s="137"/>
      <c r="FVZ70" s="137"/>
      <c r="FWA70" s="137"/>
      <c r="FWB70" s="137"/>
      <c r="FWC70" s="137"/>
      <c r="FWD70" s="137"/>
      <c r="FWE70" s="137"/>
      <c r="FWF70" s="137"/>
      <c r="FWG70" s="137"/>
      <c r="FWH70" s="137"/>
      <c r="FWI70" s="137"/>
      <c r="FWJ70" s="137"/>
      <c r="FWK70" s="137"/>
      <c r="FWL70" s="137"/>
      <c r="FWM70" s="137"/>
      <c r="FWN70" s="137"/>
      <c r="FWO70" s="137"/>
      <c r="FWP70" s="137"/>
      <c r="FWQ70" s="137"/>
      <c r="FWR70" s="137"/>
      <c r="FWS70" s="137"/>
      <c r="FWT70" s="137"/>
      <c r="FWU70" s="137"/>
      <c r="FWV70" s="137"/>
      <c r="FWW70" s="137"/>
      <c r="FWX70" s="137"/>
      <c r="FWY70" s="137"/>
      <c r="FWZ70" s="137"/>
      <c r="FXA70" s="137"/>
      <c r="FXB70" s="137"/>
      <c r="FXC70" s="137"/>
      <c r="FXD70" s="137"/>
      <c r="FXE70" s="137"/>
      <c r="FXF70" s="137"/>
      <c r="FXG70" s="137"/>
      <c r="FXH70" s="137"/>
      <c r="FXI70" s="137"/>
      <c r="FXJ70" s="137"/>
      <c r="FXK70" s="137"/>
      <c r="FXL70" s="137"/>
      <c r="FXM70" s="137"/>
      <c r="FXN70" s="137"/>
      <c r="FXO70" s="137"/>
      <c r="FXP70" s="137"/>
      <c r="FXQ70" s="137"/>
      <c r="FXR70" s="137"/>
      <c r="FXS70" s="137"/>
      <c r="FXT70" s="137"/>
      <c r="FXU70" s="137"/>
      <c r="FXV70" s="137"/>
      <c r="FXW70" s="137"/>
      <c r="FXX70" s="137"/>
      <c r="FXY70" s="137"/>
      <c r="FXZ70" s="137"/>
      <c r="FYA70" s="137"/>
      <c r="FYB70" s="137"/>
      <c r="FYC70" s="137"/>
      <c r="FYD70" s="137"/>
      <c r="FYE70" s="137"/>
      <c r="FYF70" s="137"/>
      <c r="FYG70" s="137"/>
      <c r="FYH70" s="137"/>
      <c r="FYI70" s="137"/>
      <c r="FYJ70" s="137"/>
      <c r="FYK70" s="137"/>
      <c r="FYL70" s="137"/>
      <c r="FYM70" s="137"/>
      <c r="FYN70" s="137"/>
      <c r="FYO70" s="137"/>
      <c r="FYP70" s="137"/>
      <c r="FYQ70" s="137"/>
      <c r="FYR70" s="137"/>
      <c r="FYS70" s="137"/>
      <c r="FYT70" s="137"/>
      <c r="FYU70" s="137"/>
      <c r="FYV70" s="137"/>
      <c r="FYW70" s="137"/>
      <c r="FYX70" s="137"/>
      <c r="FYY70" s="137"/>
      <c r="FYZ70" s="137"/>
      <c r="FZA70" s="137"/>
      <c r="FZB70" s="137"/>
      <c r="FZC70" s="137"/>
      <c r="FZD70" s="137"/>
      <c r="FZE70" s="137"/>
      <c r="FZF70" s="137"/>
      <c r="FZG70" s="137"/>
      <c r="FZH70" s="137"/>
      <c r="FZI70" s="137"/>
      <c r="FZJ70" s="137"/>
      <c r="FZK70" s="137"/>
      <c r="FZL70" s="137"/>
      <c r="FZM70" s="137"/>
      <c r="FZN70" s="137"/>
      <c r="FZO70" s="137"/>
      <c r="FZP70" s="137"/>
      <c r="FZQ70" s="137"/>
      <c r="FZR70" s="137"/>
      <c r="FZS70" s="137"/>
      <c r="FZT70" s="137"/>
      <c r="FZU70" s="137"/>
      <c r="FZV70" s="137"/>
      <c r="FZW70" s="137"/>
      <c r="FZX70" s="137"/>
      <c r="FZY70" s="137"/>
      <c r="FZZ70" s="137"/>
      <c r="GAA70" s="137"/>
      <c r="GAB70" s="137"/>
      <c r="GAC70" s="137"/>
      <c r="GAD70" s="137"/>
      <c r="GAE70" s="137"/>
      <c r="GAF70" s="137"/>
      <c r="GAG70" s="137"/>
      <c r="GAH70" s="137"/>
      <c r="GAI70" s="137"/>
      <c r="GAJ70" s="137"/>
      <c r="GAK70" s="137"/>
      <c r="GAL70" s="137"/>
      <c r="GAM70" s="137"/>
      <c r="GAN70" s="137"/>
      <c r="GAO70" s="137"/>
      <c r="GAP70" s="137"/>
      <c r="GAQ70" s="137"/>
      <c r="GAR70" s="137"/>
      <c r="GAS70" s="137"/>
      <c r="GAT70" s="137"/>
      <c r="GAU70" s="137"/>
      <c r="GAV70" s="137"/>
      <c r="GAW70" s="137"/>
      <c r="GAX70" s="137"/>
      <c r="GAY70" s="137"/>
      <c r="GAZ70" s="137"/>
      <c r="GBA70" s="137"/>
      <c r="GBB70" s="137"/>
      <c r="GBC70" s="137"/>
      <c r="GBD70" s="137"/>
      <c r="GBE70" s="137"/>
      <c r="GBF70" s="137"/>
      <c r="GBG70" s="137"/>
      <c r="GBH70" s="137"/>
      <c r="GBI70" s="137"/>
      <c r="GBJ70" s="137"/>
      <c r="GBK70" s="137"/>
      <c r="GBL70" s="137"/>
      <c r="GBM70" s="137"/>
      <c r="GBN70" s="137"/>
      <c r="GBO70" s="137"/>
      <c r="GBP70" s="137"/>
      <c r="GBQ70" s="137"/>
      <c r="GBR70" s="137"/>
      <c r="GBS70" s="137"/>
      <c r="GBT70" s="137"/>
      <c r="GBU70" s="137"/>
      <c r="GBV70" s="137"/>
      <c r="GBW70" s="137"/>
      <c r="GBX70" s="137"/>
      <c r="GBY70" s="137"/>
      <c r="GBZ70" s="137"/>
      <c r="GCA70" s="137"/>
      <c r="GCB70" s="137"/>
      <c r="GCC70" s="137"/>
      <c r="GCD70" s="137"/>
      <c r="GCE70" s="137"/>
      <c r="GCF70" s="137"/>
      <c r="GCG70" s="137"/>
      <c r="GCH70" s="137"/>
      <c r="GCI70" s="137"/>
      <c r="GCJ70" s="137"/>
      <c r="GCK70" s="137"/>
      <c r="GCL70" s="137"/>
      <c r="GCM70" s="137"/>
      <c r="GCN70" s="137"/>
      <c r="GCO70" s="137"/>
      <c r="GCP70" s="137"/>
      <c r="GCQ70" s="137"/>
      <c r="GCR70" s="137"/>
      <c r="GCS70" s="137"/>
      <c r="GCT70" s="137"/>
      <c r="GCU70" s="137"/>
      <c r="GCV70" s="137"/>
      <c r="GCW70" s="137"/>
      <c r="GCX70" s="137"/>
      <c r="GCY70" s="137"/>
      <c r="GCZ70" s="137"/>
      <c r="GDA70" s="137"/>
      <c r="GDB70" s="137"/>
      <c r="GDC70" s="137"/>
      <c r="GDD70" s="137"/>
      <c r="GDE70" s="137"/>
      <c r="GDF70" s="137"/>
      <c r="GDG70" s="137"/>
      <c r="GDH70" s="137"/>
      <c r="GDI70" s="137"/>
      <c r="GDJ70" s="137"/>
      <c r="GDK70" s="137"/>
      <c r="GDL70" s="137"/>
      <c r="GDM70" s="137"/>
      <c r="GDN70" s="137"/>
      <c r="GDO70" s="137"/>
      <c r="GDP70" s="137"/>
      <c r="GDQ70" s="137"/>
      <c r="GDR70" s="137"/>
      <c r="GDS70" s="137"/>
      <c r="GDT70" s="137"/>
      <c r="GDU70" s="137"/>
      <c r="GDV70" s="137"/>
      <c r="GDW70" s="137"/>
      <c r="GDX70" s="137"/>
      <c r="GDY70" s="137"/>
      <c r="GDZ70" s="137"/>
      <c r="GEA70" s="137"/>
      <c r="GEB70" s="137"/>
      <c r="GEC70" s="137"/>
      <c r="GED70" s="137"/>
      <c r="GEE70" s="137"/>
      <c r="GEF70" s="137"/>
      <c r="GEG70" s="137"/>
      <c r="GEH70" s="137"/>
      <c r="GEI70" s="137"/>
      <c r="GEJ70" s="137"/>
      <c r="GEK70" s="137"/>
      <c r="GEL70" s="137"/>
      <c r="GEM70" s="137"/>
      <c r="GEN70" s="137"/>
      <c r="GEO70" s="137"/>
      <c r="GEP70" s="137"/>
      <c r="GEQ70" s="137"/>
      <c r="GER70" s="137"/>
      <c r="GES70" s="137"/>
      <c r="GET70" s="137"/>
      <c r="GEU70" s="137"/>
      <c r="GEV70" s="137"/>
      <c r="GEW70" s="137"/>
      <c r="GEX70" s="137"/>
      <c r="GEY70" s="137"/>
      <c r="GEZ70" s="137"/>
      <c r="GFA70" s="137"/>
      <c r="GFB70" s="137"/>
      <c r="GFC70" s="137"/>
      <c r="GFD70" s="137"/>
      <c r="GFE70" s="137"/>
      <c r="GFF70" s="137"/>
      <c r="GFG70" s="137"/>
      <c r="GFH70" s="137"/>
      <c r="GFI70" s="137"/>
      <c r="GFJ70" s="137"/>
      <c r="GFK70" s="137"/>
      <c r="GFL70" s="137"/>
      <c r="GFM70" s="137"/>
      <c r="GFN70" s="137"/>
      <c r="GFO70" s="137"/>
      <c r="GFP70" s="137"/>
      <c r="GFQ70" s="137"/>
      <c r="GFR70" s="137"/>
      <c r="GFS70" s="137"/>
      <c r="GFT70" s="137"/>
      <c r="GFU70" s="137"/>
      <c r="GFV70" s="137"/>
      <c r="GFW70" s="137"/>
      <c r="GFX70" s="137"/>
      <c r="GFY70" s="137"/>
      <c r="GFZ70" s="137"/>
      <c r="GGA70" s="137"/>
      <c r="GGB70" s="137"/>
      <c r="GGC70" s="137"/>
      <c r="GGD70" s="137"/>
      <c r="GGE70" s="137"/>
      <c r="GGF70" s="137"/>
      <c r="GGG70" s="137"/>
      <c r="GGH70" s="137"/>
      <c r="GGI70" s="137"/>
      <c r="GGJ70" s="137"/>
      <c r="GGK70" s="137"/>
      <c r="GGL70" s="137"/>
      <c r="GGM70" s="137"/>
      <c r="GGN70" s="137"/>
      <c r="GGO70" s="137"/>
      <c r="GGP70" s="137"/>
      <c r="GGQ70" s="137"/>
      <c r="GGR70" s="137"/>
      <c r="GGS70" s="137"/>
      <c r="GGT70" s="137"/>
      <c r="GGU70" s="137"/>
      <c r="GGV70" s="137"/>
      <c r="GGW70" s="137"/>
      <c r="GGX70" s="137"/>
      <c r="GGY70" s="137"/>
      <c r="GGZ70" s="137"/>
      <c r="GHA70" s="137"/>
      <c r="GHB70" s="137"/>
      <c r="GHC70" s="137"/>
      <c r="GHD70" s="137"/>
      <c r="GHE70" s="137"/>
      <c r="GHF70" s="137"/>
      <c r="GHG70" s="137"/>
      <c r="GHH70" s="137"/>
      <c r="GHI70" s="137"/>
      <c r="GHJ70" s="137"/>
      <c r="GHK70" s="137"/>
      <c r="GHL70" s="137"/>
      <c r="GHM70" s="137"/>
      <c r="GHN70" s="137"/>
      <c r="GHO70" s="137"/>
      <c r="GHP70" s="137"/>
      <c r="GHQ70" s="137"/>
      <c r="GHR70" s="137"/>
      <c r="GHS70" s="137"/>
      <c r="GHT70" s="137"/>
      <c r="GHU70" s="137"/>
      <c r="GHV70" s="137"/>
      <c r="GHW70" s="137"/>
      <c r="GHX70" s="137"/>
      <c r="GHY70" s="137"/>
      <c r="GHZ70" s="137"/>
      <c r="GIA70" s="137"/>
      <c r="GIB70" s="137"/>
      <c r="GIC70" s="137"/>
      <c r="GID70" s="137"/>
      <c r="GIE70" s="137"/>
      <c r="GIF70" s="137"/>
      <c r="GIG70" s="137"/>
      <c r="GIH70" s="137"/>
      <c r="GII70" s="137"/>
      <c r="GIJ70" s="137"/>
      <c r="GIK70" s="137"/>
      <c r="GIL70" s="137"/>
      <c r="GIM70" s="137"/>
      <c r="GIN70" s="137"/>
      <c r="GIO70" s="137"/>
      <c r="GIP70" s="137"/>
      <c r="GIQ70" s="137"/>
      <c r="GIR70" s="137"/>
      <c r="GIS70" s="137"/>
      <c r="GIT70" s="137"/>
      <c r="GIU70" s="137"/>
      <c r="GIV70" s="137"/>
      <c r="GIW70" s="137"/>
      <c r="GIX70" s="137"/>
      <c r="GIY70" s="137"/>
      <c r="GIZ70" s="137"/>
      <c r="GJA70" s="137"/>
      <c r="GJB70" s="137"/>
      <c r="GJC70" s="137"/>
      <c r="GJD70" s="137"/>
      <c r="GJE70" s="137"/>
      <c r="GJF70" s="137"/>
      <c r="GJG70" s="137"/>
      <c r="GJH70" s="137"/>
      <c r="GJI70" s="137"/>
      <c r="GJJ70" s="137"/>
      <c r="GJK70" s="137"/>
      <c r="GJL70" s="137"/>
      <c r="GJM70" s="137"/>
      <c r="GJN70" s="137"/>
      <c r="GJO70" s="137"/>
      <c r="GJP70" s="137"/>
      <c r="GJQ70" s="137"/>
      <c r="GJR70" s="137"/>
      <c r="GJS70" s="137"/>
      <c r="GJT70" s="137"/>
      <c r="GJU70" s="137"/>
      <c r="GJV70" s="137"/>
      <c r="GJW70" s="137"/>
      <c r="GJX70" s="137"/>
      <c r="GJY70" s="137"/>
      <c r="GJZ70" s="137"/>
      <c r="GKA70" s="137"/>
      <c r="GKB70" s="137"/>
      <c r="GKC70" s="137"/>
      <c r="GKD70" s="137"/>
      <c r="GKE70" s="137"/>
      <c r="GKF70" s="137"/>
      <c r="GKG70" s="137"/>
      <c r="GKH70" s="137"/>
      <c r="GKI70" s="137"/>
      <c r="GKJ70" s="137"/>
      <c r="GKK70" s="137"/>
      <c r="GKL70" s="137"/>
      <c r="GKM70" s="137"/>
      <c r="GKN70" s="137"/>
      <c r="GKO70" s="137"/>
      <c r="GKP70" s="137"/>
      <c r="GKQ70" s="137"/>
      <c r="GKR70" s="137"/>
      <c r="GKS70" s="137"/>
      <c r="GKT70" s="137"/>
      <c r="GKU70" s="137"/>
      <c r="GKV70" s="137"/>
      <c r="GKW70" s="137"/>
      <c r="GKX70" s="137"/>
      <c r="GKY70" s="137"/>
      <c r="GKZ70" s="137"/>
      <c r="GLA70" s="137"/>
      <c r="GLB70" s="137"/>
      <c r="GLC70" s="137"/>
      <c r="GLD70" s="137"/>
      <c r="GLE70" s="137"/>
      <c r="GLF70" s="137"/>
      <c r="GLG70" s="137"/>
      <c r="GLH70" s="137"/>
      <c r="GLI70" s="137"/>
      <c r="GLJ70" s="137"/>
      <c r="GLK70" s="137"/>
      <c r="GLL70" s="137"/>
      <c r="GLM70" s="137"/>
      <c r="GLN70" s="137"/>
      <c r="GLO70" s="137"/>
      <c r="GLP70" s="137"/>
      <c r="GLQ70" s="137"/>
      <c r="GLR70" s="137"/>
      <c r="GLS70" s="137"/>
      <c r="GLT70" s="137"/>
      <c r="GLU70" s="137"/>
      <c r="GLV70" s="137"/>
      <c r="GLW70" s="137"/>
      <c r="GLX70" s="137"/>
      <c r="GLY70" s="137"/>
      <c r="GLZ70" s="137"/>
      <c r="GMA70" s="137"/>
      <c r="GMB70" s="137"/>
      <c r="GMC70" s="137"/>
      <c r="GMD70" s="137"/>
      <c r="GME70" s="137"/>
      <c r="GMF70" s="137"/>
      <c r="GMG70" s="137"/>
      <c r="GMH70" s="137"/>
      <c r="GMI70" s="137"/>
      <c r="GMJ70" s="137"/>
      <c r="GMK70" s="137"/>
      <c r="GML70" s="137"/>
      <c r="GMM70" s="137"/>
      <c r="GMN70" s="137"/>
      <c r="GMO70" s="137"/>
      <c r="GMP70" s="137"/>
      <c r="GMQ70" s="137"/>
      <c r="GMR70" s="137"/>
      <c r="GMS70" s="137"/>
      <c r="GMT70" s="137"/>
      <c r="GMU70" s="137"/>
      <c r="GMV70" s="137"/>
      <c r="GMW70" s="137"/>
      <c r="GMX70" s="137"/>
      <c r="GMY70" s="137"/>
      <c r="GMZ70" s="137"/>
      <c r="GNA70" s="137"/>
      <c r="GNB70" s="137"/>
      <c r="GNC70" s="137"/>
      <c r="GND70" s="137"/>
      <c r="GNE70" s="137"/>
      <c r="GNF70" s="137"/>
      <c r="GNG70" s="137"/>
      <c r="GNH70" s="137"/>
      <c r="GNI70" s="137"/>
      <c r="GNJ70" s="137"/>
      <c r="GNK70" s="137"/>
      <c r="GNL70" s="137"/>
      <c r="GNM70" s="137"/>
      <c r="GNN70" s="137"/>
      <c r="GNO70" s="137"/>
      <c r="GNP70" s="137"/>
      <c r="GNQ70" s="137"/>
      <c r="GNR70" s="137"/>
      <c r="GNS70" s="137"/>
      <c r="GNT70" s="137"/>
      <c r="GNU70" s="137"/>
      <c r="GNV70" s="137"/>
      <c r="GNW70" s="137"/>
      <c r="GNX70" s="137"/>
      <c r="GNY70" s="137"/>
      <c r="GNZ70" s="137"/>
      <c r="GOA70" s="137"/>
      <c r="GOB70" s="137"/>
      <c r="GOC70" s="137"/>
      <c r="GOD70" s="137"/>
      <c r="GOE70" s="137"/>
      <c r="GOF70" s="137"/>
      <c r="GOG70" s="137"/>
      <c r="GOH70" s="137"/>
      <c r="GOI70" s="137"/>
      <c r="GOJ70" s="137"/>
      <c r="GOK70" s="137"/>
      <c r="GOL70" s="137"/>
      <c r="GOM70" s="137"/>
      <c r="GON70" s="137"/>
      <c r="GOO70" s="137"/>
      <c r="GOP70" s="137"/>
      <c r="GOQ70" s="137"/>
      <c r="GOR70" s="137"/>
      <c r="GOS70" s="137"/>
      <c r="GOT70" s="137"/>
      <c r="GOU70" s="137"/>
      <c r="GOV70" s="137"/>
      <c r="GOW70" s="137"/>
      <c r="GOX70" s="137"/>
      <c r="GOY70" s="137"/>
      <c r="GOZ70" s="137"/>
      <c r="GPA70" s="137"/>
      <c r="GPB70" s="137"/>
      <c r="GPC70" s="137"/>
      <c r="GPD70" s="137"/>
      <c r="GPE70" s="137"/>
      <c r="GPF70" s="137"/>
      <c r="GPG70" s="137"/>
      <c r="GPH70" s="137"/>
      <c r="GPI70" s="137"/>
      <c r="GPJ70" s="137"/>
      <c r="GPK70" s="137"/>
      <c r="GPL70" s="137"/>
      <c r="GPM70" s="137"/>
      <c r="GPN70" s="137"/>
      <c r="GPO70" s="137"/>
      <c r="GPP70" s="137"/>
      <c r="GPQ70" s="137"/>
      <c r="GPR70" s="137"/>
      <c r="GPS70" s="137"/>
      <c r="GPT70" s="137"/>
      <c r="GPU70" s="137"/>
      <c r="GPV70" s="137"/>
      <c r="GPW70" s="137"/>
      <c r="GPX70" s="137"/>
      <c r="GPY70" s="137"/>
      <c r="GPZ70" s="137"/>
      <c r="GQA70" s="137"/>
      <c r="GQB70" s="137"/>
      <c r="GQC70" s="137"/>
      <c r="GQD70" s="137"/>
      <c r="GQE70" s="137"/>
      <c r="GQF70" s="137"/>
      <c r="GQG70" s="137"/>
      <c r="GQH70" s="137"/>
      <c r="GQI70" s="137"/>
      <c r="GQJ70" s="137"/>
      <c r="GQK70" s="137"/>
      <c r="GQL70" s="137"/>
      <c r="GQM70" s="137"/>
      <c r="GQN70" s="137"/>
      <c r="GQO70" s="137"/>
      <c r="GQP70" s="137"/>
      <c r="GQQ70" s="137"/>
      <c r="GQR70" s="137"/>
      <c r="GQS70" s="137"/>
      <c r="GQT70" s="137"/>
      <c r="GQU70" s="137"/>
      <c r="GQV70" s="137"/>
      <c r="GQW70" s="137"/>
      <c r="GQX70" s="137"/>
      <c r="GQY70" s="137"/>
      <c r="GQZ70" s="137"/>
      <c r="GRA70" s="137"/>
      <c r="GRB70" s="137"/>
      <c r="GRC70" s="137"/>
      <c r="GRD70" s="137"/>
      <c r="GRE70" s="137"/>
      <c r="GRF70" s="137"/>
      <c r="GRG70" s="137"/>
      <c r="GRH70" s="137"/>
      <c r="GRI70" s="137"/>
      <c r="GRJ70" s="137"/>
      <c r="GRK70" s="137"/>
      <c r="GRL70" s="137"/>
      <c r="GRM70" s="137"/>
      <c r="GRN70" s="137"/>
      <c r="GRO70" s="137"/>
      <c r="GRP70" s="137"/>
      <c r="GRQ70" s="137"/>
      <c r="GRR70" s="137"/>
      <c r="GRS70" s="137"/>
      <c r="GRT70" s="137"/>
      <c r="GRU70" s="137"/>
      <c r="GRV70" s="137"/>
      <c r="GRW70" s="137"/>
      <c r="GRX70" s="137"/>
      <c r="GRY70" s="137"/>
      <c r="GRZ70" s="137"/>
      <c r="GSA70" s="137"/>
      <c r="GSB70" s="137"/>
      <c r="GSC70" s="137"/>
      <c r="GSD70" s="137"/>
      <c r="GSE70" s="137"/>
      <c r="GSF70" s="137"/>
      <c r="GSG70" s="137"/>
      <c r="GSH70" s="137"/>
      <c r="GSI70" s="137"/>
      <c r="GSJ70" s="137"/>
      <c r="GSK70" s="137"/>
      <c r="GSL70" s="137"/>
      <c r="GSM70" s="137"/>
      <c r="GSN70" s="137"/>
      <c r="GSO70" s="137"/>
      <c r="GSP70" s="137"/>
      <c r="GSQ70" s="137"/>
      <c r="GSR70" s="137"/>
      <c r="GSS70" s="137"/>
      <c r="GST70" s="137"/>
      <c r="GSU70" s="137"/>
      <c r="GSV70" s="137"/>
      <c r="GSW70" s="137"/>
      <c r="GSX70" s="137"/>
      <c r="GSY70" s="137"/>
      <c r="GSZ70" s="137"/>
      <c r="GTA70" s="137"/>
      <c r="GTB70" s="137"/>
      <c r="GTC70" s="137"/>
      <c r="GTD70" s="137"/>
      <c r="GTE70" s="137"/>
      <c r="GTF70" s="137"/>
      <c r="GTG70" s="137"/>
      <c r="GTH70" s="137"/>
      <c r="GTI70" s="137"/>
      <c r="GTJ70" s="137"/>
      <c r="GTK70" s="137"/>
      <c r="GTL70" s="137"/>
      <c r="GTM70" s="137"/>
      <c r="GTN70" s="137"/>
      <c r="GTO70" s="137"/>
      <c r="GTP70" s="137"/>
      <c r="GTQ70" s="137"/>
      <c r="GTR70" s="137"/>
      <c r="GTS70" s="137"/>
      <c r="GTT70" s="137"/>
      <c r="GTU70" s="137"/>
      <c r="GTV70" s="137"/>
      <c r="GTW70" s="137"/>
      <c r="GTX70" s="137"/>
      <c r="GTY70" s="137"/>
      <c r="GTZ70" s="137"/>
      <c r="GUA70" s="137"/>
      <c r="GUB70" s="137"/>
      <c r="GUC70" s="137"/>
      <c r="GUD70" s="137"/>
      <c r="GUE70" s="137"/>
      <c r="GUF70" s="137"/>
      <c r="GUG70" s="137"/>
      <c r="GUH70" s="137"/>
      <c r="GUI70" s="137"/>
      <c r="GUJ70" s="137"/>
      <c r="GUK70" s="137"/>
      <c r="GUL70" s="137"/>
      <c r="GUM70" s="137"/>
      <c r="GUN70" s="137"/>
      <c r="GUO70" s="137"/>
      <c r="GUP70" s="137"/>
      <c r="GUQ70" s="137"/>
      <c r="GUR70" s="137"/>
      <c r="GUS70" s="137"/>
      <c r="GUT70" s="137"/>
      <c r="GUU70" s="137"/>
      <c r="GUV70" s="137"/>
      <c r="GUW70" s="137"/>
      <c r="GUX70" s="137"/>
      <c r="GUY70" s="137"/>
      <c r="GUZ70" s="137"/>
      <c r="GVA70" s="137"/>
      <c r="GVB70" s="137"/>
      <c r="GVC70" s="137"/>
      <c r="GVD70" s="137"/>
      <c r="GVE70" s="137"/>
      <c r="GVF70" s="137"/>
      <c r="GVG70" s="137"/>
      <c r="GVH70" s="137"/>
      <c r="GVI70" s="137"/>
      <c r="GVJ70" s="137"/>
      <c r="GVK70" s="137"/>
      <c r="GVL70" s="137"/>
      <c r="GVM70" s="137"/>
      <c r="GVN70" s="137"/>
      <c r="GVO70" s="137"/>
      <c r="GVP70" s="137"/>
      <c r="GVQ70" s="137"/>
      <c r="GVR70" s="137"/>
      <c r="GVS70" s="137"/>
      <c r="GVT70" s="137"/>
      <c r="GVU70" s="137"/>
      <c r="GVV70" s="137"/>
      <c r="GVW70" s="137"/>
      <c r="GVX70" s="137"/>
      <c r="GVY70" s="137"/>
      <c r="GVZ70" s="137"/>
      <c r="GWA70" s="137"/>
      <c r="GWB70" s="137"/>
      <c r="GWC70" s="137"/>
      <c r="GWD70" s="137"/>
      <c r="GWE70" s="137"/>
      <c r="GWF70" s="137"/>
      <c r="GWG70" s="137"/>
      <c r="GWH70" s="137"/>
      <c r="GWI70" s="137"/>
      <c r="GWJ70" s="137"/>
      <c r="GWK70" s="137"/>
      <c r="GWL70" s="137"/>
      <c r="GWM70" s="137"/>
      <c r="GWN70" s="137"/>
      <c r="GWO70" s="137"/>
      <c r="GWP70" s="137"/>
      <c r="GWQ70" s="137"/>
      <c r="GWR70" s="137"/>
      <c r="GWS70" s="137"/>
      <c r="GWT70" s="137"/>
      <c r="GWU70" s="137"/>
      <c r="GWV70" s="137"/>
      <c r="GWW70" s="137"/>
      <c r="GWX70" s="137"/>
      <c r="GWY70" s="137"/>
      <c r="GWZ70" s="137"/>
      <c r="GXA70" s="137"/>
      <c r="GXB70" s="137"/>
      <c r="GXC70" s="137"/>
      <c r="GXD70" s="137"/>
      <c r="GXE70" s="137"/>
      <c r="GXF70" s="137"/>
      <c r="GXG70" s="137"/>
      <c r="GXH70" s="137"/>
      <c r="GXI70" s="137"/>
      <c r="GXJ70" s="137"/>
      <c r="GXK70" s="137"/>
      <c r="GXL70" s="137"/>
      <c r="GXM70" s="137"/>
      <c r="GXN70" s="137"/>
      <c r="GXO70" s="137"/>
      <c r="GXP70" s="137"/>
      <c r="GXQ70" s="137"/>
      <c r="GXR70" s="137"/>
      <c r="GXS70" s="137"/>
      <c r="GXT70" s="137"/>
      <c r="GXU70" s="137"/>
      <c r="GXV70" s="137"/>
      <c r="GXW70" s="137"/>
      <c r="GXX70" s="137"/>
      <c r="GXY70" s="137"/>
      <c r="GXZ70" s="137"/>
      <c r="GYA70" s="137"/>
      <c r="GYB70" s="137"/>
      <c r="GYC70" s="137"/>
      <c r="GYD70" s="137"/>
      <c r="GYE70" s="137"/>
      <c r="GYF70" s="137"/>
      <c r="GYG70" s="137"/>
      <c r="GYH70" s="137"/>
      <c r="GYI70" s="137"/>
      <c r="GYJ70" s="137"/>
      <c r="GYK70" s="137"/>
      <c r="GYL70" s="137"/>
      <c r="GYM70" s="137"/>
      <c r="GYN70" s="137"/>
      <c r="GYO70" s="137"/>
      <c r="GYP70" s="137"/>
      <c r="GYQ70" s="137"/>
      <c r="GYR70" s="137"/>
      <c r="GYS70" s="137"/>
      <c r="GYT70" s="137"/>
      <c r="GYU70" s="137"/>
      <c r="GYV70" s="137"/>
      <c r="GYW70" s="137"/>
      <c r="GYX70" s="137"/>
      <c r="GYY70" s="137"/>
      <c r="GYZ70" s="137"/>
      <c r="GZA70" s="137"/>
      <c r="GZB70" s="137"/>
      <c r="GZC70" s="137"/>
      <c r="GZD70" s="137"/>
      <c r="GZE70" s="137"/>
      <c r="GZF70" s="137"/>
      <c r="GZG70" s="137"/>
      <c r="GZH70" s="137"/>
      <c r="GZI70" s="137"/>
      <c r="GZJ70" s="137"/>
      <c r="GZK70" s="137"/>
      <c r="GZL70" s="137"/>
      <c r="GZM70" s="137"/>
      <c r="GZN70" s="137"/>
      <c r="GZO70" s="137"/>
      <c r="GZP70" s="137"/>
      <c r="GZQ70" s="137"/>
      <c r="GZR70" s="137"/>
      <c r="GZS70" s="137"/>
      <c r="GZT70" s="137"/>
      <c r="GZU70" s="137"/>
      <c r="GZV70" s="137"/>
      <c r="GZW70" s="137"/>
      <c r="GZX70" s="137"/>
      <c r="GZY70" s="137"/>
      <c r="GZZ70" s="137"/>
      <c r="HAA70" s="137"/>
      <c r="HAB70" s="137"/>
      <c r="HAC70" s="137"/>
      <c r="HAD70" s="137"/>
      <c r="HAE70" s="137"/>
      <c r="HAF70" s="137"/>
      <c r="HAG70" s="137"/>
      <c r="HAH70" s="137"/>
      <c r="HAI70" s="137"/>
      <c r="HAJ70" s="137"/>
      <c r="HAK70" s="137"/>
      <c r="HAL70" s="137"/>
      <c r="HAM70" s="137"/>
      <c r="HAN70" s="137"/>
      <c r="HAO70" s="137"/>
      <c r="HAP70" s="137"/>
      <c r="HAQ70" s="137"/>
      <c r="HAR70" s="137"/>
      <c r="HAS70" s="137"/>
      <c r="HAT70" s="137"/>
      <c r="HAU70" s="137"/>
      <c r="HAV70" s="137"/>
      <c r="HAW70" s="137"/>
      <c r="HAX70" s="137"/>
      <c r="HAY70" s="137"/>
      <c r="HAZ70" s="137"/>
      <c r="HBA70" s="137"/>
      <c r="HBB70" s="137"/>
      <c r="HBC70" s="137"/>
      <c r="HBD70" s="137"/>
      <c r="HBE70" s="137"/>
      <c r="HBF70" s="137"/>
      <c r="HBG70" s="137"/>
      <c r="HBH70" s="137"/>
      <c r="HBI70" s="137"/>
      <c r="HBJ70" s="137"/>
      <c r="HBK70" s="137"/>
      <c r="HBL70" s="137"/>
      <c r="HBM70" s="137"/>
      <c r="HBN70" s="137"/>
      <c r="HBO70" s="137"/>
      <c r="HBP70" s="137"/>
      <c r="HBQ70" s="137"/>
      <c r="HBR70" s="137"/>
      <c r="HBS70" s="137"/>
      <c r="HBT70" s="137"/>
      <c r="HBU70" s="137"/>
      <c r="HBV70" s="137"/>
      <c r="HBW70" s="137"/>
      <c r="HBX70" s="137"/>
      <c r="HBY70" s="137"/>
      <c r="HBZ70" s="137"/>
      <c r="HCA70" s="137"/>
      <c r="HCB70" s="137"/>
      <c r="HCC70" s="137"/>
      <c r="HCD70" s="137"/>
      <c r="HCE70" s="137"/>
      <c r="HCF70" s="137"/>
      <c r="HCG70" s="137"/>
      <c r="HCH70" s="137"/>
      <c r="HCI70" s="137"/>
      <c r="HCJ70" s="137"/>
      <c r="HCK70" s="137"/>
      <c r="HCL70" s="137"/>
      <c r="HCM70" s="137"/>
      <c r="HCN70" s="137"/>
      <c r="HCO70" s="137"/>
      <c r="HCP70" s="137"/>
      <c r="HCQ70" s="137"/>
      <c r="HCR70" s="137"/>
      <c r="HCS70" s="137"/>
      <c r="HCT70" s="137"/>
      <c r="HCU70" s="137"/>
      <c r="HCV70" s="137"/>
      <c r="HCW70" s="137"/>
      <c r="HCX70" s="137"/>
      <c r="HCY70" s="137"/>
      <c r="HCZ70" s="137"/>
      <c r="HDA70" s="137"/>
      <c r="HDB70" s="137"/>
      <c r="HDC70" s="137"/>
      <c r="HDD70" s="137"/>
      <c r="HDE70" s="137"/>
      <c r="HDF70" s="137"/>
      <c r="HDG70" s="137"/>
      <c r="HDH70" s="137"/>
      <c r="HDI70" s="137"/>
      <c r="HDJ70" s="137"/>
      <c r="HDK70" s="137"/>
      <c r="HDL70" s="137"/>
      <c r="HDM70" s="137"/>
      <c r="HDN70" s="137"/>
      <c r="HDO70" s="137"/>
      <c r="HDP70" s="137"/>
      <c r="HDQ70" s="137"/>
      <c r="HDR70" s="137"/>
      <c r="HDS70" s="137"/>
      <c r="HDT70" s="137"/>
      <c r="HDU70" s="137"/>
      <c r="HDV70" s="137"/>
      <c r="HDW70" s="137"/>
      <c r="HDX70" s="137"/>
      <c r="HDY70" s="137"/>
      <c r="HDZ70" s="137"/>
      <c r="HEA70" s="137"/>
      <c r="HEB70" s="137"/>
      <c r="HEC70" s="137"/>
      <c r="HED70" s="137"/>
      <c r="HEE70" s="137"/>
      <c r="HEF70" s="137"/>
      <c r="HEG70" s="137"/>
      <c r="HEH70" s="137"/>
      <c r="HEI70" s="137"/>
      <c r="HEJ70" s="137"/>
      <c r="HEK70" s="137"/>
      <c r="HEL70" s="137"/>
      <c r="HEM70" s="137"/>
      <c r="HEN70" s="137"/>
      <c r="HEO70" s="137"/>
      <c r="HEP70" s="137"/>
      <c r="HEQ70" s="137"/>
      <c r="HER70" s="137"/>
      <c r="HES70" s="137"/>
      <c r="HET70" s="137"/>
      <c r="HEU70" s="137"/>
      <c r="HEV70" s="137"/>
      <c r="HEW70" s="137"/>
      <c r="HEX70" s="137"/>
      <c r="HEY70" s="137"/>
      <c r="HEZ70" s="137"/>
      <c r="HFA70" s="137"/>
      <c r="HFB70" s="137"/>
      <c r="HFC70" s="137"/>
      <c r="HFD70" s="137"/>
      <c r="HFE70" s="137"/>
      <c r="HFF70" s="137"/>
      <c r="HFG70" s="137"/>
      <c r="HFH70" s="137"/>
      <c r="HFI70" s="137"/>
      <c r="HFJ70" s="137"/>
      <c r="HFK70" s="137"/>
      <c r="HFL70" s="137"/>
      <c r="HFM70" s="137"/>
      <c r="HFN70" s="137"/>
      <c r="HFO70" s="137"/>
      <c r="HFP70" s="137"/>
      <c r="HFQ70" s="137"/>
      <c r="HFR70" s="137"/>
      <c r="HFS70" s="137"/>
      <c r="HFT70" s="137"/>
      <c r="HFU70" s="137"/>
      <c r="HFV70" s="137"/>
      <c r="HFW70" s="137"/>
      <c r="HFX70" s="137"/>
      <c r="HFY70" s="137"/>
      <c r="HFZ70" s="137"/>
      <c r="HGA70" s="137"/>
      <c r="HGB70" s="137"/>
      <c r="HGC70" s="137"/>
      <c r="HGD70" s="137"/>
      <c r="HGE70" s="137"/>
      <c r="HGF70" s="137"/>
      <c r="HGG70" s="137"/>
      <c r="HGH70" s="137"/>
      <c r="HGI70" s="137"/>
      <c r="HGJ70" s="137"/>
      <c r="HGK70" s="137"/>
      <c r="HGL70" s="137"/>
      <c r="HGM70" s="137"/>
      <c r="HGN70" s="137"/>
      <c r="HGO70" s="137"/>
      <c r="HGP70" s="137"/>
      <c r="HGQ70" s="137"/>
      <c r="HGR70" s="137"/>
      <c r="HGS70" s="137"/>
      <c r="HGT70" s="137"/>
      <c r="HGU70" s="137"/>
      <c r="HGV70" s="137"/>
      <c r="HGW70" s="137"/>
      <c r="HGX70" s="137"/>
      <c r="HGY70" s="137"/>
      <c r="HGZ70" s="137"/>
      <c r="HHA70" s="137"/>
      <c r="HHB70" s="137"/>
      <c r="HHC70" s="137"/>
      <c r="HHD70" s="137"/>
      <c r="HHE70" s="137"/>
      <c r="HHF70" s="137"/>
      <c r="HHG70" s="137"/>
      <c r="HHH70" s="137"/>
      <c r="HHI70" s="137"/>
      <c r="HHJ70" s="137"/>
      <c r="HHK70" s="137"/>
      <c r="HHL70" s="137"/>
      <c r="HHM70" s="137"/>
      <c r="HHN70" s="137"/>
      <c r="HHO70" s="137"/>
      <c r="HHP70" s="137"/>
      <c r="HHQ70" s="137"/>
      <c r="HHR70" s="137"/>
      <c r="HHS70" s="137"/>
      <c r="HHT70" s="137"/>
      <c r="HHU70" s="137"/>
      <c r="HHV70" s="137"/>
      <c r="HHW70" s="137"/>
      <c r="HHX70" s="137"/>
      <c r="HHY70" s="137"/>
      <c r="HHZ70" s="137"/>
      <c r="HIA70" s="137"/>
      <c r="HIB70" s="137"/>
      <c r="HIC70" s="137"/>
      <c r="HID70" s="137"/>
      <c r="HIE70" s="137"/>
      <c r="HIF70" s="137"/>
      <c r="HIG70" s="137"/>
      <c r="HIH70" s="137"/>
      <c r="HII70" s="137"/>
      <c r="HIJ70" s="137"/>
      <c r="HIK70" s="137"/>
      <c r="HIL70" s="137"/>
      <c r="HIM70" s="137"/>
      <c r="HIN70" s="137"/>
      <c r="HIO70" s="137"/>
      <c r="HIP70" s="137"/>
      <c r="HIQ70" s="137"/>
      <c r="HIR70" s="137"/>
      <c r="HIS70" s="137"/>
      <c r="HIT70" s="137"/>
      <c r="HIU70" s="137"/>
      <c r="HIV70" s="137"/>
      <c r="HIW70" s="137"/>
      <c r="HIX70" s="137"/>
      <c r="HIY70" s="137"/>
      <c r="HIZ70" s="137"/>
      <c r="HJA70" s="137"/>
      <c r="HJB70" s="137"/>
      <c r="HJC70" s="137"/>
      <c r="HJD70" s="137"/>
      <c r="HJE70" s="137"/>
      <c r="HJF70" s="137"/>
      <c r="HJG70" s="137"/>
      <c r="HJH70" s="137"/>
      <c r="HJI70" s="137"/>
      <c r="HJJ70" s="137"/>
      <c r="HJK70" s="137"/>
      <c r="HJL70" s="137"/>
      <c r="HJM70" s="137"/>
      <c r="HJN70" s="137"/>
      <c r="HJO70" s="137"/>
      <c r="HJP70" s="137"/>
      <c r="HJQ70" s="137"/>
      <c r="HJR70" s="137"/>
      <c r="HJS70" s="137"/>
      <c r="HJT70" s="137"/>
      <c r="HJU70" s="137"/>
      <c r="HJV70" s="137"/>
      <c r="HJW70" s="137"/>
      <c r="HJX70" s="137"/>
      <c r="HJY70" s="137"/>
      <c r="HJZ70" s="137"/>
      <c r="HKA70" s="137"/>
      <c r="HKB70" s="137"/>
      <c r="HKC70" s="137"/>
      <c r="HKD70" s="137"/>
      <c r="HKE70" s="137"/>
      <c r="HKF70" s="137"/>
      <c r="HKG70" s="137"/>
      <c r="HKH70" s="137"/>
      <c r="HKI70" s="137"/>
      <c r="HKJ70" s="137"/>
      <c r="HKK70" s="137"/>
      <c r="HKL70" s="137"/>
      <c r="HKM70" s="137"/>
      <c r="HKN70" s="137"/>
      <c r="HKO70" s="137"/>
      <c r="HKP70" s="137"/>
      <c r="HKQ70" s="137"/>
      <c r="HKR70" s="137"/>
      <c r="HKS70" s="137"/>
      <c r="HKT70" s="137"/>
      <c r="HKU70" s="137"/>
      <c r="HKV70" s="137"/>
      <c r="HKW70" s="137"/>
      <c r="HKX70" s="137"/>
      <c r="HKY70" s="137"/>
      <c r="HKZ70" s="137"/>
      <c r="HLA70" s="137"/>
      <c r="HLB70" s="137"/>
      <c r="HLC70" s="137"/>
      <c r="HLD70" s="137"/>
      <c r="HLE70" s="137"/>
      <c r="HLF70" s="137"/>
      <c r="HLG70" s="137"/>
      <c r="HLH70" s="137"/>
      <c r="HLI70" s="137"/>
      <c r="HLJ70" s="137"/>
      <c r="HLK70" s="137"/>
      <c r="HLL70" s="137"/>
      <c r="HLM70" s="137"/>
      <c r="HLN70" s="137"/>
      <c r="HLO70" s="137"/>
      <c r="HLP70" s="137"/>
      <c r="HLQ70" s="137"/>
      <c r="HLR70" s="137"/>
      <c r="HLS70" s="137"/>
      <c r="HLT70" s="137"/>
      <c r="HLU70" s="137"/>
      <c r="HLV70" s="137"/>
      <c r="HLW70" s="137"/>
      <c r="HLX70" s="137"/>
      <c r="HLY70" s="137"/>
      <c r="HLZ70" s="137"/>
      <c r="HMA70" s="137"/>
      <c r="HMB70" s="137"/>
      <c r="HMC70" s="137"/>
      <c r="HMD70" s="137"/>
      <c r="HME70" s="137"/>
      <c r="HMF70" s="137"/>
      <c r="HMG70" s="137"/>
      <c r="HMH70" s="137"/>
      <c r="HMI70" s="137"/>
      <c r="HMJ70" s="137"/>
      <c r="HMK70" s="137"/>
      <c r="HML70" s="137"/>
      <c r="HMM70" s="137"/>
      <c r="HMN70" s="137"/>
      <c r="HMO70" s="137"/>
      <c r="HMP70" s="137"/>
      <c r="HMQ70" s="137"/>
      <c r="HMR70" s="137"/>
      <c r="HMS70" s="137"/>
      <c r="HMT70" s="137"/>
      <c r="HMU70" s="137"/>
      <c r="HMV70" s="137"/>
      <c r="HMW70" s="137"/>
      <c r="HMX70" s="137"/>
      <c r="HMY70" s="137"/>
      <c r="HMZ70" s="137"/>
      <c r="HNA70" s="137"/>
      <c r="HNB70" s="137"/>
      <c r="HNC70" s="137"/>
      <c r="HND70" s="137"/>
      <c r="HNE70" s="137"/>
      <c r="HNF70" s="137"/>
      <c r="HNG70" s="137"/>
      <c r="HNH70" s="137"/>
      <c r="HNI70" s="137"/>
      <c r="HNJ70" s="137"/>
      <c r="HNK70" s="137"/>
      <c r="HNL70" s="137"/>
      <c r="HNM70" s="137"/>
      <c r="HNN70" s="137"/>
      <c r="HNO70" s="137"/>
      <c r="HNP70" s="137"/>
      <c r="HNQ70" s="137"/>
      <c r="HNR70" s="137"/>
      <c r="HNS70" s="137"/>
      <c r="HNT70" s="137"/>
      <c r="HNU70" s="137"/>
      <c r="HNV70" s="137"/>
      <c r="HNW70" s="137"/>
      <c r="HNX70" s="137"/>
      <c r="HNY70" s="137"/>
      <c r="HNZ70" s="137"/>
      <c r="HOA70" s="137"/>
      <c r="HOB70" s="137"/>
      <c r="HOC70" s="137"/>
      <c r="HOD70" s="137"/>
      <c r="HOE70" s="137"/>
      <c r="HOF70" s="137"/>
      <c r="HOG70" s="137"/>
      <c r="HOH70" s="137"/>
      <c r="HOI70" s="137"/>
      <c r="HOJ70" s="137"/>
      <c r="HOK70" s="137"/>
      <c r="HOL70" s="137"/>
      <c r="HOM70" s="137"/>
      <c r="HON70" s="137"/>
      <c r="HOO70" s="137"/>
      <c r="HOP70" s="137"/>
      <c r="HOQ70" s="137"/>
      <c r="HOR70" s="137"/>
      <c r="HOS70" s="137"/>
      <c r="HOT70" s="137"/>
      <c r="HOU70" s="137"/>
      <c r="HOV70" s="137"/>
      <c r="HOW70" s="137"/>
      <c r="HOX70" s="137"/>
      <c r="HOY70" s="137"/>
      <c r="HOZ70" s="137"/>
      <c r="HPA70" s="137"/>
      <c r="HPB70" s="137"/>
      <c r="HPC70" s="137"/>
      <c r="HPD70" s="137"/>
      <c r="HPE70" s="137"/>
      <c r="HPF70" s="137"/>
      <c r="HPG70" s="137"/>
      <c r="HPH70" s="137"/>
      <c r="HPI70" s="137"/>
      <c r="HPJ70" s="137"/>
      <c r="HPK70" s="137"/>
      <c r="HPL70" s="137"/>
      <c r="HPM70" s="137"/>
      <c r="HPN70" s="137"/>
      <c r="HPO70" s="137"/>
      <c r="HPP70" s="137"/>
      <c r="HPQ70" s="137"/>
      <c r="HPR70" s="137"/>
      <c r="HPS70" s="137"/>
      <c r="HPT70" s="137"/>
      <c r="HPU70" s="137"/>
      <c r="HPV70" s="137"/>
      <c r="HPW70" s="137"/>
      <c r="HPX70" s="137"/>
      <c r="HPY70" s="137"/>
      <c r="HPZ70" s="137"/>
      <c r="HQA70" s="137"/>
      <c r="HQB70" s="137"/>
      <c r="HQC70" s="137"/>
      <c r="HQD70" s="137"/>
      <c r="HQE70" s="137"/>
      <c r="HQF70" s="137"/>
      <c r="HQG70" s="137"/>
      <c r="HQH70" s="137"/>
      <c r="HQI70" s="137"/>
      <c r="HQJ70" s="137"/>
      <c r="HQK70" s="137"/>
      <c r="HQL70" s="137"/>
      <c r="HQM70" s="137"/>
      <c r="HQN70" s="137"/>
      <c r="HQO70" s="137"/>
      <c r="HQP70" s="137"/>
      <c r="HQQ70" s="137"/>
      <c r="HQR70" s="137"/>
      <c r="HQS70" s="137"/>
      <c r="HQT70" s="137"/>
      <c r="HQU70" s="137"/>
      <c r="HQV70" s="137"/>
      <c r="HQW70" s="137"/>
      <c r="HQX70" s="137"/>
      <c r="HQY70" s="137"/>
      <c r="HQZ70" s="137"/>
      <c r="HRA70" s="137"/>
      <c r="HRB70" s="137"/>
      <c r="HRC70" s="137"/>
      <c r="HRD70" s="137"/>
      <c r="HRE70" s="137"/>
      <c r="HRF70" s="137"/>
      <c r="HRG70" s="137"/>
      <c r="HRH70" s="137"/>
      <c r="HRI70" s="137"/>
      <c r="HRJ70" s="137"/>
      <c r="HRK70" s="137"/>
      <c r="HRL70" s="137"/>
      <c r="HRM70" s="137"/>
      <c r="HRN70" s="137"/>
      <c r="HRO70" s="137"/>
      <c r="HRP70" s="137"/>
      <c r="HRQ70" s="137"/>
      <c r="HRR70" s="137"/>
      <c r="HRS70" s="137"/>
      <c r="HRT70" s="137"/>
      <c r="HRU70" s="137"/>
      <c r="HRV70" s="137"/>
      <c r="HRW70" s="137"/>
      <c r="HRX70" s="137"/>
      <c r="HRY70" s="137"/>
      <c r="HRZ70" s="137"/>
      <c r="HSA70" s="137"/>
      <c r="HSB70" s="137"/>
      <c r="HSC70" s="137"/>
      <c r="HSD70" s="137"/>
      <c r="HSE70" s="137"/>
      <c r="HSF70" s="137"/>
      <c r="HSG70" s="137"/>
      <c r="HSH70" s="137"/>
      <c r="HSI70" s="137"/>
      <c r="HSJ70" s="137"/>
      <c r="HSK70" s="137"/>
      <c r="HSL70" s="137"/>
      <c r="HSM70" s="137"/>
      <c r="HSN70" s="137"/>
      <c r="HSO70" s="137"/>
      <c r="HSP70" s="137"/>
      <c r="HSQ70" s="137"/>
      <c r="HSR70" s="137"/>
      <c r="HSS70" s="137"/>
      <c r="HST70" s="137"/>
      <c r="HSU70" s="137"/>
      <c r="HSV70" s="137"/>
      <c r="HSW70" s="137"/>
      <c r="HSX70" s="137"/>
      <c r="HSY70" s="137"/>
      <c r="HSZ70" s="137"/>
      <c r="HTA70" s="137"/>
      <c r="HTB70" s="137"/>
      <c r="HTC70" s="137"/>
      <c r="HTD70" s="137"/>
      <c r="HTE70" s="137"/>
      <c r="HTF70" s="137"/>
      <c r="HTG70" s="137"/>
      <c r="HTH70" s="137"/>
      <c r="HTI70" s="137"/>
      <c r="HTJ70" s="137"/>
      <c r="HTK70" s="137"/>
      <c r="HTL70" s="137"/>
      <c r="HTM70" s="137"/>
      <c r="HTN70" s="137"/>
      <c r="HTO70" s="137"/>
      <c r="HTP70" s="137"/>
      <c r="HTQ70" s="137"/>
      <c r="HTR70" s="137"/>
      <c r="HTS70" s="137"/>
      <c r="HTT70" s="137"/>
      <c r="HTU70" s="137"/>
      <c r="HTV70" s="137"/>
      <c r="HTW70" s="137"/>
      <c r="HTX70" s="137"/>
      <c r="HTY70" s="137"/>
      <c r="HTZ70" s="137"/>
      <c r="HUA70" s="137"/>
      <c r="HUB70" s="137"/>
      <c r="HUC70" s="137"/>
      <c r="HUD70" s="137"/>
      <c r="HUE70" s="137"/>
      <c r="HUF70" s="137"/>
      <c r="HUG70" s="137"/>
      <c r="HUH70" s="137"/>
      <c r="HUI70" s="137"/>
      <c r="HUJ70" s="137"/>
      <c r="HUK70" s="137"/>
      <c r="HUL70" s="137"/>
      <c r="HUM70" s="137"/>
      <c r="HUN70" s="137"/>
      <c r="HUO70" s="137"/>
      <c r="HUP70" s="137"/>
      <c r="HUQ70" s="137"/>
      <c r="HUR70" s="137"/>
      <c r="HUS70" s="137"/>
      <c r="HUT70" s="137"/>
      <c r="HUU70" s="137"/>
      <c r="HUV70" s="137"/>
      <c r="HUW70" s="137"/>
      <c r="HUX70" s="137"/>
      <c r="HUY70" s="137"/>
      <c r="HUZ70" s="137"/>
      <c r="HVA70" s="137"/>
      <c r="HVB70" s="137"/>
      <c r="HVC70" s="137"/>
      <c r="HVD70" s="137"/>
      <c r="HVE70" s="137"/>
      <c r="HVF70" s="137"/>
      <c r="HVG70" s="137"/>
      <c r="HVH70" s="137"/>
      <c r="HVI70" s="137"/>
      <c r="HVJ70" s="137"/>
      <c r="HVK70" s="137"/>
      <c r="HVL70" s="137"/>
      <c r="HVM70" s="137"/>
      <c r="HVN70" s="137"/>
      <c r="HVO70" s="137"/>
      <c r="HVP70" s="137"/>
      <c r="HVQ70" s="137"/>
      <c r="HVR70" s="137"/>
      <c r="HVS70" s="137"/>
      <c r="HVT70" s="137"/>
      <c r="HVU70" s="137"/>
      <c r="HVV70" s="137"/>
      <c r="HVW70" s="137"/>
      <c r="HVX70" s="137"/>
      <c r="HVY70" s="137"/>
      <c r="HVZ70" s="137"/>
      <c r="HWA70" s="137"/>
      <c r="HWB70" s="137"/>
      <c r="HWC70" s="137"/>
      <c r="HWD70" s="137"/>
      <c r="HWE70" s="137"/>
      <c r="HWF70" s="137"/>
      <c r="HWG70" s="137"/>
      <c r="HWH70" s="137"/>
      <c r="HWI70" s="137"/>
      <c r="HWJ70" s="137"/>
      <c r="HWK70" s="137"/>
      <c r="HWL70" s="137"/>
      <c r="HWM70" s="137"/>
      <c r="HWN70" s="137"/>
      <c r="HWO70" s="137"/>
      <c r="HWP70" s="137"/>
      <c r="HWQ70" s="137"/>
      <c r="HWR70" s="137"/>
      <c r="HWS70" s="137"/>
      <c r="HWT70" s="137"/>
      <c r="HWU70" s="137"/>
      <c r="HWV70" s="137"/>
      <c r="HWW70" s="137"/>
      <c r="HWX70" s="137"/>
      <c r="HWY70" s="137"/>
      <c r="HWZ70" s="137"/>
      <c r="HXA70" s="137"/>
      <c r="HXB70" s="137"/>
      <c r="HXC70" s="137"/>
      <c r="HXD70" s="137"/>
      <c r="HXE70" s="137"/>
      <c r="HXF70" s="137"/>
      <c r="HXG70" s="137"/>
      <c r="HXH70" s="137"/>
      <c r="HXI70" s="137"/>
      <c r="HXJ70" s="137"/>
      <c r="HXK70" s="137"/>
      <c r="HXL70" s="137"/>
      <c r="HXM70" s="137"/>
      <c r="HXN70" s="137"/>
      <c r="HXO70" s="137"/>
      <c r="HXP70" s="137"/>
      <c r="HXQ70" s="137"/>
      <c r="HXR70" s="137"/>
      <c r="HXS70" s="137"/>
      <c r="HXT70" s="137"/>
      <c r="HXU70" s="137"/>
      <c r="HXV70" s="137"/>
      <c r="HXW70" s="137"/>
      <c r="HXX70" s="137"/>
      <c r="HXY70" s="137"/>
      <c r="HXZ70" s="137"/>
      <c r="HYA70" s="137"/>
      <c r="HYB70" s="137"/>
      <c r="HYC70" s="137"/>
      <c r="HYD70" s="137"/>
      <c r="HYE70" s="137"/>
      <c r="HYF70" s="137"/>
      <c r="HYG70" s="137"/>
      <c r="HYH70" s="137"/>
      <c r="HYI70" s="137"/>
      <c r="HYJ70" s="137"/>
      <c r="HYK70" s="137"/>
      <c r="HYL70" s="137"/>
      <c r="HYM70" s="137"/>
      <c r="HYN70" s="137"/>
      <c r="HYO70" s="137"/>
      <c r="HYP70" s="137"/>
      <c r="HYQ70" s="137"/>
      <c r="HYR70" s="137"/>
      <c r="HYS70" s="137"/>
      <c r="HYT70" s="137"/>
      <c r="HYU70" s="137"/>
      <c r="HYV70" s="137"/>
      <c r="HYW70" s="137"/>
      <c r="HYX70" s="137"/>
      <c r="HYY70" s="137"/>
      <c r="HYZ70" s="137"/>
      <c r="HZA70" s="137"/>
      <c r="HZB70" s="137"/>
      <c r="HZC70" s="137"/>
      <c r="HZD70" s="137"/>
      <c r="HZE70" s="137"/>
      <c r="HZF70" s="137"/>
      <c r="HZG70" s="137"/>
      <c r="HZH70" s="137"/>
      <c r="HZI70" s="137"/>
      <c r="HZJ70" s="137"/>
      <c r="HZK70" s="137"/>
      <c r="HZL70" s="137"/>
      <c r="HZM70" s="137"/>
      <c r="HZN70" s="137"/>
      <c r="HZO70" s="137"/>
      <c r="HZP70" s="137"/>
      <c r="HZQ70" s="137"/>
      <c r="HZR70" s="137"/>
      <c r="HZS70" s="137"/>
      <c r="HZT70" s="137"/>
      <c r="HZU70" s="137"/>
      <c r="HZV70" s="137"/>
      <c r="HZW70" s="137"/>
      <c r="HZX70" s="137"/>
      <c r="HZY70" s="137"/>
      <c r="HZZ70" s="137"/>
      <c r="IAA70" s="137"/>
      <c r="IAB70" s="137"/>
      <c r="IAC70" s="137"/>
      <c r="IAD70" s="137"/>
      <c r="IAE70" s="137"/>
      <c r="IAF70" s="137"/>
      <c r="IAG70" s="137"/>
      <c r="IAH70" s="137"/>
      <c r="IAI70" s="137"/>
      <c r="IAJ70" s="137"/>
      <c r="IAK70" s="137"/>
      <c r="IAL70" s="137"/>
      <c r="IAM70" s="137"/>
      <c r="IAN70" s="137"/>
      <c r="IAO70" s="137"/>
      <c r="IAP70" s="137"/>
      <c r="IAQ70" s="137"/>
      <c r="IAR70" s="137"/>
      <c r="IAS70" s="137"/>
      <c r="IAT70" s="137"/>
      <c r="IAU70" s="137"/>
      <c r="IAV70" s="137"/>
      <c r="IAW70" s="137"/>
      <c r="IAX70" s="137"/>
      <c r="IAY70" s="137"/>
      <c r="IAZ70" s="137"/>
      <c r="IBA70" s="137"/>
      <c r="IBB70" s="137"/>
      <c r="IBC70" s="137"/>
      <c r="IBD70" s="137"/>
      <c r="IBE70" s="137"/>
      <c r="IBF70" s="137"/>
      <c r="IBG70" s="137"/>
      <c r="IBH70" s="137"/>
      <c r="IBI70" s="137"/>
      <c r="IBJ70" s="137"/>
      <c r="IBK70" s="137"/>
      <c r="IBL70" s="137"/>
      <c r="IBM70" s="137"/>
      <c r="IBN70" s="137"/>
      <c r="IBO70" s="137"/>
      <c r="IBP70" s="137"/>
      <c r="IBQ70" s="137"/>
      <c r="IBR70" s="137"/>
      <c r="IBS70" s="137"/>
      <c r="IBT70" s="137"/>
      <c r="IBU70" s="137"/>
      <c r="IBV70" s="137"/>
      <c r="IBW70" s="137"/>
      <c r="IBX70" s="137"/>
      <c r="IBY70" s="137"/>
      <c r="IBZ70" s="137"/>
      <c r="ICA70" s="137"/>
      <c r="ICB70" s="137"/>
      <c r="ICC70" s="137"/>
      <c r="ICD70" s="137"/>
      <c r="ICE70" s="137"/>
      <c r="ICF70" s="137"/>
      <c r="ICG70" s="137"/>
      <c r="ICH70" s="137"/>
      <c r="ICI70" s="137"/>
      <c r="ICJ70" s="137"/>
      <c r="ICK70" s="137"/>
      <c r="ICL70" s="137"/>
      <c r="ICM70" s="137"/>
      <c r="ICN70" s="137"/>
      <c r="ICO70" s="137"/>
      <c r="ICP70" s="137"/>
      <c r="ICQ70" s="137"/>
      <c r="ICR70" s="137"/>
      <c r="ICS70" s="137"/>
      <c r="ICT70" s="137"/>
      <c r="ICU70" s="137"/>
      <c r="ICV70" s="137"/>
      <c r="ICW70" s="137"/>
      <c r="ICX70" s="137"/>
      <c r="ICY70" s="137"/>
      <c r="ICZ70" s="137"/>
      <c r="IDA70" s="137"/>
      <c r="IDB70" s="137"/>
      <c r="IDC70" s="137"/>
      <c r="IDD70" s="137"/>
      <c r="IDE70" s="137"/>
      <c r="IDF70" s="137"/>
      <c r="IDG70" s="137"/>
      <c r="IDH70" s="137"/>
      <c r="IDI70" s="137"/>
      <c r="IDJ70" s="137"/>
      <c r="IDK70" s="137"/>
      <c r="IDL70" s="137"/>
      <c r="IDM70" s="137"/>
      <c r="IDN70" s="137"/>
      <c r="IDO70" s="137"/>
      <c r="IDP70" s="137"/>
      <c r="IDQ70" s="137"/>
      <c r="IDR70" s="137"/>
      <c r="IDS70" s="137"/>
      <c r="IDT70" s="137"/>
      <c r="IDU70" s="137"/>
      <c r="IDV70" s="137"/>
      <c r="IDW70" s="137"/>
      <c r="IDX70" s="137"/>
      <c r="IDY70" s="137"/>
      <c r="IDZ70" s="137"/>
      <c r="IEA70" s="137"/>
      <c r="IEB70" s="137"/>
      <c r="IEC70" s="137"/>
      <c r="IED70" s="137"/>
      <c r="IEE70" s="137"/>
      <c r="IEF70" s="137"/>
      <c r="IEG70" s="137"/>
      <c r="IEH70" s="137"/>
      <c r="IEI70" s="137"/>
      <c r="IEJ70" s="137"/>
      <c r="IEK70" s="137"/>
      <c r="IEL70" s="137"/>
      <c r="IEM70" s="137"/>
      <c r="IEN70" s="137"/>
      <c r="IEO70" s="137"/>
      <c r="IEP70" s="137"/>
      <c r="IEQ70" s="137"/>
      <c r="IER70" s="137"/>
      <c r="IES70" s="137"/>
      <c r="IET70" s="137"/>
      <c r="IEU70" s="137"/>
      <c r="IEV70" s="137"/>
      <c r="IEW70" s="137"/>
      <c r="IEX70" s="137"/>
      <c r="IEY70" s="137"/>
      <c r="IEZ70" s="137"/>
      <c r="IFA70" s="137"/>
      <c r="IFB70" s="137"/>
      <c r="IFC70" s="137"/>
      <c r="IFD70" s="137"/>
      <c r="IFE70" s="137"/>
      <c r="IFF70" s="137"/>
      <c r="IFG70" s="137"/>
      <c r="IFH70" s="137"/>
      <c r="IFI70" s="137"/>
      <c r="IFJ70" s="137"/>
      <c r="IFK70" s="137"/>
      <c r="IFL70" s="137"/>
      <c r="IFM70" s="137"/>
      <c r="IFN70" s="137"/>
      <c r="IFO70" s="137"/>
      <c r="IFP70" s="137"/>
      <c r="IFQ70" s="137"/>
      <c r="IFR70" s="137"/>
      <c r="IFS70" s="137"/>
      <c r="IFT70" s="137"/>
      <c r="IFU70" s="137"/>
      <c r="IFV70" s="137"/>
      <c r="IFW70" s="137"/>
      <c r="IFX70" s="137"/>
      <c r="IFY70" s="137"/>
      <c r="IFZ70" s="137"/>
      <c r="IGA70" s="137"/>
      <c r="IGB70" s="137"/>
      <c r="IGC70" s="137"/>
      <c r="IGD70" s="137"/>
      <c r="IGE70" s="137"/>
      <c r="IGF70" s="137"/>
      <c r="IGG70" s="137"/>
      <c r="IGH70" s="137"/>
      <c r="IGI70" s="137"/>
      <c r="IGJ70" s="137"/>
      <c r="IGK70" s="137"/>
      <c r="IGL70" s="137"/>
      <c r="IGM70" s="137"/>
      <c r="IGN70" s="137"/>
      <c r="IGO70" s="137"/>
      <c r="IGP70" s="137"/>
      <c r="IGQ70" s="137"/>
      <c r="IGR70" s="137"/>
      <c r="IGS70" s="137"/>
      <c r="IGT70" s="137"/>
      <c r="IGU70" s="137"/>
      <c r="IGV70" s="137"/>
      <c r="IGW70" s="137"/>
      <c r="IGX70" s="137"/>
      <c r="IGY70" s="137"/>
      <c r="IGZ70" s="137"/>
      <c r="IHA70" s="137"/>
      <c r="IHB70" s="137"/>
      <c r="IHC70" s="137"/>
      <c r="IHD70" s="137"/>
      <c r="IHE70" s="137"/>
      <c r="IHF70" s="137"/>
      <c r="IHG70" s="137"/>
      <c r="IHH70" s="137"/>
      <c r="IHI70" s="137"/>
      <c r="IHJ70" s="137"/>
      <c r="IHK70" s="137"/>
      <c r="IHL70" s="137"/>
      <c r="IHM70" s="137"/>
      <c r="IHN70" s="137"/>
      <c r="IHO70" s="137"/>
      <c r="IHP70" s="137"/>
      <c r="IHQ70" s="137"/>
      <c r="IHR70" s="137"/>
      <c r="IHS70" s="137"/>
      <c r="IHT70" s="137"/>
      <c r="IHU70" s="137"/>
      <c r="IHV70" s="137"/>
      <c r="IHW70" s="137"/>
      <c r="IHX70" s="137"/>
      <c r="IHY70" s="137"/>
      <c r="IHZ70" s="137"/>
      <c r="IIA70" s="137"/>
      <c r="IIB70" s="137"/>
      <c r="IIC70" s="137"/>
      <c r="IID70" s="137"/>
      <c r="IIE70" s="137"/>
      <c r="IIF70" s="137"/>
      <c r="IIG70" s="137"/>
      <c r="IIH70" s="137"/>
      <c r="III70" s="137"/>
      <c r="IIJ70" s="137"/>
      <c r="IIK70" s="137"/>
      <c r="IIL70" s="137"/>
      <c r="IIM70" s="137"/>
      <c r="IIN70" s="137"/>
      <c r="IIO70" s="137"/>
      <c r="IIP70" s="137"/>
      <c r="IIQ70" s="137"/>
      <c r="IIR70" s="137"/>
      <c r="IIS70" s="137"/>
      <c r="IIT70" s="137"/>
      <c r="IIU70" s="137"/>
      <c r="IIV70" s="137"/>
      <c r="IIW70" s="137"/>
      <c r="IIX70" s="137"/>
      <c r="IIY70" s="137"/>
      <c r="IIZ70" s="137"/>
      <c r="IJA70" s="137"/>
      <c r="IJB70" s="137"/>
      <c r="IJC70" s="137"/>
      <c r="IJD70" s="137"/>
      <c r="IJE70" s="137"/>
      <c r="IJF70" s="137"/>
      <c r="IJG70" s="137"/>
      <c r="IJH70" s="137"/>
      <c r="IJI70" s="137"/>
      <c r="IJJ70" s="137"/>
      <c r="IJK70" s="137"/>
      <c r="IJL70" s="137"/>
      <c r="IJM70" s="137"/>
      <c r="IJN70" s="137"/>
      <c r="IJO70" s="137"/>
      <c r="IJP70" s="137"/>
      <c r="IJQ70" s="137"/>
      <c r="IJR70" s="137"/>
      <c r="IJS70" s="137"/>
      <c r="IJT70" s="137"/>
      <c r="IJU70" s="137"/>
      <c r="IJV70" s="137"/>
      <c r="IJW70" s="137"/>
      <c r="IJX70" s="137"/>
      <c r="IJY70" s="137"/>
      <c r="IJZ70" s="137"/>
      <c r="IKA70" s="137"/>
      <c r="IKB70" s="137"/>
      <c r="IKC70" s="137"/>
      <c r="IKD70" s="137"/>
      <c r="IKE70" s="137"/>
      <c r="IKF70" s="137"/>
      <c r="IKG70" s="137"/>
      <c r="IKH70" s="137"/>
      <c r="IKI70" s="137"/>
      <c r="IKJ70" s="137"/>
      <c r="IKK70" s="137"/>
      <c r="IKL70" s="137"/>
      <c r="IKM70" s="137"/>
      <c r="IKN70" s="137"/>
      <c r="IKO70" s="137"/>
      <c r="IKP70" s="137"/>
      <c r="IKQ70" s="137"/>
      <c r="IKR70" s="137"/>
      <c r="IKS70" s="137"/>
      <c r="IKT70" s="137"/>
      <c r="IKU70" s="137"/>
      <c r="IKV70" s="137"/>
      <c r="IKW70" s="137"/>
      <c r="IKX70" s="137"/>
      <c r="IKY70" s="137"/>
      <c r="IKZ70" s="137"/>
      <c r="ILA70" s="137"/>
      <c r="ILB70" s="137"/>
      <c r="ILC70" s="137"/>
      <c r="ILD70" s="137"/>
      <c r="ILE70" s="137"/>
      <c r="ILF70" s="137"/>
      <c r="ILG70" s="137"/>
      <c r="ILH70" s="137"/>
      <c r="ILI70" s="137"/>
      <c r="ILJ70" s="137"/>
      <c r="ILK70" s="137"/>
      <c r="ILL70" s="137"/>
      <c r="ILM70" s="137"/>
      <c r="ILN70" s="137"/>
      <c r="ILO70" s="137"/>
      <c r="ILP70" s="137"/>
      <c r="ILQ70" s="137"/>
      <c r="ILR70" s="137"/>
      <c r="ILS70" s="137"/>
      <c r="ILT70" s="137"/>
      <c r="ILU70" s="137"/>
      <c r="ILV70" s="137"/>
      <c r="ILW70" s="137"/>
      <c r="ILX70" s="137"/>
      <c r="ILY70" s="137"/>
      <c r="ILZ70" s="137"/>
      <c r="IMA70" s="137"/>
      <c r="IMB70" s="137"/>
      <c r="IMC70" s="137"/>
      <c r="IMD70" s="137"/>
      <c r="IME70" s="137"/>
      <c r="IMF70" s="137"/>
      <c r="IMG70" s="137"/>
      <c r="IMH70" s="137"/>
      <c r="IMI70" s="137"/>
      <c r="IMJ70" s="137"/>
      <c r="IMK70" s="137"/>
      <c r="IML70" s="137"/>
      <c r="IMM70" s="137"/>
      <c r="IMN70" s="137"/>
      <c r="IMO70" s="137"/>
      <c r="IMP70" s="137"/>
      <c r="IMQ70" s="137"/>
      <c r="IMR70" s="137"/>
      <c r="IMS70" s="137"/>
      <c r="IMT70" s="137"/>
      <c r="IMU70" s="137"/>
      <c r="IMV70" s="137"/>
      <c r="IMW70" s="137"/>
      <c r="IMX70" s="137"/>
      <c r="IMY70" s="137"/>
      <c r="IMZ70" s="137"/>
      <c r="INA70" s="137"/>
      <c r="INB70" s="137"/>
      <c r="INC70" s="137"/>
      <c r="IND70" s="137"/>
      <c r="INE70" s="137"/>
      <c r="INF70" s="137"/>
      <c r="ING70" s="137"/>
      <c r="INH70" s="137"/>
      <c r="INI70" s="137"/>
      <c r="INJ70" s="137"/>
      <c r="INK70" s="137"/>
      <c r="INL70" s="137"/>
      <c r="INM70" s="137"/>
      <c r="INN70" s="137"/>
      <c r="INO70" s="137"/>
      <c r="INP70" s="137"/>
      <c r="INQ70" s="137"/>
      <c r="INR70" s="137"/>
      <c r="INS70" s="137"/>
      <c r="INT70" s="137"/>
      <c r="INU70" s="137"/>
      <c r="INV70" s="137"/>
      <c r="INW70" s="137"/>
      <c r="INX70" s="137"/>
      <c r="INY70" s="137"/>
      <c r="INZ70" s="137"/>
      <c r="IOA70" s="137"/>
      <c r="IOB70" s="137"/>
      <c r="IOC70" s="137"/>
      <c r="IOD70" s="137"/>
      <c r="IOE70" s="137"/>
      <c r="IOF70" s="137"/>
      <c r="IOG70" s="137"/>
      <c r="IOH70" s="137"/>
      <c r="IOI70" s="137"/>
      <c r="IOJ70" s="137"/>
      <c r="IOK70" s="137"/>
      <c r="IOL70" s="137"/>
      <c r="IOM70" s="137"/>
      <c r="ION70" s="137"/>
      <c r="IOO70" s="137"/>
      <c r="IOP70" s="137"/>
      <c r="IOQ70" s="137"/>
      <c r="IOR70" s="137"/>
      <c r="IOS70" s="137"/>
      <c r="IOT70" s="137"/>
      <c r="IOU70" s="137"/>
      <c r="IOV70" s="137"/>
      <c r="IOW70" s="137"/>
      <c r="IOX70" s="137"/>
      <c r="IOY70" s="137"/>
      <c r="IOZ70" s="137"/>
      <c r="IPA70" s="137"/>
      <c r="IPB70" s="137"/>
      <c r="IPC70" s="137"/>
      <c r="IPD70" s="137"/>
      <c r="IPE70" s="137"/>
      <c r="IPF70" s="137"/>
      <c r="IPG70" s="137"/>
      <c r="IPH70" s="137"/>
      <c r="IPI70" s="137"/>
      <c r="IPJ70" s="137"/>
      <c r="IPK70" s="137"/>
      <c r="IPL70" s="137"/>
      <c r="IPM70" s="137"/>
      <c r="IPN70" s="137"/>
      <c r="IPO70" s="137"/>
      <c r="IPP70" s="137"/>
      <c r="IPQ70" s="137"/>
      <c r="IPR70" s="137"/>
      <c r="IPS70" s="137"/>
      <c r="IPT70" s="137"/>
      <c r="IPU70" s="137"/>
      <c r="IPV70" s="137"/>
      <c r="IPW70" s="137"/>
      <c r="IPX70" s="137"/>
      <c r="IPY70" s="137"/>
      <c r="IPZ70" s="137"/>
      <c r="IQA70" s="137"/>
      <c r="IQB70" s="137"/>
      <c r="IQC70" s="137"/>
      <c r="IQD70" s="137"/>
      <c r="IQE70" s="137"/>
      <c r="IQF70" s="137"/>
      <c r="IQG70" s="137"/>
      <c r="IQH70" s="137"/>
      <c r="IQI70" s="137"/>
      <c r="IQJ70" s="137"/>
      <c r="IQK70" s="137"/>
      <c r="IQL70" s="137"/>
      <c r="IQM70" s="137"/>
      <c r="IQN70" s="137"/>
      <c r="IQO70" s="137"/>
      <c r="IQP70" s="137"/>
      <c r="IQQ70" s="137"/>
      <c r="IQR70" s="137"/>
      <c r="IQS70" s="137"/>
      <c r="IQT70" s="137"/>
      <c r="IQU70" s="137"/>
      <c r="IQV70" s="137"/>
      <c r="IQW70" s="137"/>
      <c r="IQX70" s="137"/>
      <c r="IQY70" s="137"/>
      <c r="IQZ70" s="137"/>
      <c r="IRA70" s="137"/>
      <c r="IRB70" s="137"/>
      <c r="IRC70" s="137"/>
      <c r="IRD70" s="137"/>
      <c r="IRE70" s="137"/>
      <c r="IRF70" s="137"/>
      <c r="IRG70" s="137"/>
      <c r="IRH70" s="137"/>
      <c r="IRI70" s="137"/>
      <c r="IRJ70" s="137"/>
      <c r="IRK70" s="137"/>
      <c r="IRL70" s="137"/>
      <c r="IRM70" s="137"/>
      <c r="IRN70" s="137"/>
      <c r="IRO70" s="137"/>
      <c r="IRP70" s="137"/>
      <c r="IRQ70" s="137"/>
      <c r="IRR70" s="137"/>
      <c r="IRS70" s="137"/>
      <c r="IRT70" s="137"/>
      <c r="IRU70" s="137"/>
      <c r="IRV70" s="137"/>
      <c r="IRW70" s="137"/>
      <c r="IRX70" s="137"/>
      <c r="IRY70" s="137"/>
      <c r="IRZ70" s="137"/>
      <c r="ISA70" s="137"/>
      <c r="ISB70" s="137"/>
      <c r="ISC70" s="137"/>
      <c r="ISD70" s="137"/>
      <c r="ISE70" s="137"/>
      <c r="ISF70" s="137"/>
      <c r="ISG70" s="137"/>
      <c r="ISH70" s="137"/>
      <c r="ISI70" s="137"/>
      <c r="ISJ70" s="137"/>
      <c r="ISK70" s="137"/>
      <c r="ISL70" s="137"/>
      <c r="ISM70" s="137"/>
      <c r="ISN70" s="137"/>
      <c r="ISO70" s="137"/>
      <c r="ISP70" s="137"/>
      <c r="ISQ70" s="137"/>
      <c r="ISR70" s="137"/>
      <c r="ISS70" s="137"/>
      <c r="IST70" s="137"/>
      <c r="ISU70" s="137"/>
      <c r="ISV70" s="137"/>
      <c r="ISW70" s="137"/>
      <c r="ISX70" s="137"/>
      <c r="ISY70" s="137"/>
      <c r="ISZ70" s="137"/>
      <c r="ITA70" s="137"/>
      <c r="ITB70" s="137"/>
      <c r="ITC70" s="137"/>
      <c r="ITD70" s="137"/>
      <c r="ITE70" s="137"/>
      <c r="ITF70" s="137"/>
      <c r="ITG70" s="137"/>
      <c r="ITH70" s="137"/>
      <c r="ITI70" s="137"/>
      <c r="ITJ70" s="137"/>
      <c r="ITK70" s="137"/>
      <c r="ITL70" s="137"/>
      <c r="ITM70" s="137"/>
      <c r="ITN70" s="137"/>
      <c r="ITO70" s="137"/>
      <c r="ITP70" s="137"/>
      <c r="ITQ70" s="137"/>
      <c r="ITR70" s="137"/>
      <c r="ITS70" s="137"/>
      <c r="ITT70" s="137"/>
      <c r="ITU70" s="137"/>
      <c r="ITV70" s="137"/>
      <c r="ITW70" s="137"/>
      <c r="ITX70" s="137"/>
      <c r="ITY70" s="137"/>
      <c r="ITZ70" s="137"/>
      <c r="IUA70" s="137"/>
      <c r="IUB70" s="137"/>
      <c r="IUC70" s="137"/>
      <c r="IUD70" s="137"/>
      <c r="IUE70" s="137"/>
      <c r="IUF70" s="137"/>
      <c r="IUG70" s="137"/>
      <c r="IUH70" s="137"/>
      <c r="IUI70" s="137"/>
      <c r="IUJ70" s="137"/>
      <c r="IUK70" s="137"/>
      <c r="IUL70" s="137"/>
      <c r="IUM70" s="137"/>
      <c r="IUN70" s="137"/>
      <c r="IUO70" s="137"/>
      <c r="IUP70" s="137"/>
      <c r="IUQ70" s="137"/>
      <c r="IUR70" s="137"/>
      <c r="IUS70" s="137"/>
      <c r="IUT70" s="137"/>
      <c r="IUU70" s="137"/>
      <c r="IUV70" s="137"/>
      <c r="IUW70" s="137"/>
      <c r="IUX70" s="137"/>
      <c r="IUY70" s="137"/>
      <c r="IUZ70" s="137"/>
      <c r="IVA70" s="137"/>
      <c r="IVB70" s="137"/>
      <c r="IVC70" s="137"/>
      <c r="IVD70" s="137"/>
      <c r="IVE70" s="137"/>
      <c r="IVF70" s="137"/>
      <c r="IVG70" s="137"/>
      <c r="IVH70" s="137"/>
      <c r="IVI70" s="137"/>
      <c r="IVJ70" s="137"/>
      <c r="IVK70" s="137"/>
      <c r="IVL70" s="137"/>
      <c r="IVM70" s="137"/>
      <c r="IVN70" s="137"/>
      <c r="IVO70" s="137"/>
      <c r="IVP70" s="137"/>
      <c r="IVQ70" s="137"/>
      <c r="IVR70" s="137"/>
      <c r="IVS70" s="137"/>
      <c r="IVT70" s="137"/>
      <c r="IVU70" s="137"/>
      <c r="IVV70" s="137"/>
      <c r="IVW70" s="137"/>
      <c r="IVX70" s="137"/>
      <c r="IVY70" s="137"/>
      <c r="IVZ70" s="137"/>
      <c r="IWA70" s="137"/>
      <c r="IWB70" s="137"/>
      <c r="IWC70" s="137"/>
      <c r="IWD70" s="137"/>
      <c r="IWE70" s="137"/>
      <c r="IWF70" s="137"/>
      <c r="IWG70" s="137"/>
      <c r="IWH70" s="137"/>
      <c r="IWI70" s="137"/>
      <c r="IWJ70" s="137"/>
      <c r="IWK70" s="137"/>
      <c r="IWL70" s="137"/>
      <c r="IWM70" s="137"/>
      <c r="IWN70" s="137"/>
      <c r="IWO70" s="137"/>
      <c r="IWP70" s="137"/>
      <c r="IWQ70" s="137"/>
      <c r="IWR70" s="137"/>
      <c r="IWS70" s="137"/>
      <c r="IWT70" s="137"/>
      <c r="IWU70" s="137"/>
      <c r="IWV70" s="137"/>
      <c r="IWW70" s="137"/>
      <c r="IWX70" s="137"/>
      <c r="IWY70" s="137"/>
      <c r="IWZ70" s="137"/>
      <c r="IXA70" s="137"/>
      <c r="IXB70" s="137"/>
      <c r="IXC70" s="137"/>
      <c r="IXD70" s="137"/>
      <c r="IXE70" s="137"/>
      <c r="IXF70" s="137"/>
      <c r="IXG70" s="137"/>
      <c r="IXH70" s="137"/>
      <c r="IXI70" s="137"/>
      <c r="IXJ70" s="137"/>
      <c r="IXK70" s="137"/>
      <c r="IXL70" s="137"/>
      <c r="IXM70" s="137"/>
      <c r="IXN70" s="137"/>
      <c r="IXO70" s="137"/>
      <c r="IXP70" s="137"/>
      <c r="IXQ70" s="137"/>
      <c r="IXR70" s="137"/>
      <c r="IXS70" s="137"/>
      <c r="IXT70" s="137"/>
      <c r="IXU70" s="137"/>
      <c r="IXV70" s="137"/>
      <c r="IXW70" s="137"/>
      <c r="IXX70" s="137"/>
      <c r="IXY70" s="137"/>
      <c r="IXZ70" s="137"/>
      <c r="IYA70" s="137"/>
      <c r="IYB70" s="137"/>
      <c r="IYC70" s="137"/>
      <c r="IYD70" s="137"/>
      <c r="IYE70" s="137"/>
      <c r="IYF70" s="137"/>
      <c r="IYG70" s="137"/>
      <c r="IYH70" s="137"/>
      <c r="IYI70" s="137"/>
      <c r="IYJ70" s="137"/>
      <c r="IYK70" s="137"/>
      <c r="IYL70" s="137"/>
      <c r="IYM70" s="137"/>
      <c r="IYN70" s="137"/>
      <c r="IYO70" s="137"/>
      <c r="IYP70" s="137"/>
      <c r="IYQ70" s="137"/>
      <c r="IYR70" s="137"/>
      <c r="IYS70" s="137"/>
      <c r="IYT70" s="137"/>
      <c r="IYU70" s="137"/>
      <c r="IYV70" s="137"/>
      <c r="IYW70" s="137"/>
      <c r="IYX70" s="137"/>
      <c r="IYY70" s="137"/>
      <c r="IYZ70" s="137"/>
      <c r="IZA70" s="137"/>
      <c r="IZB70" s="137"/>
      <c r="IZC70" s="137"/>
      <c r="IZD70" s="137"/>
      <c r="IZE70" s="137"/>
      <c r="IZF70" s="137"/>
      <c r="IZG70" s="137"/>
      <c r="IZH70" s="137"/>
      <c r="IZI70" s="137"/>
      <c r="IZJ70" s="137"/>
      <c r="IZK70" s="137"/>
      <c r="IZL70" s="137"/>
      <c r="IZM70" s="137"/>
      <c r="IZN70" s="137"/>
      <c r="IZO70" s="137"/>
      <c r="IZP70" s="137"/>
      <c r="IZQ70" s="137"/>
      <c r="IZR70" s="137"/>
      <c r="IZS70" s="137"/>
      <c r="IZT70" s="137"/>
      <c r="IZU70" s="137"/>
      <c r="IZV70" s="137"/>
      <c r="IZW70" s="137"/>
      <c r="IZX70" s="137"/>
      <c r="IZY70" s="137"/>
      <c r="IZZ70" s="137"/>
      <c r="JAA70" s="137"/>
      <c r="JAB70" s="137"/>
      <c r="JAC70" s="137"/>
      <c r="JAD70" s="137"/>
      <c r="JAE70" s="137"/>
      <c r="JAF70" s="137"/>
      <c r="JAG70" s="137"/>
      <c r="JAH70" s="137"/>
      <c r="JAI70" s="137"/>
      <c r="JAJ70" s="137"/>
      <c r="JAK70" s="137"/>
      <c r="JAL70" s="137"/>
      <c r="JAM70" s="137"/>
      <c r="JAN70" s="137"/>
      <c r="JAO70" s="137"/>
      <c r="JAP70" s="137"/>
      <c r="JAQ70" s="137"/>
      <c r="JAR70" s="137"/>
      <c r="JAS70" s="137"/>
      <c r="JAT70" s="137"/>
      <c r="JAU70" s="137"/>
      <c r="JAV70" s="137"/>
      <c r="JAW70" s="137"/>
      <c r="JAX70" s="137"/>
      <c r="JAY70" s="137"/>
      <c r="JAZ70" s="137"/>
      <c r="JBA70" s="137"/>
      <c r="JBB70" s="137"/>
      <c r="JBC70" s="137"/>
      <c r="JBD70" s="137"/>
      <c r="JBE70" s="137"/>
      <c r="JBF70" s="137"/>
      <c r="JBG70" s="137"/>
      <c r="JBH70" s="137"/>
      <c r="JBI70" s="137"/>
      <c r="JBJ70" s="137"/>
      <c r="JBK70" s="137"/>
      <c r="JBL70" s="137"/>
      <c r="JBM70" s="137"/>
      <c r="JBN70" s="137"/>
      <c r="JBO70" s="137"/>
      <c r="JBP70" s="137"/>
      <c r="JBQ70" s="137"/>
      <c r="JBR70" s="137"/>
      <c r="JBS70" s="137"/>
      <c r="JBT70" s="137"/>
      <c r="JBU70" s="137"/>
      <c r="JBV70" s="137"/>
      <c r="JBW70" s="137"/>
      <c r="JBX70" s="137"/>
      <c r="JBY70" s="137"/>
      <c r="JBZ70" s="137"/>
      <c r="JCA70" s="137"/>
      <c r="JCB70" s="137"/>
      <c r="JCC70" s="137"/>
      <c r="JCD70" s="137"/>
      <c r="JCE70" s="137"/>
      <c r="JCF70" s="137"/>
      <c r="JCG70" s="137"/>
      <c r="JCH70" s="137"/>
      <c r="JCI70" s="137"/>
      <c r="JCJ70" s="137"/>
      <c r="JCK70" s="137"/>
      <c r="JCL70" s="137"/>
      <c r="JCM70" s="137"/>
      <c r="JCN70" s="137"/>
      <c r="JCO70" s="137"/>
      <c r="JCP70" s="137"/>
      <c r="JCQ70" s="137"/>
      <c r="JCR70" s="137"/>
      <c r="JCS70" s="137"/>
      <c r="JCT70" s="137"/>
      <c r="JCU70" s="137"/>
      <c r="JCV70" s="137"/>
      <c r="JCW70" s="137"/>
      <c r="JCX70" s="137"/>
      <c r="JCY70" s="137"/>
      <c r="JCZ70" s="137"/>
      <c r="JDA70" s="137"/>
      <c r="JDB70" s="137"/>
      <c r="JDC70" s="137"/>
      <c r="JDD70" s="137"/>
      <c r="JDE70" s="137"/>
      <c r="JDF70" s="137"/>
      <c r="JDG70" s="137"/>
      <c r="JDH70" s="137"/>
      <c r="JDI70" s="137"/>
      <c r="JDJ70" s="137"/>
      <c r="JDK70" s="137"/>
      <c r="JDL70" s="137"/>
      <c r="JDM70" s="137"/>
      <c r="JDN70" s="137"/>
      <c r="JDO70" s="137"/>
      <c r="JDP70" s="137"/>
      <c r="JDQ70" s="137"/>
      <c r="JDR70" s="137"/>
      <c r="JDS70" s="137"/>
      <c r="JDT70" s="137"/>
      <c r="JDU70" s="137"/>
      <c r="JDV70" s="137"/>
      <c r="JDW70" s="137"/>
      <c r="JDX70" s="137"/>
      <c r="JDY70" s="137"/>
      <c r="JDZ70" s="137"/>
      <c r="JEA70" s="137"/>
      <c r="JEB70" s="137"/>
      <c r="JEC70" s="137"/>
      <c r="JED70" s="137"/>
      <c r="JEE70" s="137"/>
      <c r="JEF70" s="137"/>
      <c r="JEG70" s="137"/>
      <c r="JEH70" s="137"/>
      <c r="JEI70" s="137"/>
      <c r="JEJ70" s="137"/>
      <c r="JEK70" s="137"/>
      <c r="JEL70" s="137"/>
      <c r="JEM70" s="137"/>
      <c r="JEN70" s="137"/>
      <c r="JEO70" s="137"/>
      <c r="JEP70" s="137"/>
      <c r="JEQ70" s="137"/>
      <c r="JER70" s="137"/>
      <c r="JES70" s="137"/>
      <c r="JET70" s="137"/>
      <c r="JEU70" s="137"/>
      <c r="JEV70" s="137"/>
      <c r="JEW70" s="137"/>
      <c r="JEX70" s="137"/>
      <c r="JEY70" s="137"/>
      <c r="JEZ70" s="137"/>
      <c r="JFA70" s="137"/>
      <c r="JFB70" s="137"/>
      <c r="JFC70" s="137"/>
      <c r="JFD70" s="137"/>
      <c r="JFE70" s="137"/>
      <c r="JFF70" s="137"/>
      <c r="JFG70" s="137"/>
      <c r="JFH70" s="137"/>
      <c r="JFI70" s="137"/>
      <c r="JFJ70" s="137"/>
      <c r="JFK70" s="137"/>
      <c r="JFL70" s="137"/>
      <c r="JFM70" s="137"/>
      <c r="JFN70" s="137"/>
      <c r="JFO70" s="137"/>
      <c r="JFP70" s="137"/>
      <c r="JFQ70" s="137"/>
      <c r="JFR70" s="137"/>
      <c r="JFS70" s="137"/>
      <c r="JFT70" s="137"/>
      <c r="JFU70" s="137"/>
      <c r="JFV70" s="137"/>
      <c r="JFW70" s="137"/>
      <c r="JFX70" s="137"/>
      <c r="JFY70" s="137"/>
      <c r="JFZ70" s="137"/>
      <c r="JGA70" s="137"/>
      <c r="JGB70" s="137"/>
      <c r="JGC70" s="137"/>
      <c r="JGD70" s="137"/>
      <c r="JGE70" s="137"/>
      <c r="JGF70" s="137"/>
      <c r="JGG70" s="137"/>
      <c r="JGH70" s="137"/>
      <c r="JGI70" s="137"/>
      <c r="JGJ70" s="137"/>
      <c r="JGK70" s="137"/>
      <c r="JGL70" s="137"/>
      <c r="JGM70" s="137"/>
      <c r="JGN70" s="137"/>
      <c r="JGO70" s="137"/>
      <c r="JGP70" s="137"/>
      <c r="JGQ70" s="137"/>
      <c r="JGR70" s="137"/>
      <c r="JGS70" s="137"/>
      <c r="JGT70" s="137"/>
      <c r="JGU70" s="137"/>
      <c r="JGV70" s="137"/>
      <c r="JGW70" s="137"/>
      <c r="JGX70" s="137"/>
      <c r="JGY70" s="137"/>
      <c r="JGZ70" s="137"/>
      <c r="JHA70" s="137"/>
      <c r="JHB70" s="137"/>
      <c r="JHC70" s="137"/>
      <c r="JHD70" s="137"/>
      <c r="JHE70" s="137"/>
      <c r="JHF70" s="137"/>
      <c r="JHG70" s="137"/>
      <c r="JHH70" s="137"/>
      <c r="JHI70" s="137"/>
      <c r="JHJ70" s="137"/>
      <c r="JHK70" s="137"/>
      <c r="JHL70" s="137"/>
      <c r="JHM70" s="137"/>
      <c r="JHN70" s="137"/>
      <c r="JHO70" s="137"/>
      <c r="JHP70" s="137"/>
      <c r="JHQ70" s="137"/>
      <c r="JHR70" s="137"/>
      <c r="JHS70" s="137"/>
      <c r="JHT70" s="137"/>
      <c r="JHU70" s="137"/>
      <c r="JHV70" s="137"/>
      <c r="JHW70" s="137"/>
      <c r="JHX70" s="137"/>
      <c r="JHY70" s="137"/>
      <c r="JHZ70" s="137"/>
      <c r="JIA70" s="137"/>
      <c r="JIB70" s="137"/>
      <c r="JIC70" s="137"/>
      <c r="JID70" s="137"/>
      <c r="JIE70" s="137"/>
      <c r="JIF70" s="137"/>
      <c r="JIG70" s="137"/>
      <c r="JIH70" s="137"/>
      <c r="JII70" s="137"/>
      <c r="JIJ70" s="137"/>
      <c r="JIK70" s="137"/>
      <c r="JIL70" s="137"/>
      <c r="JIM70" s="137"/>
      <c r="JIN70" s="137"/>
      <c r="JIO70" s="137"/>
      <c r="JIP70" s="137"/>
      <c r="JIQ70" s="137"/>
      <c r="JIR70" s="137"/>
      <c r="JIS70" s="137"/>
      <c r="JIT70" s="137"/>
      <c r="JIU70" s="137"/>
      <c r="JIV70" s="137"/>
      <c r="JIW70" s="137"/>
      <c r="JIX70" s="137"/>
      <c r="JIY70" s="137"/>
      <c r="JIZ70" s="137"/>
      <c r="JJA70" s="137"/>
      <c r="JJB70" s="137"/>
      <c r="JJC70" s="137"/>
      <c r="JJD70" s="137"/>
      <c r="JJE70" s="137"/>
      <c r="JJF70" s="137"/>
      <c r="JJG70" s="137"/>
      <c r="JJH70" s="137"/>
      <c r="JJI70" s="137"/>
      <c r="JJJ70" s="137"/>
      <c r="JJK70" s="137"/>
      <c r="JJL70" s="137"/>
      <c r="JJM70" s="137"/>
      <c r="JJN70" s="137"/>
      <c r="JJO70" s="137"/>
      <c r="JJP70" s="137"/>
      <c r="JJQ70" s="137"/>
      <c r="JJR70" s="137"/>
      <c r="JJS70" s="137"/>
      <c r="JJT70" s="137"/>
      <c r="JJU70" s="137"/>
      <c r="JJV70" s="137"/>
      <c r="JJW70" s="137"/>
      <c r="JJX70" s="137"/>
      <c r="JJY70" s="137"/>
      <c r="JJZ70" s="137"/>
      <c r="JKA70" s="137"/>
      <c r="JKB70" s="137"/>
      <c r="JKC70" s="137"/>
      <c r="JKD70" s="137"/>
      <c r="JKE70" s="137"/>
      <c r="JKF70" s="137"/>
      <c r="JKG70" s="137"/>
      <c r="JKH70" s="137"/>
      <c r="JKI70" s="137"/>
      <c r="JKJ70" s="137"/>
      <c r="JKK70" s="137"/>
      <c r="JKL70" s="137"/>
      <c r="JKM70" s="137"/>
      <c r="JKN70" s="137"/>
      <c r="JKO70" s="137"/>
      <c r="JKP70" s="137"/>
      <c r="JKQ70" s="137"/>
      <c r="JKR70" s="137"/>
      <c r="JKS70" s="137"/>
      <c r="JKT70" s="137"/>
      <c r="JKU70" s="137"/>
      <c r="JKV70" s="137"/>
      <c r="JKW70" s="137"/>
      <c r="JKX70" s="137"/>
      <c r="JKY70" s="137"/>
      <c r="JKZ70" s="137"/>
      <c r="JLA70" s="137"/>
      <c r="JLB70" s="137"/>
      <c r="JLC70" s="137"/>
      <c r="JLD70" s="137"/>
      <c r="JLE70" s="137"/>
      <c r="JLF70" s="137"/>
      <c r="JLG70" s="137"/>
      <c r="JLH70" s="137"/>
      <c r="JLI70" s="137"/>
      <c r="JLJ70" s="137"/>
      <c r="JLK70" s="137"/>
      <c r="JLL70" s="137"/>
      <c r="JLM70" s="137"/>
      <c r="JLN70" s="137"/>
      <c r="JLO70" s="137"/>
      <c r="JLP70" s="137"/>
      <c r="JLQ70" s="137"/>
      <c r="JLR70" s="137"/>
      <c r="JLS70" s="137"/>
      <c r="JLT70" s="137"/>
      <c r="JLU70" s="137"/>
      <c r="JLV70" s="137"/>
      <c r="JLW70" s="137"/>
      <c r="JLX70" s="137"/>
      <c r="JLY70" s="137"/>
      <c r="JLZ70" s="137"/>
      <c r="JMA70" s="137"/>
      <c r="JMB70" s="137"/>
      <c r="JMC70" s="137"/>
      <c r="JMD70" s="137"/>
      <c r="JME70" s="137"/>
      <c r="JMF70" s="137"/>
      <c r="JMG70" s="137"/>
      <c r="JMH70" s="137"/>
      <c r="JMI70" s="137"/>
      <c r="JMJ70" s="137"/>
      <c r="JMK70" s="137"/>
      <c r="JML70" s="137"/>
      <c r="JMM70" s="137"/>
      <c r="JMN70" s="137"/>
      <c r="JMO70" s="137"/>
      <c r="JMP70" s="137"/>
      <c r="JMQ70" s="137"/>
      <c r="JMR70" s="137"/>
      <c r="JMS70" s="137"/>
      <c r="JMT70" s="137"/>
      <c r="JMU70" s="137"/>
      <c r="JMV70" s="137"/>
      <c r="JMW70" s="137"/>
      <c r="JMX70" s="137"/>
      <c r="JMY70" s="137"/>
      <c r="JMZ70" s="137"/>
      <c r="JNA70" s="137"/>
      <c r="JNB70" s="137"/>
      <c r="JNC70" s="137"/>
      <c r="JND70" s="137"/>
      <c r="JNE70" s="137"/>
      <c r="JNF70" s="137"/>
      <c r="JNG70" s="137"/>
      <c r="JNH70" s="137"/>
      <c r="JNI70" s="137"/>
      <c r="JNJ70" s="137"/>
      <c r="JNK70" s="137"/>
      <c r="JNL70" s="137"/>
      <c r="JNM70" s="137"/>
      <c r="JNN70" s="137"/>
      <c r="JNO70" s="137"/>
      <c r="JNP70" s="137"/>
      <c r="JNQ70" s="137"/>
      <c r="JNR70" s="137"/>
      <c r="JNS70" s="137"/>
      <c r="JNT70" s="137"/>
      <c r="JNU70" s="137"/>
      <c r="JNV70" s="137"/>
      <c r="JNW70" s="137"/>
      <c r="JNX70" s="137"/>
      <c r="JNY70" s="137"/>
      <c r="JNZ70" s="137"/>
      <c r="JOA70" s="137"/>
      <c r="JOB70" s="137"/>
      <c r="JOC70" s="137"/>
      <c r="JOD70" s="137"/>
      <c r="JOE70" s="137"/>
      <c r="JOF70" s="137"/>
      <c r="JOG70" s="137"/>
      <c r="JOH70" s="137"/>
      <c r="JOI70" s="137"/>
      <c r="JOJ70" s="137"/>
      <c r="JOK70" s="137"/>
      <c r="JOL70" s="137"/>
      <c r="JOM70" s="137"/>
      <c r="JON70" s="137"/>
      <c r="JOO70" s="137"/>
      <c r="JOP70" s="137"/>
      <c r="JOQ70" s="137"/>
      <c r="JOR70" s="137"/>
      <c r="JOS70" s="137"/>
      <c r="JOT70" s="137"/>
      <c r="JOU70" s="137"/>
      <c r="JOV70" s="137"/>
      <c r="JOW70" s="137"/>
      <c r="JOX70" s="137"/>
      <c r="JOY70" s="137"/>
      <c r="JOZ70" s="137"/>
      <c r="JPA70" s="137"/>
      <c r="JPB70" s="137"/>
      <c r="JPC70" s="137"/>
      <c r="JPD70" s="137"/>
      <c r="JPE70" s="137"/>
      <c r="JPF70" s="137"/>
      <c r="JPG70" s="137"/>
      <c r="JPH70" s="137"/>
      <c r="JPI70" s="137"/>
      <c r="JPJ70" s="137"/>
      <c r="JPK70" s="137"/>
      <c r="JPL70" s="137"/>
      <c r="JPM70" s="137"/>
      <c r="JPN70" s="137"/>
      <c r="JPO70" s="137"/>
      <c r="JPP70" s="137"/>
      <c r="JPQ70" s="137"/>
      <c r="JPR70" s="137"/>
      <c r="JPS70" s="137"/>
      <c r="JPT70" s="137"/>
      <c r="JPU70" s="137"/>
      <c r="JPV70" s="137"/>
      <c r="JPW70" s="137"/>
      <c r="JPX70" s="137"/>
      <c r="JPY70" s="137"/>
      <c r="JPZ70" s="137"/>
      <c r="JQA70" s="137"/>
      <c r="JQB70" s="137"/>
      <c r="JQC70" s="137"/>
      <c r="JQD70" s="137"/>
      <c r="JQE70" s="137"/>
      <c r="JQF70" s="137"/>
      <c r="JQG70" s="137"/>
      <c r="JQH70" s="137"/>
      <c r="JQI70" s="137"/>
      <c r="JQJ70" s="137"/>
      <c r="JQK70" s="137"/>
      <c r="JQL70" s="137"/>
      <c r="JQM70" s="137"/>
      <c r="JQN70" s="137"/>
      <c r="JQO70" s="137"/>
      <c r="JQP70" s="137"/>
      <c r="JQQ70" s="137"/>
      <c r="JQR70" s="137"/>
      <c r="JQS70" s="137"/>
      <c r="JQT70" s="137"/>
      <c r="JQU70" s="137"/>
      <c r="JQV70" s="137"/>
      <c r="JQW70" s="137"/>
      <c r="JQX70" s="137"/>
      <c r="JQY70" s="137"/>
      <c r="JQZ70" s="137"/>
      <c r="JRA70" s="137"/>
      <c r="JRB70" s="137"/>
      <c r="JRC70" s="137"/>
      <c r="JRD70" s="137"/>
      <c r="JRE70" s="137"/>
      <c r="JRF70" s="137"/>
      <c r="JRG70" s="137"/>
      <c r="JRH70" s="137"/>
      <c r="JRI70" s="137"/>
      <c r="JRJ70" s="137"/>
      <c r="JRK70" s="137"/>
      <c r="JRL70" s="137"/>
      <c r="JRM70" s="137"/>
      <c r="JRN70" s="137"/>
      <c r="JRO70" s="137"/>
      <c r="JRP70" s="137"/>
      <c r="JRQ70" s="137"/>
      <c r="JRR70" s="137"/>
      <c r="JRS70" s="137"/>
      <c r="JRT70" s="137"/>
      <c r="JRU70" s="137"/>
      <c r="JRV70" s="137"/>
      <c r="JRW70" s="137"/>
      <c r="JRX70" s="137"/>
      <c r="JRY70" s="137"/>
      <c r="JRZ70" s="137"/>
      <c r="JSA70" s="137"/>
      <c r="JSB70" s="137"/>
      <c r="JSC70" s="137"/>
      <c r="JSD70" s="137"/>
      <c r="JSE70" s="137"/>
      <c r="JSF70" s="137"/>
      <c r="JSG70" s="137"/>
      <c r="JSH70" s="137"/>
      <c r="JSI70" s="137"/>
      <c r="JSJ70" s="137"/>
      <c r="JSK70" s="137"/>
      <c r="JSL70" s="137"/>
      <c r="JSM70" s="137"/>
      <c r="JSN70" s="137"/>
      <c r="JSO70" s="137"/>
      <c r="JSP70" s="137"/>
      <c r="JSQ70" s="137"/>
      <c r="JSR70" s="137"/>
      <c r="JSS70" s="137"/>
      <c r="JST70" s="137"/>
      <c r="JSU70" s="137"/>
      <c r="JSV70" s="137"/>
      <c r="JSW70" s="137"/>
      <c r="JSX70" s="137"/>
      <c r="JSY70" s="137"/>
      <c r="JSZ70" s="137"/>
      <c r="JTA70" s="137"/>
      <c r="JTB70" s="137"/>
      <c r="JTC70" s="137"/>
      <c r="JTD70" s="137"/>
      <c r="JTE70" s="137"/>
      <c r="JTF70" s="137"/>
      <c r="JTG70" s="137"/>
      <c r="JTH70" s="137"/>
      <c r="JTI70" s="137"/>
      <c r="JTJ70" s="137"/>
      <c r="JTK70" s="137"/>
      <c r="JTL70" s="137"/>
      <c r="JTM70" s="137"/>
      <c r="JTN70" s="137"/>
      <c r="JTO70" s="137"/>
      <c r="JTP70" s="137"/>
      <c r="JTQ70" s="137"/>
      <c r="JTR70" s="137"/>
      <c r="JTS70" s="137"/>
      <c r="JTT70" s="137"/>
      <c r="JTU70" s="137"/>
      <c r="JTV70" s="137"/>
      <c r="JTW70" s="137"/>
      <c r="JTX70" s="137"/>
      <c r="JTY70" s="137"/>
      <c r="JTZ70" s="137"/>
      <c r="JUA70" s="137"/>
      <c r="JUB70" s="137"/>
      <c r="JUC70" s="137"/>
      <c r="JUD70" s="137"/>
      <c r="JUE70" s="137"/>
      <c r="JUF70" s="137"/>
      <c r="JUG70" s="137"/>
      <c r="JUH70" s="137"/>
      <c r="JUI70" s="137"/>
      <c r="JUJ70" s="137"/>
      <c r="JUK70" s="137"/>
      <c r="JUL70" s="137"/>
      <c r="JUM70" s="137"/>
      <c r="JUN70" s="137"/>
      <c r="JUO70" s="137"/>
      <c r="JUP70" s="137"/>
      <c r="JUQ70" s="137"/>
      <c r="JUR70" s="137"/>
      <c r="JUS70" s="137"/>
      <c r="JUT70" s="137"/>
      <c r="JUU70" s="137"/>
      <c r="JUV70" s="137"/>
      <c r="JUW70" s="137"/>
      <c r="JUX70" s="137"/>
      <c r="JUY70" s="137"/>
      <c r="JUZ70" s="137"/>
      <c r="JVA70" s="137"/>
      <c r="JVB70" s="137"/>
      <c r="JVC70" s="137"/>
      <c r="JVD70" s="137"/>
      <c r="JVE70" s="137"/>
      <c r="JVF70" s="137"/>
      <c r="JVG70" s="137"/>
      <c r="JVH70" s="137"/>
      <c r="JVI70" s="137"/>
      <c r="JVJ70" s="137"/>
      <c r="JVK70" s="137"/>
      <c r="JVL70" s="137"/>
      <c r="JVM70" s="137"/>
      <c r="JVN70" s="137"/>
      <c r="JVO70" s="137"/>
      <c r="JVP70" s="137"/>
      <c r="JVQ70" s="137"/>
      <c r="JVR70" s="137"/>
      <c r="JVS70" s="137"/>
      <c r="JVT70" s="137"/>
      <c r="JVU70" s="137"/>
      <c r="JVV70" s="137"/>
      <c r="JVW70" s="137"/>
      <c r="JVX70" s="137"/>
      <c r="JVY70" s="137"/>
      <c r="JVZ70" s="137"/>
      <c r="JWA70" s="137"/>
      <c r="JWB70" s="137"/>
      <c r="JWC70" s="137"/>
      <c r="JWD70" s="137"/>
      <c r="JWE70" s="137"/>
      <c r="JWF70" s="137"/>
      <c r="JWG70" s="137"/>
      <c r="JWH70" s="137"/>
      <c r="JWI70" s="137"/>
      <c r="JWJ70" s="137"/>
      <c r="JWK70" s="137"/>
      <c r="JWL70" s="137"/>
      <c r="JWM70" s="137"/>
      <c r="JWN70" s="137"/>
      <c r="JWO70" s="137"/>
      <c r="JWP70" s="137"/>
      <c r="JWQ70" s="137"/>
      <c r="JWR70" s="137"/>
      <c r="JWS70" s="137"/>
      <c r="JWT70" s="137"/>
      <c r="JWU70" s="137"/>
      <c r="JWV70" s="137"/>
      <c r="JWW70" s="137"/>
      <c r="JWX70" s="137"/>
      <c r="JWY70" s="137"/>
      <c r="JWZ70" s="137"/>
      <c r="JXA70" s="137"/>
      <c r="JXB70" s="137"/>
      <c r="JXC70" s="137"/>
      <c r="JXD70" s="137"/>
      <c r="JXE70" s="137"/>
      <c r="JXF70" s="137"/>
      <c r="JXG70" s="137"/>
      <c r="JXH70" s="137"/>
      <c r="JXI70" s="137"/>
      <c r="JXJ70" s="137"/>
      <c r="JXK70" s="137"/>
      <c r="JXL70" s="137"/>
      <c r="JXM70" s="137"/>
      <c r="JXN70" s="137"/>
      <c r="JXO70" s="137"/>
      <c r="JXP70" s="137"/>
      <c r="JXQ70" s="137"/>
      <c r="JXR70" s="137"/>
      <c r="JXS70" s="137"/>
      <c r="JXT70" s="137"/>
      <c r="JXU70" s="137"/>
      <c r="JXV70" s="137"/>
      <c r="JXW70" s="137"/>
      <c r="JXX70" s="137"/>
      <c r="JXY70" s="137"/>
      <c r="JXZ70" s="137"/>
      <c r="JYA70" s="137"/>
      <c r="JYB70" s="137"/>
      <c r="JYC70" s="137"/>
      <c r="JYD70" s="137"/>
      <c r="JYE70" s="137"/>
      <c r="JYF70" s="137"/>
      <c r="JYG70" s="137"/>
      <c r="JYH70" s="137"/>
      <c r="JYI70" s="137"/>
      <c r="JYJ70" s="137"/>
      <c r="JYK70" s="137"/>
      <c r="JYL70" s="137"/>
      <c r="JYM70" s="137"/>
      <c r="JYN70" s="137"/>
      <c r="JYO70" s="137"/>
      <c r="JYP70" s="137"/>
      <c r="JYQ70" s="137"/>
      <c r="JYR70" s="137"/>
      <c r="JYS70" s="137"/>
      <c r="JYT70" s="137"/>
      <c r="JYU70" s="137"/>
      <c r="JYV70" s="137"/>
      <c r="JYW70" s="137"/>
      <c r="JYX70" s="137"/>
      <c r="JYY70" s="137"/>
      <c r="JYZ70" s="137"/>
      <c r="JZA70" s="137"/>
      <c r="JZB70" s="137"/>
      <c r="JZC70" s="137"/>
      <c r="JZD70" s="137"/>
      <c r="JZE70" s="137"/>
      <c r="JZF70" s="137"/>
      <c r="JZG70" s="137"/>
      <c r="JZH70" s="137"/>
      <c r="JZI70" s="137"/>
      <c r="JZJ70" s="137"/>
      <c r="JZK70" s="137"/>
      <c r="JZL70" s="137"/>
      <c r="JZM70" s="137"/>
      <c r="JZN70" s="137"/>
      <c r="JZO70" s="137"/>
      <c r="JZP70" s="137"/>
      <c r="JZQ70" s="137"/>
      <c r="JZR70" s="137"/>
      <c r="JZS70" s="137"/>
      <c r="JZT70" s="137"/>
      <c r="JZU70" s="137"/>
      <c r="JZV70" s="137"/>
      <c r="JZW70" s="137"/>
      <c r="JZX70" s="137"/>
      <c r="JZY70" s="137"/>
      <c r="JZZ70" s="137"/>
      <c r="KAA70" s="137"/>
      <c r="KAB70" s="137"/>
      <c r="KAC70" s="137"/>
      <c r="KAD70" s="137"/>
      <c r="KAE70" s="137"/>
      <c r="KAF70" s="137"/>
      <c r="KAG70" s="137"/>
      <c r="KAH70" s="137"/>
      <c r="KAI70" s="137"/>
      <c r="KAJ70" s="137"/>
      <c r="KAK70" s="137"/>
      <c r="KAL70" s="137"/>
      <c r="KAM70" s="137"/>
      <c r="KAN70" s="137"/>
      <c r="KAO70" s="137"/>
      <c r="KAP70" s="137"/>
      <c r="KAQ70" s="137"/>
      <c r="KAR70" s="137"/>
      <c r="KAS70" s="137"/>
      <c r="KAT70" s="137"/>
      <c r="KAU70" s="137"/>
      <c r="KAV70" s="137"/>
      <c r="KAW70" s="137"/>
      <c r="KAX70" s="137"/>
      <c r="KAY70" s="137"/>
      <c r="KAZ70" s="137"/>
      <c r="KBA70" s="137"/>
      <c r="KBB70" s="137"/>
      <c r="KBC70" s="137"/>
      <c r="KBD70" s="137"/>
      <c r="KBE70" s="137"/>
      <c r="KBF70" s="137"/>
      <c r="KBG70" s="137"/>
      <c r="KBH70" s="137"/>
      <c r="KBI70" s="137"/>
      <c r="KBJ70" s="137"/>
      <c r="KBK70" s="137"/>
      <c r="KBL70" s="137"/>
      <c r="KBM70" s="137"/>
      <c r="KBN70" s="137"/>
      <c r="KBO70" s="137"/>
      <c r="KBP70" s="137"/>
      <c r="KBQ70" s="137"/>
      <c r="KBR70" s="137"/>
      <c r="KBS70" s="137"/>
      <c r="KBT70" s="137"/>
      <c r="KBU70" s="137"/>
      <c r="KBV70" s="137"/>
      <c r="KBW70" s="137"/>
      <c r="KBX70" s="137"/>
      <c r="KBY70" s="137"/>
      <c r="KBZ70" s="137"/>
      <c r="KCA70" s="137"/>
      <c r="KCB70" s="137"/>
      <c r="KCC70" s="137"/>
      <c r="KCD70" s="137"/>
      <c r="KCE70" s="137"/>
      <c r="KCF70" s="137"/>
      <c r="KCG70" s="137"/>
      <c r="KCH70" s="137"/>
      <c r="KCI70" s="137"/>
      <c r="KCJ70" s="137"/>
      <c r="KCK70" s="137"/>
      <c r="KCL70" s="137"/>
      <c r="KCM70" s="137"/>
      <c r="KCN70" s="137"/>
      <c r="KCO70" s="137"/>
      <c r="KCP70" s="137"/>
      <c r="KCQ70" s="137"/>
      <c r="KCR70" s="137"/>
      <c r="KCS70" s="137"/>
      <c r="KCT70" s="137"/>
      <c r="KCU70" s="137"/>
      <c r="KCV70" s="137"/>
      <c r="KCW70" s="137"/>
      <c r="KCX70" s="137"/>
      <c r="KCY70" s="137"/>
      <c r="KCZ70" s="137"/>
      <c r="KDA70" s="137"/>
      <c r="KDB70" s="137"/>
      <c r="KDC70" s="137"/>
      <c r="KDD70" s="137"/>
      <c r="KDE70" s="137"/>
      <c r="KDF70" s="137"/>
      <c r="KDG70" s="137"/>
      <c r="KDH70" s="137"/>
      <c r="KDI70" s="137"/>
      <c r="KDJ70" s="137"/>
      <c r="KDK70" s="137"/>
      <c r="KDL70" s="137"/>
      <c r="KDM70" s="137"/>
      <c r="KDN70" s="137"/>
      <c r="KDO70" s="137"/>
      <c r="KDP70" s="137"/>
      <c r="KDQ70" s="137"/>
      <c r="KDR70" s="137"/>
      <c r="KDS70" s="137"/>
      <c r="KDT70" s="137"/>
      <c r="KDU70" s="137"/>
      <c r="KDV70" s="137"/>
      <c r="KDW70" s="137"/>
      <c r="KDX70" s="137"/>
      <c r="KDY70" s="137"/>
      <c r="KDZ70" s="137"/>
      <c r="KEA70" s="137"/>
      <c r="KEB70" s="137"/>
      <c r="KEC70" s="137"/>
      <c r="KED70" s="137"/>
      <c r="KEE70" s="137"/>
      <c r="KEF70" s="137"/>
      <c r="KEG70" s="137"/>
      <c r="KEH70" s="137"/>
      <c r="KEI70" s="137"/>
      <c r="KEJ70" s="137"/>
      <c r="KEK70" s="137"/>
      <c r="KEL70" s="137"/>
      <c r="KEM70" s="137"/>
      <c r="KEN70" s="137"/>
      <c r="KEO70" s="137"/>
      <c r="KEP70" s="137"/>
      <c r="KEQ70" s="137"/>
      <c r="KER70" s="137"/>
      <c r="KES70" s="137"/>
      <c r="KET70" s="137"/>
      <c r="KEU70" s="137"/>
      <c r="KEV70" s="137"/>
      <c r="KEW70" s="137"/>
      <c r="KEX70" s="137"/>
      <c r="KEY70" s="137"/>
      <c r="KEZ70" s="137"/>
      <c r="KFA70" s="137"/>
      <c r="KFB70" s="137"/>
      <c r="KFC70" s="137"/>
      <c r="KFD70" s="137"/>
      <c r="KFE70" s="137"/>
      <c r="KFF70" s="137"/>
      <c r="KFG70" s="137"/>
      <c r="KFH70" s="137"/>
      <c r="KFI70" s="137"/>
      <c r="KFJ70" s="137"/>
      <c r="KFK70" s="137"/>
      <c r="KFL70" s="137"/>
      <c r="KFM70" s="137"/>
      <c r="KFN70" s="137"/>
      <c r="KFO70" s="137"/>
      <c r="KFP70" s="137"/>
      <c r="KFQ70" s="137"/>
      <c r="KFR70" s="137"/>
      <c r="KFS70" s="137"/>
      <c r="KFT70" s="137"/>
      <c r="KFU70" s="137"/>
      <c r="KFV70" s="137"/>
      <c r="KFW70" s="137"/>
      <c r="KFX70" s="137"/>
      <c r="KFY70" s="137"/>
      <c r="KFZ70" s="137"/>
      <c r="KGA70" s="137"/>
      <c r="KGB70" s="137"/>
      <c r="KGC70" s="137"/>
      <c r="KGD70" s="137"/>
      <c r="KGE70" s="137"/>
      <c r="KGF70" s="137"/>
      <c r="KGG70" s="137"/>
      <c r="KGH70" s="137"/>
      <c r="KGI70" s="137"/>
      <c r="KGJ70" s="137"/>
      <c r="KGK70" s="137"/>
      <c r="KGL70" s="137"/>
      <c r="KGM70" s="137"/>
      <c r="KGN70" s="137"/>
      <c r="KGO70" s="137"/>
      <c r="KGP70" s="137"/>
      <c r="KGQ70" s="137"/>
      <c r="KGR70" s="137"/>
      <c r="KGS70" s="137"/>
      <c r="KGT70" s="137"/>
      <c r="KGU70" s="137"/>
      <c r="KGV70" s="137"/>
      <c r="KGW70" s="137"/>
      <c r="KGX70" s="137"/>
      <c r="KGY70" s="137"/>
      <c r="KGZ70" s="137"/>
      <c r="KHA70" s="137"/>
      <c r="KHB70" s="137"/>
      <c r="KHC70" s="137"/>
      <c r="KHD70" s="137"/>
      <c r="KHE70" s="137"/>
      <c r="KHF70" s="137"/>
      <c r="KHG70" s="137"/>
      <c r="KHH70" s="137"/>
      <c r="KHI70" s="137"/>
      <c r="KHJ70" s="137"/>
      <c r="KHK70" s="137"/>
      <c r="KHL70" s="137"/>
      <c r="KHM70" s="137"/>
      <c r="KHN70" s="137"/>
      <c r="KHO70" s="137"/>
      <c r="KHP70" s="137"/>
      <c r="KHQ70" s="137"/>
      <c r="KHR70" s="137"/>
      <c r="KHS70" s="137"/>
      <c r="KHT70" s="137"/>
      <c r="KHU70" s="137"/>
      <c r="KHV70" s="137"/>
      <c r="KHW70" s="137"/>
      <c r="KHX70" s="137"/>
      <c r="KHY70" s="137"/>
      <c r="KHZ70" s="137"/>
      <c r="KIA70" s="137"/>
      <c r="KIB70" s="137"/>
      <c r="KIC70" s="137"/>
      <c r="KID70" s="137"/>
      <c r="KIE70" s="137"/>
      <c r="KIF70" s="137"/>
      <c r="KIG70" s="137"/>
      <c r="KIH70" s="137"/>
      <c r="KII70" s="137"/>
      <c r="KIJ70" s="137"/>
      <c r="KIK70" s="137"/>
      <c r="KIL70" s="137"/>
      <c r="KIM70" s="137"/>
      <c r="KIN70" s="137"/>
      <c r="KIO70" s="137"/>
      <c r="KIP70" s="137"/>
      <c r="KIQ70" s="137"/>
      <c r="KIR70" s="137"/>
      <c r="KIS70" s="137"/>
      <c r="KIT70" s="137"/>
      <c r="KIU70" s="137"/>
      <c r="KIV70" s="137"/>
      <c r="KIW70" s="137"/>
      <c r="KIX70" s="137"/>
      <c r="KIY70" s="137"/>
      <c r="KIZ70" s="137"/>
      <c r="KJA70" s="137"/>
      <c r="KJB70" s="137"/>
      <c r="KJC70" s="137"/>
      <c r="KJD70" s="137"/>
      <c r="KJE70" s="137"/>
      <c r="KJF70" s="137"/>
      <c r="KJG70" s="137"/>
      <c r="KJH70" s="137"/>
      <c r="KJI70" s="137"/>
      <c r="KJJ70" s="137"/>
      <c r="KJK70" s="137"/>
      <c r="KJL70" s="137"/>
      <c r="KJM70" s="137"/>
      <c r="KJN70" s="137"/>
      <c r="KJO70" s="137"/>
      <c r="KJP70" s="137"/>
      <c r="KJQ70" s="137"/>
      <c r="KJR70" s="137"/>
      <c r="KJS70" s="137"/>
      <c r="KJT70" s="137"/>
      <c r="KJU70" s="137"/>
      <c r="KJV70" s="137"/>
      <c r="KJW70" s="137"/>
      <c r="KJX70" s="137"/>
      <c r="KJY70" s="137"/>
      <c r="KJZ70" s="137"/>
      <c r="KKA70" s="137"/>
      <c r="KKB70" s="137"/>
      <c r="KKC70" s="137"/>
      <c r="KKD70" s="137"/>
      <c r="KKE70" s="137"/>
      <c r="KKF70" s="137"/>
      <c r="KKG70" s="137"/>
      <c r="KKH70" s="137"/>
      <c r="KKI70" s="137"/>
      <c r="KKJ70" s="137"/>
      <c r="KKK70" s="137"/>
      <c r="KKL70" s="137"/>
      <c r="KKM70" s="137"/>
      <c r="KKN70" s="137"/>
      <c r="KKO70" s="137"/>
      <c r="KKP70" s="137"/>
      <c r="KKQ70" s="137"/>
      <c r="KKR70" s="137"/>
      <c r="KKS70" s="137"/>
      <c r="KKT70" s="137"/>
      <c r="KKU70" s="137"/>
      <c r="KKV70" s="137"/>
      <c r="KKW70" s="137"/>
      <c r="KKX70" s="137"/>
      <c r="KKY70" s="137"/>
      <c r="KKZ70" s="137"/>
      <c r="KLA70" s="137"/>
      <c r="KLB70" s="137"/>
      <c r="KLC70" s="137"/>
      <c r="KLD70" s="137"/>
      <c r="KLE70" s="137"/>
      <c r="KLF70" s="137"/>
      <c r="KLG70" s="137"/>
      <c r="KLH70" s="137"/>
      <c r="KLI70" s="137"/>
      <c r="KLJ70" s="137"/>
      <c r="KLK70" s="137"/>
      <c r="KLL70" s="137"/>
      <c r="KLM70" s="137"/>
      <c r="KLN70" s="137"/>
      <c r="KLO70" s="137"/>
      <c r="KLP70" s="137"/>
      <c r="KLQ70" s="137"/>
      <c r="KLR70" s="137"/>
      <c r="KLS70" s="137"/>
      <c r="KLT70" s="137"/>
      <c r="KLU70" s="137"/>
      <c r="KLV70" s="137"/>
      <c r="KLW70" s="137"/>
      <c r="KLX70" s="137"/>
      <c r="KLY70" s="137"/>
      <c r="KLZ70" s="137"/>
      <c r="KMA70" s="137"/>
      <c r="KMB70" s="137"/>
      <c r="KMC70" s="137"/>
      <c r="KMD70" s="137"/>
      <c r="KME70" s="137"/>
      <c r="KMF70" s="137"/>
      <c r="KMG70" s="137"/>
      <c r="KMH70" s="137"/>
      <c r="KMI70" s="137"/>
      <c r="KMJ70" s="137"/>
      <c r="KMK70" s="137"/>
      <c r="KML70" s="137"/>
      <c r="KMM70" s="137"/>
      <c r="KMN70" s="137"/>
      <c r="KMO70" s="137"/>
      <c r="KMP70" s="137"/>
      <c r="KMQ70" s="137"/>
      <c r="KMR70" s="137"/>
      <c r="KMS70" s="137"/>
      <c r="KMT70" s="137"/>
      <c r="KMU70" s="137"/>
      <c r="KMV70" s="137"/>
      <c r="KMW70" s="137"/>
      <c r="KMX70" s="137"/>
      <c r="KMY70" s="137"/>
      <c r="KMZ70" s="137"/>
      <c r="KNA70" s="137"/>
      <c r="KNB70" s="137"/>
      <c r="KNC70" s="137"/>
      <c r="KND70" s="137"/>
      <c r="KNE70" s="137"/>
      <c r="KNF70" s="137"/>
      <c r="KNG70" s="137"/>
      <c r="KNH70" s="137"/>
      <c r="KNI70" s="137"/>
      <c r="KNJ70" s="137"/>
      <c r="KNK70" s="137"/>
      <c r="KNL70" s="137"/>
      <c r="KNM70" s="137"/>
      <c r="KNN70" s="137"/>
      <c r="KNO70" s="137"/>
      <c r="KNP70" s="137"/>
      <c r="KNQ70" s="137"/>
      <c r="KNR70" s="137"/>
      <c r="KNS70" s="137"/>
      <c r="KNT70" s="137"/>
      <c r="KNU70" s="137"/>
      <c r="KNV70" s="137"/>
      <c r="KNW70" s="137"/>
      <c r="KNX70" s="137"/>
      <c r="KNY70" s="137"/>
      <c r="KNZ70" s="137"/>
      <c r="KOA70" s="137"/>
      <c r="KOB70" s="137"/>
      <c r="KOC70" s="137"/>
      <c r="KOD70" s="137"/>
      <c r="KOE70" s="137"/>
      <c r="KOF70" s="137"/>
      <c r="KOG70" s="137"/>
      <c r="KOH70" s="137"/>
      <c r="KOI70" s="137"/>
      <c r="KOJ70" s="137"/>
      <c r="KOK70" s="137"/>
      <c r="KOL70" s="137"/>
      <c r="KOM70" s="137"/>
      <c r="KON70" s="137"/>
      <c r="KOO70" s="137"/>
      <c r="KOP70" s="137"/>
      <c r="KOQ70" s="137"/>
      <c r="KOR70" s="137"/>
      <c r="KOS70" s="137"/>
      <c r="KOT70" s="137"/>
      <c r="KOU70" s="137"/>
      <c r="KOV70" s="137"/>
      <c r="KOW70" s="137"/>
      <c r="KOX70" s="137"/>
      <c r="KOY70" s="137"/>
      <c r="KOZ70" s="137"/>
      <c r="KPA70" s="137"/>
      <c r="KPB70" s="137"/>
      <c r="KPC70" s="137"/>
      <c r="KPD70" s="137"/>
      <c r="KPE70" s="137"/>
      <c r="KPF70" s="137"/>
      <c r="KPG70" s="137"/>
      <c r="KPH70" s="137"/>
      <c r="KPI70" s="137"/>
      <c r="KPJ70" s="137"/>
      <c r="KPK70" s="137"/>
      <c r="KPL70" s="137"/>
      <c r="KPM70" s="137"/>
      <c r="KPN70" s="137"/>
      <c r="KPO70" s="137"/>
      <c r="KPP70" s="137"/>
      <c r="KPQ70" s="137"/>
      <c r="KPR70" s="137"/>
      <c r="KPS70" s="137"/>
      <c r="KPT70" s="137"/>
      <c r="KPU70" s="137"/>
      <c r="KPV70" s="137"/>
      <c r="KPW70" s="137"/>
      <c r="KPX70" s="137"/>
      <c r="KPY70" s="137"/>
      <c r="KPZ70" s="137"/>
      <c r="KQA70" s="137"/>
      <c r="KQB70" s="137"/>
      <c r="KQC70" s="137"/>
      <c r="KQD70" s="137"/>
      <c r="KQE70" s="137"/>
      <c r="KQF70" s="137"/>
      <c r="KQG70" s="137"/>
      <c r="KQH70" s="137"/>
      <c r="KQI70" s="137"/>
      <c r="KQJ70" s="137"/>
      <c r="KQK70" s="137"/>
      <c r="KQL70" s="137"/>
      <c r="KQM70" s="137"/>
      <c r="KQN70" s="137"/>
      <c r="KQO70" s="137"/>
      <c r="KQP70" s="137"/>
      <c r="KQQ70" s="137"/>
      <c r="KQR70" s="137"/>
      <c r="KQS70" s="137"/>
      <c r="KQT70" s="137"/>
      <c r="KQU70" s="137"/>
      <c r="KQV70" s="137"/>
      <c r="KQW70" s="137"/>
      <c r="KQX70" s="137"/>
      <c r="KQY70" s="137"/>
      <c r="KQZ70" s="137"/>
      <c r="KRA70" s="137"/>
      <c r="KRB70" s="137"/>
      <c r="KRC70" s="137"/>
      <c r="KRD70" s="137"/>
      <c r="KRE70" s="137"/>
      <c r="KRF70" s="137"/>
      <c r="KRG70" s="137"/>
      <c r="KRH70" s="137"/>
      <c r="KRI70" s="137"/>
      <c r="KRJ70" s="137"/>
      <c r="KRK70" s="137"/>
      <c r="KRL70" s="137"/>
      <c r="KRM70" s="137"/>
      <c r="KRN70" s="137"/>
      <c r="KRO70" s="137"/>
      <c r="KRP70" s="137"/>
      <c r="KRQ70" s="137"/>
      <c r="KRR70" s="137"/>
      <c r="KRS70" s="137"/>
      <c r="KRT70" s="137"/>
      <c r="KRU70" s="137"/>
      <c r="KRV70" s="137"/>
      <c r="KRW70" s="137"/>
      <c r="KRX70" s="137"/>
      <c r="KRY70" s="137"/>
      <c r="KRZ70" s="137"/>
      <c r="KSA70" s="137"/>
      <c r="KSB70" s="137"/>
      <c r="KSC70" s="137"/>
      <c r="KSD70" s="137"/>
      <c r="KSE70" s="137"/>
      <c r="KSF70" s="137"/>
      <c r="KSG70" s="137"/>
      <c r="KSH70" s="137"/>
      <c r="KSI70" s="137"/>
      <c r="KSJ70" s="137"/>
      <c r="KSK70" s="137"/>
      <c r="KSL70" s="137"/>
      <c r="KSM70" s="137"/>
      <c r="KSN70" s="137"/>
      <c r="KSO70" s="137"/>
      <c r="KSP70" s="137"/>
      <c r="KSQ70" s="137"/>
      <c r="KSR70" s="137"/>
      <c r="KSS70" s="137"/>
      <c r="KST70" s="137"/>
      <c r="KSU70" s="137"/>
      <c r="KSV70" s="137"/>
      <c r="KSW70" s="137"/>
      <c r="KSX70" s="137"/>
      <c r="KSY70" s="137"/>
      <c r="KSZ70" s="137"/>
      <c r="KTA70" s="137"/>
      <c r="KTB70" s="137"/>
      <c r="KTC70" s="137"/>
      <c r="KTD70" s="137"/>
      <c r="KTE70" s="137"/>
      <c r="KTF70" s="137"/>
      <c r="KTG70" s="137"/>
      <c r="KTH70" s="137"/>
      <c r="KTI70" s="137"/>
      <c r="KTJ70" s="137"/>
      <c r="KTK70" s="137"/>
      <c r="KTL70" s="137"/>
      <c r="KTM70" s="137"/>
      <c r="KTN70" s="137"/>
      <c r="KTO70" s="137"/>
      <c r="KTP70" s="137"/>
      <c r="KTQ70" s="137"/>
      <c r="KTR70" s="137"/>
      <c r="KTS70" s="137"/>
      <c r="KTT70" s="137"/>
      <c r="KTU70" s="137"/>
      <c r="KTV70" s="137"/>
      <c r="KTW70" s="137"/>
      <c r="KTX70" s="137"/>
      <c r="KTY70" s="137"/>
      <c r="KTZ70" s="137"/>
      <c r="KUA70" s="137"/>
      <c r="KUB70" s="137"/>
      <c r="KUC70" s="137"/>
      <c r="KUD70" s="137"/>
      <c r="KUE70" s="137"/>
      <c r="KUF70" s="137"/>
      <c r="KUG70" s="137"/>
      <c r="KUH70" s="137"/>
      <c r="KUI70" s="137"/>
      <c r="KUJ70" s="137"/>
      <c r="KUK70" s="137"/>
      <c r="KUL70" s="137"/>
      <c r="KUM70" s="137"/>
      <c r="KUN70" s="137"/>
      <c r="KUO70" s="137"/>
      <c r="KUP70" s="137"/>
      <c r="KUQ70" s="137"/>
      <c r="KUR70" s="137"/>
      <c r="KUS70" s="137"/>
      <c r="KUT70" s="137"/>
      <c r="KUU70" s="137"/>
      <c r="KUV70" s="137"/>
      <c r="KUW70" s="137"/>
      <c r="KUX70" s="137"/>
      <c r="KUY70" s="137"/>
      <c r="KUZ70" s="137"/>
      <c r="KVA70" s="137"/>
      <c r="KVB70" s="137"/>
      <c r="KVC70" s="137"/>
      <c r="KVD70" s="137"/>
      <c r="KVE70" s="137"/>
      <c r="KVF70" s="137"/>
      <c r="KVG70" s="137"/>
      <c r="KVH70" s="137"/>
      <c r="KVI70" s="137"/>
      <c r="KVJ70" s="137"/>
      <c r="KVK70" s="137"/>
      <c r="KVL70" s="137"/>
      <c r="KVM70" s="137"/>
      <c r="KVN70" s="137"/>
      <c r="KVO70" s="137"/>
      <c r="KVP70" s="137"/>
      <c r="KVQ70" s="137"/>
      <c r="KVR70" s="137"/>
      <c r="KVS70" s="137"/>
      <c r="KVT70" s="137"/>
      <c r="KVU70" s="137"/>
      <c r="KVV70" s="137"/>
      <c r="KVW70" s="137"/>
      <c r="KVX70" s="137"/>
      <c r="KVY70" s="137"/>
      <c r="KVZ70" s="137"/>
      <c r="KWA70" s="137"/>
      <c r="KWB70" s="137"/>
      <c r="KWC70" s="137"/>
      <c r="KWD70" s="137"/>
      <c r="KWE70" s="137"/>
      <c r="KWF70" s="137"/>
      <c r="KWG70" s="137"/>
      <c r="KWH70" s="137"/>
      <c r="KWI70" s="137"/>
      <c r="KWJ70" s="137"/>
      <c r="KWK70" s="137"/>
      <c r="KWL70" s="137"/>
      <c r="KWM70" s="137"/>
      <c r="KWN70" s="137"/>
      <c r="KWO70" s="137"/>
      <c r="KWP70" s="137"/>
      <c r="KWQ70" s="137"/>
      <c r="KWR70" s="137"/>
      <c r="KWS70" s="137"/>
      <c r="KWT70" s="137"/>
      <c r="KWU70" s="137"/>
      <c r="KWV70" s="137"/>
      <c r="KWW70" s="137"/>
      <c r="KWX70" s="137"/>
      <c r="KWY70" s="137"/>
      <c r="KWZ70" s="137"/>
      <c r="KXA70" s="137"/>
      <c r="KXB70" s="137"/>
      <c r="KXC70" s="137"/>
      <c r="KXD70" s="137"/>
      <c r="KXE70" s="137"/>
      <c r="KXF70" s="137"/>
      <c r="KXG70" s="137"/>
      <c r="KXH70" s="137"/>
      <c r="KXI70" s="137"/>
      <c r="KXJ70" s="137"/>
      <c r="KXK70" s="137"/>
      <c r="KXL70" s="137"/>
      <c r="KXM70" s="137"/>
      <c r="KXN70" s="137"/>
      <c r="KXO70" s="137"/>
      <c r="KXP70" s="137"/>
      <c r="KXQ70" s="137"/>
      <c r="KXR70" s="137"/>
      <c r="KXS70" s="137"/>
      <c r="KXT70" s="137"/>
      <c r="KXU70" s="137"/>
      <c r="KXV70" s="137"/>
      <c r="KXW70" s="137"/>
      <c r="KXX70" s="137"/>
      <c r="KXY70" s="137"/>
      <c r="KXZ70" s="137"/>
      <c r="KYA70" s="137"/>
      <c r="KYB70" s="137"/>
      <c r="KYC70" s="137"/>
      <c r="KYD70" s="137"/>
      <c r="KYE70" s="137"/>
      <c r="KYF70" s="137"/>
      <c r="KYG70" s="137"/>
      <c r="KYH70" s="137"/>
      <c r="KYI70" s="137"/>
      <c r="KYJ70" s="137"/>
      <c r="KYK70" s="137"/>
      <c r="KYL70" s="137"/>
      <c r="KYM70" s="137"/>
      <c r="KYN70" s="137"/>
      <c r="KYO70" s="137"/>
      <c r="KYP70" s="137"/>
      <c r="KYQ70" s="137"/>
      <c r="KYR70" s="137"/>
      <c r="KYS70" s="137"/>
      <c r="KYT70" s="137"/>
      <c r="KYU70" s="137"/>
      <c r="KYV70" s="137"/>
      <c r="KYW70" s="137"/>
      <c r="KYX70" s="137"/>
      <c r="KYY70" s="137"/>
      <c r="KYZ70" s="137"/>
      <c r="KZA70" s="137"/>
      <c r="KZB70" s="137"/>
      <c r="KZC70" s="137"/>
      <c r="KZD70" s="137"/>
      <c r="KZE70" s="137"/>
      <c r="KZF70" s="137"/>
      <c r="KZG70" s="137"/>
      <c r="KZH70" s="137"/>
      <c r="KZI70" s="137"/>
      <c r="KZJ70" s="137"/>
      <c r="KZK70" s="137"/>
      <c r="KZL70" s="137"/>
      <c r="KZM70" s="137"/>
      <c r="KZN70" s="137"/>
      <c r="KZO70" s="137"/>
      <c r="KZP70" s="137"/>
      <c r="KZQ70" s="137"/>
      <c r="KZR70" s="137"/>
      <c r="KZS70" s="137"/>
      <c r="KZT70" s="137"/>
      <c r="KZU70" s="137"/>
      <c r="KZV70" s="137"/>
      <c r="KZW70" s="137"/>
      <c r="KZX70" s="137"/>
      <c r="KZY70" s="137"/>
      <c r="KZZ70" s="137"/>
      <c r="LAA70" s="137"/>
      <c r="LAB70" s="137"/>
      <c r="LAC70" s="137"/>
      <c r="LAD70" s="137"/>
      <c r="LAE70" s="137"/>
      <c r="LAF70" s="137"/>
      <c r="LAG70" s="137"/>
      <c r="LAH70" s="137"/>
      <c r="LAI70" s="137"/>
      <c r="LAJ70" s="137"/>
      <c r="LAK70" s="137"/>
      <c r="LAL70" s="137"/>
      <c r="LAM70" s="137"/>
      <c r="LAN70" s="137"/>
      <c r="LAO70" s="137"/>
      <c r="LAP70" s="137"/>
      <c r="LAQ70" s="137"/>
      <c r="LAR70" s="137"/>
      <c r="LAS70" s="137"/>
      <c r="LAT70" s="137"/>
      <c r="LAU70" s="137"/>
      <c r="LAV70" s="137"/>
      <c r="LAW70" s="137"/>
      <c r="LAX70" s="137"/>
      <c r="LAY70" s="137"/>
      <c r="LAZ70" s="137"/>
      <c r="LBA70" s="137"/>
      <c r="LBB70" s="137"/>
      <c r="LBC70" s="137"/>
      <c r="LBD70" s="137"/>
      <c r="LBE70" s="137"/>
      <c r="LBF70" s="137"/>
      <c r="LBG70" s="137"/>
      <c r="LBH70" s="137"/>
      <c r="LBI70" s="137"/>
      <c r="LBJ70" s="137"/>
      <c r="LBK70" s="137"/>
      <c r="LBL70" s="137"/>
      <c r="LBM70" s="137"/>
      <c r="LBN70" s="137"/>
      <c r="LBO70" s="137"/>
      <c r="LBP70" s="137"/>
      <c r="LBQ70" s="137"/>
      <c r="LBR70" s="137"/>
      <c r="LBS70" s="137"/>
      <c r="LBT70" s="137"/>
      <c r="LBU70" s="137"/>
      <c r="LBV70" s="137"/>
      <c r="LBW70" s="137"/>
      <c r="LBX70" s="137"/>
      <c r="LBY70" s="137"/>
      <c r="LBZ70" s="137"/>
      <c r="LCA70" s="137"/>
      <c r="LCB70" s="137"/>
      <c r="LCC70" s="137"/>
      <c r="LCD70" s="137"/>
      <c r="LCE70" s="137"/>
      <c r="LCF70" s="137"/>
      <c r="LCG70" s="137"/>
      <c r="LCH70" s="137"/>
      <c r="LCI70" s="137"/>
      <c r="LCJ70" s="137"/>
      <c r="LCK70" s="137"/>
      <c r="LCL70" s="137"/>
      <c r="LCM70" s="137"/>
      <c r="LCN70" s="137"/>
      <c r="LCO70" s="137"/>
      <c r="LCP70" s="137"/>
      <c r="LCQ70" s="137"/>
      <c r="LCR70" s="137"/>
      <c r="LCS70" s="137"/>
      <c r="LCT70" s="137"/>
      <c r="LCU70" s="137"/>
      <c r="LCV70" s="137"/>
      <c r="LCW70" s="137"/>
      <c r="LCX70" s="137"/>
      <c r="LCY70" s="137"/>
      <c r="LCZ70" s="137"/>
      <c r="LDA70" s="137"/>
      <c r="LDB70" s="137"/>
      <c r="LDC70" s="137"/>
      <c r="LDD70" s="137"/>
      <c r="LDE70" s="137"/>
      <c r="LDF70" s="137"/>
      <c r="LDG70" s="137"/>
      <c r="LDH70" s="137"/>
      <c r="LDI70" s="137"/>
      <c r="LDJ70" s="137"/>
      <c r="LDK70" s="137"/>
      <c r="LDL70" s="137"/>
      <c r="LDM70" s="137"/>
      <c r="LDN70" s="137"/>
      <c r="LDO70" s="137"/>
      <c r="LDP70" s="137"/>
      <c r="LDQ70" s="137"/>
      <c r="LDR70" s="137"/>
      <c r="LDS70" s="137"/>
      <c r="LDT70" s="137"/>
      <c r="LDU70" s="137"/>
      <c r="LDV70" s="137"/>
      <c r="LDW70" s="137"/>
      <c r="LDX70" s="137"/>
      <c r="LDY70" s="137"/>
      <c r="LDZ70" s="137"/>
      <c r="LEA70" s="137"/>
      <c r="LEB70" s="137"/>
      <c r="LEC70" s="137"/>
      <c r="LED70" s="137"/>
      <c r="LEE70" s="137"/>
      <c r="LEF70" s="137"/>
      <c r="LEG70" s="137"/>
      <c r="LEH70" s="137"/>
      <c r="LEI70" s="137"/>
      <c r="LEJ70" s="137"/>
      <c r="LEK70" s="137"/>
      <c r="LEL70" s="137"/>
      <c r="LEM70" s="137"/>
      <c r="LEN70" s="137"/>
      <c r="LEO70" s="137"/>
      <c r="LEP70" s="137"/>
      <c r="LEQ70" s="137"/>
      <c r="LER70" s="137"/>
      <c r="LES70" s="137"/>
      <c r="LET70" s="137"/>
      <c r="LEU70" s="137"/>
      <c r="LEV70" s="137"/>
      <c r="LEW70" s="137"/>
      <c r="LEX70" s="137"/>
      <c r="LEY70" s="137"/>
      <c r="LEZ70" s="137"/>
      <c r="LFA70" s="137"/>
      <c r="LFB70" s="137"/>
      <c r="LFC70" s="137"/>
      <c r="LFD70" s="137"/>
      <c r="LFE70" s="137"/>
      <c r="LFF70" s="137"/>
      <c r="LFG70" s="137"/>
      <c r="LFH70" s="137"/>
      <c r="LFI70" s="137"/>
      <c r="LFJ70" s="137"/>
      <c r="LFK70" s="137"/>
      <c r="LFL70" s="137"/>
      <c r="LFM70" s="137"/>
      <c r="LFN70" s="137"/>
      <c r="LFO70" s="137"/>
      <c r="LFP70" s="137"/>
      <c r="LFQ70" s="137"/>
      <c r="LFR70" s="137"/>
      <c r="LFS70" s="137"/>
      <c r="LFT70" s="137"/>
      <c r="LFU70" s="137"/>
      <c r="LFV70" s="137"/>
      <c r="LFW70" s="137"/>
      <c r="LFX70" s="137"/>
      <c r="LFY70" s="137"/>
      <c r="LFZ70" s="137"/>
      <c r="LGA70" s="137"/>
      <c r="LGB70" s="137"/>
      <c r="LGC70" s="137"/>
      <c r="LGD70" s="137"/>
      <c r="LGE70" s="137"/>
      <c r="LGF70" s="137"/>
      <c r="LGG70" s="137"/>
      <c r="LGH70" s="137"/>
      <c r="LGI70" s="137"/>
      <c r="LGJ70" s="137"/>
      <c r="LGK70" s="137"/>
      <c r="LGL70" s="137"/>
      <c r="LGM70" s="137"/>
      <c r="LGN70" s="137"/>
      <c r="LGO70" s="137"/>
      <c r="LGP70" s="137"/>
      <c r="LGQ70" s="137"/>
      <c r="LGR70" s="137"/>
      <c r="LGS70" s="137"/>
      <c r="LGT70" s="137"/>
      <c r="LGU70" s="137"/>
      <c r="LGV70" s="137"/>
      <c r="LGW70" s="137"/>
      <c r="LGX70" s="137"/>
      <c r="LGY70" s="137"/>
      <c r="LGZ70" s="137"/>
      <c r="LHA70" s="137"/>
      <c r="LHB70" s="137"/>
      <c r="LHC70" s="137"/>
      <c r="LHD70" s="137"/>
      <c r="LHE70" s="137"/>
      <c r="LHF70" s="137"/>
      <c r="LHG70" s="137"/>
      <c r="LHH70" s="137"/>
      <c r="LHI70" s="137"/>
      <c r="LHJ70" s="137"/>
      <c r="LHK70" s="137"/>
      <c r="LHL70" s="137"/>
      <c r="LHM70" s="137"/>
      <c r="LHN70" s="137"/>
      <c r="LHO70" s="137"/>
      <c r="LHP70" s="137"/>
      <c r="LHQ70" s="137"/>
      <c r="LHR70" s="137"/>
      <c r="LHS70" s="137"/>
      <c r="LHT70" s="137"/>
      <c r="LHU70" s="137"/>
      <c r="LHV70" s="137"/>
      <c r="LHW70" s="137"/>
      <c r="LHX70" s="137"/>
      <c r="LHY70" s="137"/>
      <c r="LHZ70" s="137"/>
      <c r="LIA70" s="137"/>
      <c r="LIB70" s="137"/>
      <c r="LIC70" s="137"/>
      <c r="LID70" s="137"/>
      <c r="LIE70" s="137"/>
      <c r="LIF70" s="137"/>
      <c r="LIG70" s="137"/>
      <c r="LIH70" s="137"/>
      <c r="LII70" s="137"/>
      <c r="LIJ70" s="137"/>
      <c r="LIK70" s="137"/>
      <c r="LIL70" s="137"/>
      <c r="LIM70" s="137"/>
      <c r="LIN70" s="137"/>
      <c r="LIO70" s="137"/>
      <c r="LIP70" s="137"/>
      <c r="LIQ70" s="137"/>
      <c r="LIR70" s="137"/>
      <c r="LIS70" s="137"/>
      <c r="LIT70" s="137"/>
      <c r="LIU70" s="137"/>
      <c r="LIV70" s="137"/>
      <c r="LIW70" s="137"/>
      <c r="LIX70" s="137"/>
      <c r="LIY70" s="137"/>
      <c r="LIZ70" s="137"/>
      <c r="LJA70" s="137"/>
      <c r="LJB70" s="137"/>
      <c r="LJC70" s="137"/>
      <c r="LJD70" s="137"/>
      <c r="LJE70" s="137"/>
      <c r="LJF70" s="137"/>
      <c r="LJG70" s="137"/>
      <c r="LJH70" s="137"/>
      <c r="LJI70" s="137"/>
      <c r="LJJ70" s="137"/>
      <c r="LJK70" s="137"/>
      <c r="LJL70" s="137"/>
      <c r="LJM70" s="137"/>
      <c r="LJN70" s="137"/>
      <c r="LJO70" s="137"/>
      <c r="LJP70" s="137"/>
      <c r="LJQ70" s="137"/>
      <c r="LJR70" s="137"/>
      <c r="LJS70" s="137"/>
      <c r="LJT70" s="137"/>
      <c r="LJU70" s="137"/>
      <c r="LJV70" s="137"/>
      <c r="LJW70" s="137"/>
      <c r="LJX70" s="137"/>
      <c r="LJY70" s="137"/>
      <c r="LJZ70" s="137"/>
      <c r="LKA70" s="137"/>
      <c r="LKB70" s="137"/>
      <c r="LKC70" s="137"/>
      <c r="LKD70" s="137"/>
      <c r="LKE70" s="137"/>
      <c r="LKF70" s="137"/>
      <c r="LKG70" s="137"/>
      <c r="LKH70" s="137"/>
      <c r="LKI70" s="137"/>
      <c r="LKJ70" s="137"/>
      <c r="LKK70" s="137"/>
      <c r="LKL70" s="137"/>
      <c r="LKM70" s="137"/>
      <c r="LKN70" s="137"/>
      <c r="LKO70" s="137"/>
      <c r="LKP70" s="137"/>
      <c r="LKQ70" s="137"/>
      <c r="LKR70" s="137"/>
      <c r="LKS70" s="137"/>
      <c r="LKT70" s="137"/>
      <c r="LKU70" s="137"/>
      <c r="LKV70" s="137"/>
      <c r="LKW70" s="137"/>
      <c r="LKX70" s="137"/>
      <c r="LKY70" s="137"/>
      <c r="LKZ70" s="137"/>
      <c r="LLA70" s="137"/>
      <c r="LLB70" s="137"/>
      <c r="LLC70" s="137"/>
      <c r="LLD70" s="137"/>
      <c r="LLE70" s="137"/>
      <c r="LLF70" s="137"/>
      <c r="LLG70" s="137"/>
      <c r="LLH70" s="137"/>
      <c r="LLI70" s="137"/>
      <c r="LLJ70" s="137"/>
      <c r="LLK70" s="137"/>
      <c r="LLL70" s="137"/>
      <c r="LLM70" s="137"/>
      <c r="LLN70" s="137"/>
      <c r="LLO70" s="137"/>
      <c r="LLP70" s="137"/>
      <c r="LLQ70" s="137"/>
      <c r="LLR70" s="137"/>
      <c r="LLS70" s="137"/>
      <c r="LLT70" s="137"/>
      <c r="LLU70" s="137"/>
      <c r="LLV70" s="137"/>
      <c r="LLW70" s="137"/>
      <c r="LLX70" s="137"/>
      <c r="LLY70" s="137"/>
      <c r="LLZ70" s="137"/>
      <c r="LMA70" s="137"/>
      <c r="LMB70" s="137"/>
      <c r="LMC70" s="137"/>
      <c r="LMD70" s="137"/>
      <c r="LME70" s="137"/>
      <c r="LMF70" s="137"/>
      <c r="LMG70" s="137"/>
      <c r="LMH70" s="137"/>
      <c r="LMI70" s="137"/>
      <c r="LMJ70" s="137"/>
      <c r="LMK70" s="137"/>
      <c r="LML70" s="137"/>
      <c r="LMM70" s="137"/>
      <c r="LMN70" s="137"/>
      <c r="LMO70" s="137"/>
      <c r="LMP70" s="137"/>
      <c r="LMQ70" s="137"/>
      <c r="LMR70" s="137"/>
      <c r="LMS70" s="137"/>
      <c r="LMT70" s="137"/>
      <c r="LMU70" s="137"/>
      <c r="LMV70" s="137"/>
      <c r="LMW70" s="137"/>
      <c r="LMX70" s="137"/>
      <c r="LMY70" s="137"/>
      <c r="LMZ70" s="137"/>
      <c r="LNA70" s="137"/>
      <c r="LNB70" s="137"/>
      <c r="LNC70" s="137"/>
      <c r="LND70" s="137"/>
      <c r="LNE70" s="137"/>
      <c r="LNF70" s="137"/>
      <c r="LNG70" s="137"/>
      <c r="LNH70" s="137"/>
      <c r="LNI70" s="137"/>
      <c r="LNJ70" s="137"/>
      <c r="LNK70" s="137"/>
      <c r="LNL70" s="137"/>
      <c r="LNM70" s="137"/>
      <c r="LNN70" s="137"/>
      <c r="LNO70" s="137"/>
      <c r="LNP70" s="137"/>
      <c r="LNQ70" s="137"/>
      <c r="LNR70" s="137"/>
      <c r="LNS70" s="137"/>
      <c r="LNT70" s="137"/>
      <c r="LNU70" s="137"/>
      <c r="LNV70" s="137"/>
      <c r="LNW70" s="137"/>
      <c r="LNX70" s="137"/>
      <c r="LNY70" s="137"/>
      <c r="LNZ70" s="137"/>
      <c r="LOA70" s="137"/>
      <c r="LOB70" s="137"/>
      <c r="LOC70" s="137"/>
      <c r="LOD70" s="137"/>
      <c r="LOE70" s="137"/>
      <c r="LOF70" s="137"/>
      <c r="LOG70" s="137"/>
      <c r="LOH70" s="137"/>
      <c r="LOI70" s="137"/>
      <c r="LOJ70" s="137"/>
      <c r="LOK70" s="137"/>
      <c r="LOL70" s="137"/>
      <c r="LOM70" s="137"/>
      <c r="LON70" s="137"/>
      <c r="LOO70" s="137"/>
      <c r="LOP70" s="137"/>
      <c r="LOQ70" s="137"/>
      <c r="LOR70" s="137"/>
      <c r="LOS70" s="137"/>
      <c r="LOT70" s="137"/>
      <c r="LOU70" s="137"/>
      <c r="LOV70" s="137"/>
      <c r="LOW70" s="137"/>
      <c r="LOX70" s="137"/>
      <c r="LOY70" s="137"/>
      <c r="LOZ70" s="137"/>
      <c r="LPA70" s="137"/>
      <c r="LPB70" s="137"/>
      <c r="LPC70" s="137"/>
      <c r="LPD70" s="137"/>
      <c r="LPE70" s="137"/>
      <c r="LPF70" s="137"/>
      <c r="LPG70" s="137"/>
      <c r="LPH70" s="137"/>
      <c r="LPI70" s="137"/>
      <c r="LPJ70" s="137"/>
      <c r="LPK70" s="137"/>
      <c r="LPL70" s="137"/>
      <c r="LPM70" s="137"/>
      <c r="LPN70" s="137"/>
      <c r="LPO70" s="137"/>
      <c r="LPP70" s="137"/>
      <c r="LPQ70" s="137"/>
      <c r="LPR70" s="137"/>
      <c r="LPS70" s="137"/>
      <c r="LPT70" s="137"/>
      <c r="LPU70" s="137"/>
      <c r="LPV70" s="137"/>
      <c r="LPW70" s="137"/>
      <c r="LPX70" s="137"/>
      <c r="LPY70" s="137"/>
      <c r="LPZ70" s="137"/>
      <c r="LQA70" s="137"/>
      <c r="LQB70" s="137"/>
      <c r="LQC70" s="137"/>
      <c r="LQD70" s="137"/>
      <c r="LQE70" s="137"/>
      <c r="LQF70" s="137"/>
      <c r="LQG70" s="137"/>
      <c r="LQH70" s="137"/>
      <c r="LQI70" s="137"/>
      <c r="LQJ70" s="137"/>
      <c r="LQK70" s="137"/>
      <c r="LQL70" s="137"/>
      <c r="LQM70" s="137"/>
      <c r="LQN70" s="137"/>
      <c r="LQO70" s="137"/>
      <c r="LQP70" s="137"/>
      <c r="LQQ70" s="137"/>
      <c r="LQR70" s="137"/>
      <c r="LQS70" s="137"/>
      <c r="LQT70" s="137"/>
      <c r="LQU70" s="137"/>
      <c r="LQV70" s="137"/>
      <c r="LQW70" s="137"/>
      <c r="LQX70" s="137"/>
      <c r="LQY70" s="137"/>
      <c r="LQZ70" s="137"/>
      <c r="LRA70" s="137"/>
      <c r="LRB70" s="137"/>
      <c r="LRC70" s="137"/>
      <c r="LRD70" s="137"/>
      <c r="LRE70" s="137"/>
      <c r="LRF70" s="137"/>
      <c r="LRG70" s="137"/>
      <c r="LRH70" s="137"/>
      <c r="LRI70" s="137"/>
      <c r="LRJ70" s="137"/>
      <c r="LRK70" s="137"/>
      <c r="LRL70" s="137"/>
      <c r="LRM70" s="137"/>
      <c r="LRN70" s="137"/>
      <c r="LRO70" s="137"/>
      <c r="LRP70" s="137"/>
      <c r="LRQ70" s="137"/>
      <c r="LRR70" s="137"/>
      <c r="LRS70" s="137"/>
      <c r="LRT70" s="137"/>
      <c r="LRU70" s="137"/>
      <c r="LRV70" s="137"/>
      <c r="LRW70" s="137"/>
      <c r="LRX70" s="137"/>
      <c r="LRY70" s="137"/>
      <c r="LRZ70" s="137"/>
      <c r="LSA70" s="137"/>
      <c r="LSB70" s="137"/>
      <c r="LSC70" s="137"/>
      <c r="LSD70" s="137"/>
      <c r="LSE70" s="137"/>
      <c r="LSF70" s="137"/>
      <c r="LSG70" s="137"/>
      <c r="LSH70" s="137"/>
      <c r="LSI70" s="137"/>
      <c r="LSJ70" s="137"/>
      <c r="LSK70" s="137"/>
      <c r="LSL70" s="137"/>
      <c r="LSM70" s="137"/>
      <c r="LSN70" s="137"/>
      <c r="LSO70" s="137"/>
      <c r="LSP70" s="137"/>
      <c r="LSQ70" s="137"/>
      <c r="LSR70" s="137"/>
      <c r="LSS70" s="137"/>
      <c r="LST70" s="137"/>
      <c r="LSU70" s="137"/>
      <c r="LSV70" s="137"/>
      <c r="LSW70" s="137"/>
      <c r="LSX70" s="137"/>
      <c r="LSY70" s="137"/>
      <c r="LSZ70" s="137"/>
      <c r="LTA70" s="137"/>
      <c r="LTB70" s="137"/>
      <c r="LTC70" s="137"/>
      <c r="LTD70" s="137"/>
      <c r="LTE70" s="137"/>
      <c r="LTF70" s="137"/>
      <c r="LTG70" s="137"/>
      <c r="LTH70" s="137"/>
      <c r="LTI70" s="137"/>
      <c r="LTJ70" s="137"/>
      <c r="LTK70" s="137"/>
      <c r="LTL70" s="137"/>
      <c r="LTM70" s="137"/>
      <c r="LTN70" s="137"/>
      <c r="LTO70" s="137"/>
      <c r="LTP70" s="137"/>
      <c r="LTQ70" s="137"/>
      <c r="LTR70" s="137"/>
      <c r="LTS70" s="137"/>
      <c r="LTT70" s="137"/>
      <c r="LTU70" s="137"/>
      <c r="LTV70" s="137"/>
      <c r="LTW70" s="137"/>
      <c r="LTX70" s="137"/>
      <c r="LTY70" s="137"/>
      <c r="LTZ70" s="137"/>
      <c r="LUA70" s="137"/>
      <c r="LUB70" s="137"/>
      <c r="LUC70" s="137"/>
      <c r="LUD70" s="137"/>
      <c r="LUE70" s="137"/>
      <c r="LUF70" s="137"/>
      <c r="LUG70" s="137"/>
      <c r="LUH70" s="137"/>
      <c r="LUI70" s="137"/>
      <c r="LUJ70" s="137"/>
      <c r="LUK70" s="137"/>
      <c r="LUL70" s="137"/>
      <c r="LUM70" s="137"/>
      <c r="LUN70" s="137"/>
      <c r="LUO70" s="137"/>
      <c r="LUP70" s="137"/>
      <c r="LUQ70" s="137"/>
      <c r="LUR70" s="137"/>
      <c r="LUS70" s="137"/>
      <c r="LUT70" s="137"/>
      <c r="LUU70" s="137"/>
      <c r="LUV70" s="137"/>
      <c r="LUW70" s="137"/>
      <c r="LUX70" s="137"/>
      <c r="LUY70" s="137"/>
      <c r="LUZ70" s="137"/>
      <c r="LVA70" s="137"/>
      <c r="LVB70" s="137"/>
      <c r="LVC70" s="137"/>
      <c r="LVD70" s="137"/>
      <c r="LVE70" s="137"/>
      <c r="LVF70" s="137"/>
      <c r="LVG70" s="137"/>
      <c r="LVH70" s="137"/>
      <c r="LVI70" s="137"/>
      <c r="LVJ70" s="137"/>
      <c r="LVK70" s="137"/>
      <c r="LVL70" s="137"/>
      <c r="LVM70" s="137"/>
      <c r="LVN70" s="137"/>
      <c r="LVO70" s="137"/>
      <c r="LVP70" s="137"/>
      <c r="LVQ70" s="137"/>
      <c r="LVR70" s="137"/>
      <c r="LVS70" s="137"/>
      <c r="LVT70" s="137"/>
      <c r="LVU70" s="137"/>
      <c r="LVV70" s="137"/>
      <c r="LVW70" s="137"/>
      <c r="LVX70" s="137"/>
      <c r="LVY70" s="137"/>
      <c r="LVZ70" s="137"/>
      <c r="LWA70" s="137"/>
      <c r="LWB70" s="137"/>
      <c r="LWC70" s="137"/>
      <c r="LWD70" s="137"/>
      <c r="LWE70" s="137"/>
      <c r="LWF70" s="137"/>
      <c r="LWG70" s="137"/>
      <c r="LWH70" s="137"/>
      <c r="LWI70" s="137"/>
      <c r="LWJ70" s="137"/>
      <c r="LWK70" s="137"/>
      <c r="LWL70" s="137"/>
      <c r="LWM70" s="137"/>
      <c r="LWN70" s="137"/>
      <c r="LWO70" s="137"/>
      <c r="LWP70" s="137"/>
      <c r="LWQ70" s="137"/>
      <c r="LWR70" s="137"/>
      <c r="LWS70" s="137"/>
      <c r="LWT70" s="137"/>
      <c r="LWU70" s="137"/>
      <c r="LWV70" s="137"/>
      <c r="LWW70" s="137"/>
      <c r="LWX70" s="137"/>
      <c r="LWY70" s="137"/>
      <c r="LWZ70" s="137"/>
      <c r="LXA70" s="137"/>
      <c r="LXB70" s="137"/>
      <c r="LXC70" s="137"/>
      <c r="LXD70" s="137"/>
      <c r="LXE70" s="137"/>
      <c r="LXF70" s="137"/>
      <c r="LXG70" s="137"/>
      <c r="LXH70" s="137"/>
      <c r="LXI70" s="137"/>
      <c r="LXJ70" s="137"/>
      <c r="LXK70" s="137"/>
      <c r="LXL70" s="137"/>
      <c r="LXM70" s="137"/>
      <c r="LXN70" s="137"/>
      <c r="LXO70" s="137"/>
      <c r="LXP70" s="137"/>
      <c r="LXQ70" s="137"/>
      <c r="LXR70" s="137"/>
      <c r="LXS70" s="137"/>
      <c r="LXT70" s="137"/>
      <c r="LXU70" s="137"/>
      <c r="LXV70" s="137"/>
      <c r="LXW70" s="137"/>
      <c r="LXX70" s="137"/>
      <c r="LXY70" s="137"/>
      <c r="LXZ70" s="137"/>
      <c r="LYA70" s="137"/>
      <c r="LYB70" s="137"/>
      <c r="LYC70" s="137"/>
      <c r="LYD70" s="137"/>
      <c r="LYE70" s="137"/>
      <c r="LYF70" s="137"/>
      <c r="LYG70" s="137"/>
      <c r="LYH70" s="137"/>
      <c r="LYI70" s="137"/>
      <c r="LYJ70" s="137"/>
      <c r="LYK70" s="137"/>
      <c r="LYL70" s="137"/>
      <c r="LYM70" s="137"/>
      <c r="LYN70" s="137"/>
      <c r="LYO70" s="137"/>
      <c r="LYP70" s="137"/>
      <c r="LYQ70" s="137"/>
      <c r="LYR70" s="137"/>
      <c r="LYS70" s="137"/>
      <c r="LYT70" s="137"/>
      <c r="LYU70" s="137"/>
      <c r="LYV70" s="137"/>
      <c r="LYW70" s="137"/>
      <c r="LYX70" s="137"/>
      <c r="LYY70" s="137"/>
      <c r="LYZ70" s="137"/>
      <c r="LZA70" s="137"/>
      <c r="LZB70" s="137"/>
      <c r="LZC70" s="137"/>
      <c r="LZD70" s="137"/>
      <c r="LZE70" s="137"/>
      <c r="LZF70" s="137"/>
      <c r="LZG70" s="137"/>
      <c r="LZH70" s="137"/>
      <c r="LZI70" s="137"/>
      <c r="LZJ70" s="137"/>
      <c r="LZK70" s="137"/>
      <c r="LZL70" s="137"/>
      <c r="LZM70" s="137"/>
      <c r="LZN70" s="137"/>
      <c r="LZO70" s="137"/>
      <c r="LZP70" s="137"/>
      <c r="LZQ70" s="137"/>
      <c r="LZR70" s="137"/>
      <c r="LZS70" s="137"/>
      <c r="LZT70" s="137"/>
      <c r="LZU70" s="137"/>
      <c r="LZV70" s="137"/>
      <c r="LZW70" s="137"/>
      <c r="LZX70" s="137"/>
      <c r="LZY70" s="137"/>
      <c r="LZZ70" s="137"/>
      <c r="MAA70" s="137"/>
      <c r="MAB70" s="137"/>
      <c r="MAC70" s="137"/>
      <c r="MAD70" s="137"/>
      <c r="MAE70" s="137"/>
      <c r="MAF70" s="137"/>
      <c r="MAG70" s="137"/>
      <c r="MAH70" s="137"/>
      <c r="MAI70" s="137"/>
      <c r="MAJ70" s="137"/>
      <c r="MAK70" s="137"/>
      <c r="MAL70" s="137"/>
      <c r="MAM70" s="137"/>
      <c r="MAN70" s="137"/>
      <c r="MAO70" s="137"/>
      <c r="MAP70" s="137"/>
      <c r="MAQ70" s="137"/>
      <c r="MAR70" s="137"/>
      <c r="MAS70" s="137"/>
      <c r="MAT70" s="137"/>
      <c r="MAU70" s="137"/>
      <c r="MAV70" s="137"/>
      <c r="MAW70" s="137"/>
      <c r="MAX70" s="137"/>
      <c r="MAY70" s="137"/>
      <c r="MAZ70" s="137"/>
      <c r="MBA70" s="137"/>
      <c r="MBB70" s="137"/>
      <c r="MBC70" s="137"/>
      <c r="MBD70" s="137"/>
      <c r="MBE70" s="137"/>
      <c r="MBF70" s="137"/>
      <c r="MBG70" s="137"/>
      <c r="MBH70" s="137"/>
      <c r="MBI70" s="137"/>
      <c r="MBJ70" s="137"/>
      <c r="MBK70" s="137"/>
      <c r="MBL70" s="137"/>
      <c r="MBM70" s="137"/>
      <c r="MBN70" s="137"/>
      <c r="MBO70" s="137"/>
      <c r="MBP70" s="137"/>
      <c r="MBQ70" s="137"/>
      <c r="MBR70" s="137"/>
      <c r="MBS70" s="137"/>
      <c r="MBT70" s="137"/>
      <c r="MBU70" s="137"/>
      <c r="MBV70" s="137"/>
      <c r="MBW70" s="137"/>
      <c r="MBX70" s="137"/>
      <c r="MBY70" s="137"/>
      <c r="MBZ70" s="137"/>
      <c r="MCA70" s="137"/>
      <c r="MCB70" s="137"/>
      <c r="MCC70" s="137"/>
      <c r="MCD70" s="137"/>
      <c r="MCE70" s="137"/>
      <c r="MCF70" s="137"/>
      <c r="MCG70" s="137"/>
      <c r="MCH70" s="137"/>
      <c r="MCI70" s="137"/>
      <c r="MCJ70" s="137"/>
      <c r="MCK70" s="137"/>
      <c r="MCL70" s="137"/>
      <c r="MCM70" s="137"/>
      <c r="MCN70" s="137"/>
      <c r="MCO70" s="137"/>
      <c r="MCP70" s="137"/>
      <c r="MCQ70" s="137"/>
      <c r="MCR70" s="137"/>
      <c r="MCS70" s="137"/>
      <c r="MCT70" s="137"/>
      <c r="MCU70" s="137"/>
      <c r="MCV70" s="137"/>
      <c r="MCW70" s="137"/>
      <c r="MCX70" s="137"/>
      <c r="MCY70" s="137"/>
      <c r="MCZ70" s="137"/>
      <c r="MDA70" s="137"/>
      <c r="MDB70" s="137"/>
      <c r="MDC70" s="137"/>
      <c r="MDD70" s="137"/>
      <c r="MDE70" s="137"/>
      <c r="MDF70" s="137"/>
      <c r="MDG70" s="137"/>
      <c r="MDH70" s="137"/>
      <c r="MDI70" s="137"/>
      <c r="MDJ70" s="137"/>
      <c r="MDK70" s="137"/>
      <c r="MDL70" s="137"/>
      <c r="MDM70" s="137"/>
      <c r="MDN70" s="137"/>
      <c r="MDO70" s="137"/>
      <c r="MDP70" s="137"/>
      <c r="MDQ70" s="137"/>
      <c r="MDR70" s="137"/>
      <c r="MDS70" s="137"/>
      <c r="MDT70" s="137"/>
      <c r="MDU70" s="137"/>
      <c r="MDV70" s="137"/>
      <c r="MDW70" s="137"/>
      <c r="MDX70" s="137"/>
      <c r="MDY70" s="137"/>
      <c r="MDZ70" s="137"/>
      <c r="MEA70" s="137"/>
      <c r="MEB70" s="137"/>
      <c r="MEC70" s="137"/>
      <c r="MED70" s="137"/>
      <c r="MEE70" s="137"/>
      <c r="MEF70" s="137"/>
      <c r="MEG70" s="137"/>
      <c r="MEH70" s="137"/>
      <c r="MEI70" s="137"/>
      <c r="MEJ70" s="137"/>
      <c r="MEK70" s="137"/>
      <c r="MEL70" s="137"/>
      <c r="MEM70" s="137"/>
      <c r="MEN70" s="137"/>
      <c r="MEO70" s="137"/>
      <c r="MEP70" s="137"/>
      <c r="MEQ70" s="137"/>
      <c r="MER70" s="137"/>
      <c r="MES70" s="137"/>
      <c r="MET70" s="137"/>
      <c r="MEU70" s="137"/>
      <c r="MEV70" s="137"/>
      <c r="MEW70" s="137"/>
      <c r="MEX70" s="137"/>
      <c r="MEY70" s="137"/>
      <c r="MEZ70" s="137"/>
      <c r="MFA70" s="137"/>
      <c r="MFB70" s="137"/>
      <c r="MFC70" s="137"/>
      <c r="MFD70" s="137"/>
      <c r="MFE70" s="137"/>
      <c r="MFF70" s="137"/>
      <c r="MFG70" s="137"/>
      <c r="MFH70" s="137"/>
      <c r="MFI70" s="137"/>
      <c r="MFJ70" s="137"/>
      <c r="MFK70" s="137"/>
      <c r="MFL70" s="137"/>
      <c r="MFM70" s="137"/>
      <c r="MFN70" s="137"/>
      <c r="MFO70" s="137"/>
      <c r="MFP70" s="137"/>
      <c r="MFQ70" s="137"/>
      <c r="MFR70" s="137"/>
      <c r="MFS70" s="137"/>
      <c r="MFT70" s="137"/>
      <c r="MFU70" s="137"/>
      <c r="MFV70" s="137"/>
      <c r="MFW70" s="137"/>
      <c r="MFX70" s="137"/>
      <c r="MFY70" s="137"/>
      <c r="MFZ70" s="137"/>
      <c r="MGA70" s="137"/>
      <c r="MGB70" s="137"/>
      <c r="MGC70" s="137"/>
      <c r="MGD70" s="137"/>
      <c r="MGE70" s="137"/>
      <c r="MGF70" s="137"/>
      <c r="MGG70" s="137"/>
      <c r="MGH70" s="137"/>
      <c r="MGI70" s="137"/>
      <c r="MGJ70" s="137"/>
      <c r="MGK70" s="137"/>
      <c r="MGL70" s="137"/>
      <c r="MGM70" s="137"/>
      <c r="MGN70" s="137"/>
      <c r="MGO70" s="137"/>
      <c r="MGP70" s="137"/>
      <c r="MGQ70" s="137"/>
      <c r="MGR70" s="137"/>
      <c r="MGS70" s="137"/>
      <c r="MGT70" s="137"/>
      <c r="MGU70" s="137"/>
      <c r="MGV70" s="137"/>
      <c r="MGW70" s="137"/>
      <c r="MGX70" s="137"/>
      <c r="MGY70" s="137"/>
      <c r="MGZ70" s="137"/>
      <c r="MHA70" s="137"/>
      <c r="MHB70" s="137"/>
      <c r="MHC70" s="137"/>
      <c r="MHD70" s="137"/>
      <c r="MHE70" s="137"/>
      <c r="MHF70" s="137"/>
      <c r="MHG70" s="137"/>
      <c r="MHH70" s="137"/>
      <c r="MHI70" s="137"/>
      <c r="MHJ70" s="137"/>
      <c r="MHK70" s="137"/>
      <c r="MHL70" s="137"/>
      <c r="MHM70" s="137"/>
      <c r="MHN70" s="137"/>
      <c r="MHO70" s="137"/>
      <c r="MHP70" s="137"/>
      <c r="MHQ70" s="137"/>
      <c r="MHR70" s="137"/>
      <c r="MHS70" s="137"/>
      <c r="MHT70" s="137"/>
      <c r="MHU70" s="137"/>
      <c r="MHV70" s="137"/>
      <c r="MHW70" s="137"/>
      <c r="MHX70" s="137"/>
      <c r="MHY70" s="137"/>
      <c r="MHZ70" s="137"/>
      <c r="MIA70" s="137"/>
      <c r="MIB70" s="137"/>
      <c r="MIC70" s="137"/>
      <c r="MID70" s="137"/>
      <c r="MIE70" s="137"/>
      <c r="MIF70" s="137"/>
      <c r="MIG70" s="137"/>
      <c r="MIH70" s="137"/>
      <c r="MII70" s="137"/>
      <c r="MIJ70" s="137"/>
      <c r="MIK70" s="137"/>
      <c r="MIL70" s="137"/>
      <c r="MIM70" s="137"/>
      <c r="MIN70" s="137"/>
      <c r="MIO70" s="137"/>
      <c r="MIP70" s="137"/>
      <c r="MIQ70" s="137"/>
      <c r="MIR70" s="137"/>
      <c r="MIS70" s="137"/>
      <c r="MIT70" s="137"/>
      <c r="MIU70" s="137"/>
      <c r="MIV70" s="137"/>
      <c r="MIW70" s="137"/>
      <c r="MIX70" s="137"/>
      <c r="MIY70" s="137"/>
      <c r="MIZ70" s="137"/>
      <c r="MJA70" s="137"/>
      <c r="MJB70" s="137"/>
      <c r="MJC70" s="137"/>
      <c r="MJD70" s="137"/>
      <c r="MJE70" s="137"/>
      <c r="MJF70" s="137"/>
      <c r="MJG70" s="137"/>
      <c r="MJH70" s="137"/>
      <c r="MJI70" s="137"/>
      <c r="MJJ70" s="137"/>
      <c r="MJK70" s="137"/>
      <c r="MJL70" s="137"/>
      <c r="MJM70" s="137"/>
      <c r="MJN70" s="137"/>
      <c r="MJO70" s="137"/>
      <c r="MJP70" s="137"/>
      <c r="MJQ70" s="137"/>
      <c r="MJR70" s="137"/>
      <c r="MJS70" s="137"/>
      <c r="MJT70" s="137"/>
      <c r="MJU70" s="137"/>
      <c r="MJV70" s="137"/>
      <c r="MJW70" s="137"/>
      <c r="MJX70" s="137"/>
      <c r="MJY70" s="137"/>
      <c r="MJZ70" s="137"/>
      <c r="MKA70" s="137"/>
      <c r="MKB70" s="137"/>
      <c r="MKC70" s="137"/>
      <c r="MKD70" s="137"/>
      <c r="MKE70" s="137"/>
      <c r="MKF70" s="137"/>
      <c r="MKG70" s="137"/>
      <c r="MKH70" s="137"/>
      <c r="MKI70" s="137"/>
      <c r="MKJ70" s="137"/>
      <c r="MKK70" s="137"/>
      <c r="MKL70" s="137"/>
      <c r="MKM70" s="137"/>
      <c r="MKN70" s="137"/>
      <c r="MKO70" s="137"/>
      <c r="MKP70" s="137"/>
      <c r="MKQ70" s="137"/>
      <c r="MKR70" s="137"/>
      <c r="MKS70" s="137"/>
      <c r="MKT70" s="137"/>
      <c r="MKU70" s="137"/>
      <c r="MKV70" s="137"/>
      <c r="MKW70" s="137"/>
      <c r="MKX70" s="137"/>
      <c r="MKY70" s="137"/>
      <c r="MKZ70" s="137"/>
      <c r="MLA70" s="137"/>
      <c r="MLB70" s="137"/>
      <c r="MLC70" s="137"/>
      <c r="MLD70" s="137"/>
      <c r="MLE70" s="137"/>
      <c r="MLF70" s="137"/>
      <c r="MLG70" s="137"/>
      <c r="MLH70" s="137"/>
      <c r="MLI70" s="137"/>
      <c r="MLJ70" s="137"/>
      <c r="MLK70" s="137"/>
      <c r="MLL70" s="137"/>
      <c r="MLM70" s="137"/>
      <c r="MLN70" s="137"/>
      <c r="MLO70" s="137"/>
      <c r="MLP70" s="137"/>
      <c r="MLQ70" s="137"/>
      <c r="MLR70" s="137"/>
      <c r="MLS70" s="137"/>
      <c r="MLT70" s="137"/>
      <c r="MLU70" s="137"/>
      <c r="MLV70" s="137"/>
      <c r="MLW70" s="137"/>
      <c r="MLX70" s="137"/>
      <c r="MLY70" s="137"/>
      <c r="MLZ70" s="137"/>
      <c r="MMA70" s="137"/>
      <c r="MMB70" s="137"/>
      <c r="MMC70" s="137"/>
      <c r="MMD70" s="137"/>
      <c r="MME70" s="137"/>
      <c r="MMF70" s="137"/>
      <c r="MMG70" s="137"/>
      <c r="MMH70" s="137"/>
      <c r="MMI70" s="137"/>
      <c r="MMJ70" s="137"/>
      <c r="MMK70" s="137"/>
      <c r="MML70" s="137"/>
      <c r="MMM70" s="137"/>
      <c r="MMN70" s="137"/>
      <c r="MMO70" s="137"/>
      <c r="MMP70" s="137"/>
      <c r="MMQ70" s="137"/>
      <c r="MMR70" s="137"/>
      <c r="MMS70" s="137"/>
      <c r="MMT70" s="137"/>
      <c r="MMU70" s="137"/>
      <c r="MMV70" s="137"/>
      <c r="MMW70" s="137"/>
      <c r="MMX70" s="137"/>
      <c r="MMY70" s="137"/>
      <c r="MMZ70" s="137"/>
      <c r="MNA70" s="137"/>
      <c r="MNB70" s="137"/>
      <c r="MNC70" s="137"/>
      <c r="MND70" s="137"/>
      <c r="MNE70" s="137"/>
      <c r="MNF70" s="137"/>
      <c r="MNG70" s="137"/>
      <c r="MNH70" s="137"/>
      <c r="MNI70" s="137"/>
      <c r="MNJ70" s="137"/>
      <c r="MNK70" s="137"/>
      <c r="MNL70" s="137"/>
      <c r="MNM70" s="137"/>
      <c r="MNN70" s="137"/>
      <c r="MNO70" s="137"/>
      <c r="MNP70" s="137"/>
      <c r="MNQ70" s="137"/>
      <c r="MNR70" s="137"/>
      <c r="MNS70" s="137"/>
      <c r="MNT70" s="137"/>
      <c r="MNU70" s="137"/>
      <c r="MNV70" s="137"/>
      <c r="MNW70" s="137"/>
      <c r="MNX70" s="137"/>
      <c r="MNY70" s="137"/>
      <c r="MNZ70" s="137"/>
      <c r="MOA70" s="137"/>
      <c r="MOB70" s="137"/>
      <c r="MOC70" s="137"/>
      <c r="MOD70" s="137"/>
      <c r="MOE70" s="137"/>
      <c r="MOF70" s="137"/>
      <c r="MOG70" s="137"/>
      <c r="MOH70" s="137"/>
      <c r="MOI70" s="137"/>
      <c r="MOJ70" s="137"/>
      <c r="MOK70" s="137"/>
      <c r="MOL70" s="137"/>
      <c r="MOM70" s="137"/>
      <c r="MON70" s="137"/>
      <c r="MOO70" s="137"/>
      <c r="MOP70" s="137"/>
      <c r="MOQ70" s="137"/>
      <c r="MOR70" s="137"/>
      <c r="MOS70" s="137"/>
      <c r="MOT70" s="137"/>
      <c r="MOU70" s="137"/>
      <c r="MOV70" s="137"/>
      <c r="MOW70" s="137"/>
      <c r="MOX70" s="137"/>
      <c r="MOY70" s="137"/>
      <c r="MOZ70" s="137"/>
      <c r="MPA70" s="137"/>
      <c r="MPB70" s="137"/>
      <c r="MPC70" s="137"/>
      <c r="MPD70" s="137"/>
      <c r="MPE70" s="137"/>
      <c r="MPF70" s="137"/>
      <c r="MPG70" s="137"/>
      <c r="MPH70" s="137"/>
      <c r="MPI70" s="137"/>
      <c r="MPJ70" s="137"/>
      <c r="MPK70" s="137"/>
      <c r="MPL70" s="137"/>
      <c r="MPM70" s="137"/>
      <c r="MPN70" s="137"/>
      <c r="MPO70" s="137"/>
      <c r="MPP70" s="137"/>
      <c r="MPQ70" s="137"/>
      <c r="MPR70" s="137"/>
      <c r="MPS70" s="137"/>
      <c r="MPT70" s="137"/>
      <c r="MPU70" s="137"/>
      <c r="MPV70" s="137"/>
      <c r="MPW70" s="137"/>
      <c r="MPX70" s="137"/>
      <c r="MPY70" s="137"/>
      <c r="MPZ70" s="137"/>
      <c r="MQA70" s="137"/>
      <c r="MQB70" s="137"/>
      <c r="MQC70" s="137"/>
      <c r="MQD70" s="137"/>
      <c r="MQE70" s="137"/>
      <c r="MQF70" s="137"/>
      <c r="MQG70" s="137"/>
      <c r="MQH70" s="137"/>
      <c r="MQI70" s="137"/>
      <c r="MQJ70" s="137"/>
      <c r="MQK70" s="137"/>
      <c r="MQL70" s="137"/>
      <c r="MQM70" s="137"/>
      <c r="MQN70" s="137"/>
      <c r="MQO70" s="137"/>
      <c r="MQP70" s="137"/>
      <c r="MQQ70" s="137"/>
      <c r="MQR70" s="137"/>
      <c r="MQS70" s="137"/>
      <c r="MQT70" s="137"/>
      <c r="MQU70" s="137"/>
      <c r="MQV70" s="137"/>
      <c r="MQW70" s="137"/>
      <c r="MQX70" s="137"/>
      <c r="MQY70" s="137"/>
      <c r="MQZ70" s="137"/>
      <c r="MRA70" s="137"/>
      <c r="MRB70" s="137"/>
      <c r="MRC70" s="137"/>
      <c r="MRD70" s="137"/>
      <c r="MRE70" s="137"/>
      <c r="MRF70" s="137"/>
      <c r="MRG70" s="137"/>
      <c r="MRH70" s="137"/>
      <c r="MRI70" s="137"/>
      <c r="MRJ70" s="137"/>
      <c r="MRK70" s="137"/>
      <c r="MRL70" s="137"/>
      <c r="MRM70" s="137"/>
      <c r="MRN70" s="137"/>
      <c r="MRO70" s="137"/>
      <c r="MRP70" s="137"/>
      <c r="MRQ70" s="137"/>
      <c r="MRR70" s="137"/>
      <c r="MRS70" s="137"/>
      <c r="MRT70" s="137"/>
      <c r="MRU70" s="137"/>
      <c r="MRV70" s="137"/>
      <c r="MRW70" s="137"/>
      <c r="MRX70" s="137"/>
      <c r="MRY70" s="137"/>
      <c r="MRZ70" s="137"/>
      <c r="MSA70" s="137"/>
      <c r="MSB70" s="137"/>
      <c r="MSC70" s="137"/>
      <c r="MSD70" s="137"/>
      <c r="MSE70" s="137"/>
      <c r="MSF70" s="137"/>
      <c r="MSG70" s="137"/>
      <c r="MSH70" s="137"/>
      <c r="MSI70" s="137"/>
      <c r="MSJ70" s="137"/>
      <c r="MSK70" s="137"/>
      <c r="MSL70" s="137"/>
      <c r="MSM70" s="137"/>
      <c r="MSN70" s="137"/>
      <c r="MSO70" s="137"/>
      <c r="MSP70" s="137"/>
      <c r="MSQ70" s="137"/>
      <c r="MSR70" s="137"/>
      <c r="MSS70" s="137"/>
      <c r="MST70" s="137"/>
      <c r="MSU70" s="137"/>
      <c r="MSV70" s="137"/>
      <c r="MSW70" s="137"/>
      <c r="MSX70" s="137"/>
      <c r="MSY70" s="137"/>
      <c r="MSZ70" s="137"/>
      <c r="MTA70" s="137"/>
      <c r="MTB70" s="137"/>
      <c r="MTC70" s="137"/>
      <c r="MTD70" s="137"/>
      <c r="MTE70" s="137"/>
      <c r="MTF70" s="137"/>
      <c r="MTG70" s="137"/>
      <c r="MTH70" s="137"/>
      <c r="MTI70" s="137"/>
      <c r="MTJ70" s="137"/>
      <c r="MTK70" s="137"/>
      <c r="MTL70" s="137"/>
      <c r="MTM70" s="137"/>
      <c r="MTN70" s="137"/>
      <c r="MTO70" s="137"/>
      <c r="MTP70" s="137"/>
      <c r="MTQ70" s="137"/>
      <c r="MTR70" s="137"/>
      <c r="MTS70" s="137"/>
      <c r="MTT70" s="137"/>
      <c r="MTU70" s="137"/>
      <c r="MTV70" s="137"/>
      <c r="MTW70" s="137"/>
      <c r="MTX70" s="137"/>
      <c r="MTY70" s="137"/>
      <c r="MTZ70" s="137"/>
      <c r="MUA70" s="137"/>
      <c r="MUB70" s="137"/>
      <c r="MUC70" s="137"/>
      <c r="MUD70" s="137"/>
      <c r="MUE70" s="137"/>
      <c r="MUF70" s="137"/>
      <c r="MUG70" s="137"/>
      <c r="MUH70" s="137"/>
      <c r="MUI70" s="137"/>
      <c r="MUJ70" s="137"/>
      <c r="MUK70" s="137"/>
      <c r="MUL70" s="137"/>
      <c r="MUM70" s="137"/>
      <c r="MUN70" s="137"/>
      <c r="MUO70" s="137"/>
      <c r="MUP70" s="137"/>
      <c r="MUQ70" s="137"/>
      <c r="MUR70" s="137"/>
      <c r="MUS70" s="137"/>
      <c r="MUT70" s="137"/>
      <c r="MUU70" s="137"/>
      <c r="MUV70" s="137"/>
      <c r="MUW70" s="137"/>
      <c r="MUX70" s="137"/>
      <c r="MUY70" s="137"/>
      <c r="MUZ70" s="137"/>
      <c r="MVA70" s="137"/>
      <c r="MVB70" s="137"/>
      <c r="MVC70" s="137"/>
      <c r="MVD70" s="137"/>
      <c r="MVE70" s="137"/>
      <c r="MVF70" s="137"/>
      <c r="MVG70" s="137"/>
      <c r="MVH70" s="137"/>
      <c r="MVI70" s="137"/>
      <c r="MVJ70" s="137"/>
      <c r="MVK70" s="137"/>
      <c r="MVL70" s="137"/>
      <c r="MVM70" s="137"/>
      <c r="MVN70" s="137"/>
      <c r="MVO70" s="137"/>
      <c r="MVP70" s="137"/>
      <c r="MVQ70" s="137"/>
      <c r="MVR70" s="137"/>
      <c r="MVS70" s="137"/>
      <c r="MVT70" s="137"/>
      <c r="MVU70" s="137"/>
      <c r="MVV70" s="137"/>
      <c r="MVW70" s="137"/>
      <c r="MVX70" s="137"/>
      <c r="MVY70" s="137"/>
      <c r="MVZ70" s="137"/>
      <c r="MWA70" s="137"/>
      <c r="MWB70" s="137"/>
      <c r="MWC70" s="137"/>
      <c r="MWD70" s="137"/>
      <c r="MWE70" s="137"/>
      <c r="MWF70" s="137"/>
      <c r="MWG70" s="137"/>
      <c r="MWH70" s="137"/>
      <c r="MWI70" s="137"/>
      <c r="MWJ70" s="137"/>
      <c r="MWK70" s="137"/>
      <c r="MWL70" s="137"/>
      <c r="MWM70" s="137"/>
      <c r="MWN70" s="137"/>
      <c r="MWO70" s="137"/>
      <c r="MWP70" s="137"/>
      <c r="MWQ70" s="137"/>
      <c r="MWR70" s="137"/>
      <c r="MWS70" s="137"/>
      <c r="MWT70" s="137"/>
      <c r="MWU70" s="137"/>
      <c r="MWV70" s="137"/>
      <c r="MWW70" s="137"/>
      <c r="MWX70" s="137"/>
      <c r="MWY70" s="137"/>
      <c r="MWZ70" s="137"/>
      <c r="MXA70" s="137"/>
      <c r="MXB70" s="137"/>
      <c r="MXC70" s="137"/>
      <c r="MXD70" s="137"/>
      <c r="MXE70" s="137"/>
      <c r="MXF70" s="137"/>
      <c r="MXG70" s="137"/>
      <c r="MXH70" s="137"/>
      <c r="MXI70" s="137"/>
      <c r="MXJ70" s="137"/>
      <c r="MXK70" s="137"/>
      <c r="MXL70" s="137"/>
      <c r="MXM70" s="137"/>
      <c r="MXN70" s="137"/>
      <c r="MXO70" s="137"/>
      <c r="MXP70" s="137"/>
      <c r="MXQ70" s="137"/>
      <c r="MXR70" s="137"/>
      <c r="MXS70" s="137"/>
      <c r="MXT70" s="137"/>
      <c r="MXU70" s="137"/>
      <c r="MXV70" s="137"/>
      <c r="MXW70" s="137"/>
      <c r="MXX70" s="137"/>
      <c r="MXY70" s="137"/>
      <c r="MXZ70" s="137"/>
      <c r="MYA70" s="137"/>
      <c r="MYB70" s="137"/>
      <c r="MYC70" s="137"/>
      <c r="MYD70" s="137"/>
      <c r="MYE70" s="137"/>
      <c r="MYF70" s="137"/>
      <c r="MYG70" s="137"/>
      <c r="MYH70" s="137"/>
      <c r="MYI70" s="137"/>
      <c r="MYJ70" s="137"/>
      <c r="MYK70" s="137"/>
      <c r="MYL70" s="137"/>
      <c r="MYM70" s="137"/>
      <c r="MYN70" s="137"/>
      <c r="MYO70" s="137"/>
      <c r="MYP70" s="137"/>
      <c r="MYQ70" s="137"/>
      <c r="MYR70" s="137"/>
      <c r="MYS70" s="137"/>
      <c r="MYT70" s="137"/>
      <c r="MYU70" s="137"/>
      <c r="MYV70" s="137"/>
      <c r="MYW70" s="137"/>
      <c r="MYX70" s="137"/>
      <c r="MYY70" s="137"/>
      <c r="MYZ70" s="137"/>
      <c r="MZA70" s="137"/>
      <c r="MZB70" s="137"/>
      <c r="MZC70" s="137"/>
      <c r="MZD70" s="137"/>
      <c r="MZE70" s="137"/>
      <c r="MZF70" s="137"/>
      <c r="MZG70" s="137"/>
      <c r="MZH70" s="137"/>
      <c r="MZI70" s="137"/>
      <c r="MZJ70" s="137"/>
      <c r="MZK70" s="137"/>
      <c r="MZL70" s="137"/>
      <c r="MZM70" s="137"/>
      <c r="MZN70" s="137"/>
      <c r="MZO70" s="137"/>
      <c r="MZP70" s="137"/>
      <c r="MZQ70" s="137"/>
      <c r="MZR70" s="137"/>
      <c r="MZS70" s="137"/>
      <c r="MZT70" s="137"/>
      <c r="MZU70" s="137"/>
      <c r="MZV70" s="137"/>
      <c r="MZW70" s="137"/>
      <c r="MZX70" s="137"/>
      <c r="MZY70" s="137"/>
      <c r="MZZ70" s="137"/>
      <c r="NAA70" s="137"/>
      <c r="NAB70" s="137"/>
      <c r="NAC70" s="137"/>
      <c r="NAD70" s="137"/>
      <c r="NAE70" s="137"/>
      <c r="NAF70" s="137"/>
      <c r="NAG70" s="137"/>
      <c r="NAH70" s="137"/>
      <c r="NAI70" s="137"/>
      <c r="NAJ70" s="137"/>
      <c r="NAK70" s="137"/>
      <c r="NAL70" s="137"/>
      <c r="NAM70" s="137"/>
      <c r="NAN70" s="137"/>
      <c r="NAO70" s="137"/>
      <c r="NAP70" s="137"/>
      <c r="NAQ70" s="137"/>
      <c r="NAR70" s="137"/>
      <c r="NAS70" s="137"/>
      <c r="NAT70" s="137"/>
      <c r="NAU70" s="137"/>
      <c r="NAV70" s="137"/>
      <c r="NAW70" s="137"/>
      <c r="NAX70" s="137"/>
      <c r="NAY70" s="137"/>
      <c r="NAZ70" s="137"/>
      <c r="NBA70" s="137"/>
      <c r="NBB70" s="137"/>
      <c r="NBC70" s="137"/>
      <c r="NBD70" s="137"/>
      <c r="NBE70" s="137"/>
      <c r="NBF70" s="137"/>
      <c r="NBG70" s="137"/>
      <c r="NBH70" s="137"/>
      <c r="NBI70" s="137"/>
      <c r="NBJ70" s="137"/>
      <c r="NBK70" s="137"/>
      <c r="NBL70" s="137"/>
      <c r="NBM70" s="137"/>
      <c r="NBN70" s="137"/>
      <c r="NBO70" s="137"/>
      <c r="NBP70" s="137"/>
      <c r="NBQ70" s="137"/>
      <c r="NBR70" s="137"/>
      <c r="NBS70" s="137"/>
      <c r="NBT70" s="137"/>
      <c r="NBU70" s="137"/>
      <c r="NBV70" s="137"/>
      <c r="NBW70" s="137"/>
      <c r="NBX70" s="137"/>
      <c r="NBY70" s="137"/>
      <c r="NBZ70" s="137"/>
      <c r="NCA70" s="137"/>
      <c r="NCB70" s="137"/>
      <c r="NCC70" s="137"/>
      <c r="NCD70" s="137"/>
      <c r="NCE70" s="137"/>
      <c r="NCF70" s="137"/>
      <c r="NCG70" s="137"/>
      <c r="NCH70" s="137"/>
      <c r="NCI70" s="137"/>
      <c r="NCJ70" s="137"/>
      <c r="NCK70" s="137"/>
      <c r="NCL70" s="137"/>
      <c r="NCM70" s="137"/>
      <c r="NCN70" s="137"/>
      <c r="NCO70" s="137"/>
      <c r="NCP70" s="137"/>
      <c r="NCQ70" s="137"/>
      <c r="NCR70" s="137"/>
      <c r="NCS70" s="137"/>
      <c r="NCT70" s="137"/>
      <c r="NCU70" s="137"/>
      <c r="NCV70" s="137"/>
      <c r="NCW70" s="137"/>
      <c r="NCX70" s="137"/>
      <c r="NCY70" s="137"/>
      <c r="NCZ70" s="137"/>
      <c r="NDA70" s="137"/>
      <c r="NDB70" s="137"/>
      <c r="NDC70" s="137"/>
      <c r="NDD70" s="137"/>
      <c r="NDE70" s="137"/>
      <c r="NDF70" s="137"/>
      <c r="NDG70" s="137"/>
      <c r="NDH70" s="137"/>
      <c r="NDI70" s="137"/>
      <c r="NDJ70" s="137"/>
      <c r="NDK70" s="137"/>
      <c r="NDL70" s="137"/>
      <c r="NDM70" s="137"/>
      <c r="NDN70" s="137"/>
      <c r="NDO70" s="137"/>
      <c r="NDP70" s="137"/>
      <c r="NDQ70" s="137"/>
      <c r="NDR70" s="137"/>
      <c r="NDS70" s="137"/>
      <c r="NDT70" s="137"/>
      <c r="NDU70" s="137"/>
      <c r="NDV70" s="137"/>
      <c r="NDW70" s="137"/>
      <c r="NDX70" s="137"/>
      <c r="NDY70" s="137"/>
      <c r="NDZ70" s="137"/>
      <c r="NEA70" s="137"/>
      <c r="NEB70" s="137"/>
      <c r="NEC70" s="137"/>
      <c r="NED70" s="137"/>
      <c r="NEE70" s="137"/>
      <c r="NEF70" s="137"/>
      <c r="NEG70" s="137"/>
      <c r="NEH70" s="137"/>
      <c r="NEI70" s="137"/>
      <c r="NEJ70" s="137"/>
      <c r="NEK70" s="137"/>
      <c r="NEL70" s="137"/>
      <c r="NEM70" s="137"/>
      <c r="NEN70" s="137"/>
      <c r="NEO70" s="137"/>
      <c r="NEP70" s="137"/>
      <c r="NEQ70" s="137"/>
      <c r="NER70" s="137"/>
      <c r="NES70" s="137"/>
      <c r="NET70" s="137"/>
      <c r="NEU70" s="137"/>
      <c r="NEV70" s="137"/>
      <c r="NEW70" s="137"/>
      <c r="NEX70" s="137"/>
      <c r="NEY70" s="137"/>
      <c r="NEZ70" s="137"/>
      <c r="NFA70" s="137"/>
      <c r="NFB70" s="137"/>
      <c r="NFC70" s="137"/>
      <c r="NFD70" s="137"/>
      <c r="NFE70" s="137"/>
      <c r="NFF70" s="137"/>
      <c r="NFG70" s="137"/>
      <c r="NFH70" s="137"/>
      <c r="NFI70" s="137"/>
      <c r="NFJ70" s="137"/>
      <c r="NFK70" s="137"/>
      <c r="NFL70" s="137"/>
      <c r="NFM70" s="137"/>
      <c r="NFN70" s="137"/>
      <c r="NFO70" s="137"/>
      <c r="NFP70" s="137"/>
      <c r="NFQ70" s="137"/>
      <c r="NFR70" s="137"/>
      <c r="NFS70" s="137"/>
      <c r="NFT70" s="137"/>
      <c r="NFU70" s="137"/>
      <c r="NFV70" s="137"/>
      <c r="NFW70" s="137"/>
      <c r="NFX70" s="137"/>
      <c r="NFY70" s="137"/>
      <c r="NFZ70" s="137"/>
      <c r="NGA70" s="137"/>
      <c r="NGB70" s="137"/>
      <c r="NGC70" s="137"/>
      <c r="NGD70" s="137"/>
      <c r="NGE70" s="137"/>
      <c r="NGF70" s="137"/>
      <c r="NGG70" s="137"/>
      <c r="NGH70" s="137"/>
      <c r="NGI70" s="137"/>
      <c r="NGJ70" s="137"/>
      <c r="NGK70" s="137"/>
      <c r="NGL70" s="137"/>
      <c r="NGM70" s="137"/>
      <c r="NGN70" s="137"/>
      <c r="NGO70" s="137"/>
      <c r="NGP70" s="137"/>
      <c r="NGQ70" s="137"/>
      <c r="NGR70" s="137"/>
      <c r="NGS70" s="137"/>
      <c r="NGT70" s="137"/>
      <c r="NGU70" s="137"/>
      <c r="NGV70" s="137"/>
      <c r="NGW70" s="137"/>
      <c r="NGX70" s="137"/>
      <c r="NGY70" s="137"/>
      <c r="NGZ70" s="137"/>
      <c r="NHA70" s="137"/>
      <c r="NHB70" s="137"/>
      <c r="NHC70" s="137"/>
      <c r="NHD70" s="137"/>
      <c r="NHE70" s="137"/>
      <c r="NHF70" s="137"/>
      <c r="NHG70" s="137"/>
      <c r="NHH70" s="137"/>
      <c r="NHI70" s="137"/>
      <c r="NHJ70" s="137"/>
      <c r="NHK70" s="137"/>
      <c r="NHL70" s="137"/>
      <c r="NHM70" s="137"/>
      <c r="NHN70" s="137"/>
      <c r="NHO70" s="137"/>
      <c r="NHP70" s="137"/>
      <c r="NHQ70" s="137"/>
      <c r="NHR70" s="137"/>
      <c r="NHS70" s="137"/>
      <c r="NHT70" s="137"/>
      <c r="NHU70" s="137"/>
      <c r="NHV70" s="137"/>
      <c r="NHW70" s="137"/>
      <c r="NHX70" s="137"/>
      <c r="NHY70" s="137"/>
      <c r="NHZ70" s="137"/>
      <c r="NIA70" s="137"/>
      <c r="NIB70" s="137"/>
      <c r="NIC70" s="137"/>
      <c r="NID70" s="137"/>
      <c r="NIE70" s="137"/>
      <c r="NIF70" s="137"/>
      <c r="NIG70" s="137"/>
      <c r="NIH70" s="137"/>
      <c r="NII70" s="137"/>
      <c r="NIJ70" s="137"/>
      <c r="NIK70" s="137"/>
      <c r="NIL70" s="137"/>
      <c r="NIM70" s="137"/>
      <c r="NIN70" s="137"/>
      <c r="NIO70" s="137"/>
      <c r="NIP70" s="137"/>
      <c r="NIQ70" s="137"/>
      <c r="NIR70" s="137"/>
      <c r="NIS70" s="137"/>
      <c r="NIT70" s="137"/>
      <c r="NIU70" s="137"/>
      <c r="NIV70" s="137"/>
      <c r="NIW70" s="137"/>
      <c r="NIX70" s="137"/>
      <c r="NIY70" s="137"/>
      <c r="NIZ70" s="137"/>
      <c r="NJA70" s="137"/>
      <c r="NJB70" s="137"/>
      <c r="NJC70" s="137"/>
      <c r="NJD70" s="137"/>
      <c r="NJE70" s="137"/>
      <c r="NJF70" s="137"/>
      <c r="NJG70" s="137"/>
      <c r="NJH70" s="137"/>
      <c r="NJI70" s="137"/>
      <c r="NJJ70" s="137"/>
      <c r="NJK70" s="137"/>
      <c r="NJL70" s="137"/>
      <c r="NJM70" s="137"/>
      <c r="NJN70" s="137"/>
      <c r="NJO70" s="137"/>
      <c r="NJP70" s="137"/>
      <c r="NJQ70" s="137"/>
      <c r="NJR70" s="137"/>
      <c r="NJS70" s="137"/>
      <c r="NJT70" s="137"/>
      <c r="NJU70" s="137"/>
      <c r="NJV70" s="137"/>
      <c r="NJW70" s="137"/>
      <c r="NJX70" s="137"/>
      <c r="NJY70" s="137"/>
      <c r="NJZ70" s="137"/>
      <c r="NKA70" s="137"/>
      <c r="NKB70" s="137"/>
      <c r="NKC70" s="137"/>
      <c r="NKD70" s="137"/>
      <c r="NKE70" s="137"/>
      <c r="NKF70" s="137"/>
      <c r="NKG70" s="137"/>
      <c r="NKH70" s="137"/>
      <c r="NKI70" s="137"/>
      <c r="NKJ70" s="137"/>
      <c r="NKK70" s="137"/>
      <c r="NKL70" s="137"/>
      <c r="NKM70" s="137"/>
      <c r="NKN70" s="137"/>
      <c r="NKO70" s="137"/>
      <c r="NKP70" s="137"/>
      <c r="NKQ70" s="137"/>
      <c r="NKR70" s="137"/>
      <c r="NKS70" s="137"/>
      <c r="NKT70" s="137"/>
      <c r="NKU70" s="137"/>
      <c r="NKV70" s="137"/>
      <c r="NKW70" s="137"/>
      <c r="NKX70" s="137"/>
      <c r="NKY70" s="137"/>
      <c r="NKZ70" s="137"/>
      <c r="NLA70" s="137"/>
      <c r="NLB70" s="137"/>
      <c r="NLC70" s="137"/>
      <c r="NLD70" s="137"/>
      <c r="NLE70" s="137"/>
      <c r="NLF70" s="137"/>
      <c r="NLG70" s="137"/>
      <c r="NLH70" s="137"/>
      <c r="NLI70" s="137"/>
      <c r="NLJ70" s="137"/>
      <c r="NLK70" s="137"/>
      <c r="NLL70" s="137"/>
      <c r="NLM70" s="137"/>
      <c r="NLN70" s="137"/>
      <c r="NLO70" s="137"/>
      <c r="NLP70" s="137"/>
      <c r="NLQ70" s="137"/>
      <c r="NLR70" s="137"/>
      <c r="NLS70" s="137"/>
      <c r="NLT70" s="137"/>
      <c r="NLU70" s="137"/>
      <c r="NLV70" s="137"/>
      <c r="NLW70" s="137"/>
      <c r="NLX70" s="137"/>
      <c r="NLY70" s="137"/>
      <c r="NLZ70" s="137"/>
      <c r="NMA70" s="137"/>
      <c r="NMB70" s="137"/>
      <c r="NMC70" s="137"/>
      <c r="NMD70" s="137"/>
      <c r="NME70" s="137"/>
      <c r="NMF70" s="137"/>
      <c r="NMG70" s="137"/>
      <c r="NMH70" s="137"/>
      <c r="NMI70" s="137"/>
      <c r="NMJ70" s="137"/>
      <c r="NMK70" s="137"/>
      <c r="NML70" s="137"/>
      <c r="NMM70" s="137"/>
      <c r="NMN70" s="137"/>
      <c r="NMO70" s="137"/>
      <c r="NMP70" s="137"/>
      <c r="NMQ70" s="137"/>
      <c r="NMR70" s="137"/>
      <c r="NMS70" s="137"/>
      <c r="NMT70" s="137"/>
      <c r="NMU70" s="137"/>
      <c r="NMV70" s="137"/>
      <c r="NMW70" s="137"/>
      <c r="NMX70" s="137"/>
      <c r="NMY70" s="137"/>
      <c r="NMZ70" s="137"/>
      <c r="NNA70" s="137"/>
      <c r="NNB70" s="137"/>
      <c r="NNC70" s="137"/>
      <c r="NND70" s="137"/>
      <c r="NNE70" s="137"/>
      <c r="NNF70" s="137"/>
      <c r="NNG70" s="137"/>
      <c r="NNH70" s="137"/>
      <c r="NNI70" s="137"/>
      <c r="NNJ70" s="137"/>
      <c r="NNK70" s="137"/>
      <c r="NNL70" s="137"/>
      <c r="NNM70" s="137"/>
      <c r="NNN70" s="137"/>
      <c r="NNO70" s="137"/>
      <c r="NNP70" s="137"/>
      <c r="NNQ70" s="137"/>
      <c r="NNR70" s="137"/>
      <c r="NNS70" s="137"/>
      <c r="NNT70" s="137"/>
      <c r="NNU70" s="137"/>
      <c r="NNV70" s="137"/>
      <c r="NNW70" s="137"/>
      <c r="NNX70" s="137"/>
      <c r="NNY70" s="137"/>
      <c r="NNZ70" s="137"/>
      <c r="NOA70" s="137"/>
      <c r="NOB70" s="137"/>
      <c r="NOC70" s="137"/>
      <c r="NOD70" s="137"/>
      <c r="NOE70" s="137"/>
      <c r="NOF70" s="137"/>
      <c r="NOG70" s="137"/>
      <c r="NOH70" s="137"/>
      <c r="NOI70" s="137"/>
      <c r="NOJ70" s="137"/>
      <c r="NOK70" s="137"/>
      <c r="NOL70" s="137"/>
      <c r="NOM70" s="137"/>
      <c r="NON70" s="137"/>
      <c r="NOO70" s="137"/>
      <c r="NOP70" s="137"/>
      <c r="NOQ70" s="137"/>
      <c r="NOR70" s="137"/>
      <c r="NOS70" s="137"/>
      <c r="NOT70" s="137"/>
      <c r="NOU70" s="137"/>
      <c r="NOV70" s="137"/>
      <c r="NOW70" s="137"/>
      <c r="NOX70" s="137"/>
      <c r="NOY70" s="137"/>
      <c r="NOZ70" s="137"/>
      <c r="NPA70" s="137"/>
      <c r="NPB70" s="137"/>
      <c r="NPC70" s="137"/>
      <c r="NPD70" s="137"/>
      <c r="NPE70" s="137"/>
      <c r="NPF70" s="137"/>
      <c r="NPG70" s="137"/>
      <c r="NPH70" s="137"/>
      <c r="NPI70" s="137"/>
      <c r="NPJ70" s="137"/>
      <c r="NPK70" s="137"/>
      <c r="NPL70" s="137"/>
      <c r="NPM70" s="137"/>
      <c r="NPN70" s="137"/>
      <c r="NPO70" s="137"/>
      <c r="NPP70" s="137"/>
      <c r="NPQ70" s="137"/>
      <c r="NPR70" s="137"/>
      <c r="NPS70" s="137"/>
      <c r="NPT70" s="137"/>
      <c r="NPU70" s="137"/>
      <c r="NPV70" s="137"/>
      <c r="NPW70" s="137"/>
      <c r="NPX70" s="137"/>
      <c r="NPY70" s="137"/>
      <c r="NPZ70" s="137"/>
      <c r="NQA70" s="137"/>
      <c r="NQB70" s="137"/>
      <c r="NQC70" s="137"/>
      <c r="NQD70" s="137"/>
      <c r="NQE70" s="137"/>
      <c r="NQF70" s="137"/>
      <c r="NQG70" s="137"/>
      <c r="NQH70" s="137"/>
      <c r="NQI70" s="137"/>
      <c r="NQJ70" s="137"/>
      <c r="NQK70" s="137"/>
      <c r="NQL70" s="137"/>
      <c r="NQM70" s="137"/>
      <c r="NQN70" s="137"/>
      <c r="NQO70" s="137"/>
      <c r="NQP70" s="137"/>
      <c r="NQQ70" s="137"/>
      <c r="NQR70" s="137"/>
      <c r="NQS70" s="137"/>
      <c r="NQT70" s="137"/>
      <c r="NQU70" s="137"/>
      <c r="NQV70" s="137"/>
      <c r="NQW70" s="137"/>
      <c r="NQX70" s="137"/>
      <c r="NQY70" s="137"/>
      <c r="NQZ70" s="137"/>
      <c r="NRA70" s="137"/>
      <c r="NRB70" s="137"/>
      <c r="NRC70" s="137"/>
      <c r="NRD70" s="137"/>
      <c r="NRE70" s="137"/>
      <c r="NRF70" s="137"/>
      <c r="NRG70" s="137"/>
      <c r="NRH70" s="137"/>
      <c r="NRI70" s="137"/>
      <c r="NRJ70" s="137"/>
      <c r="NRK70" s="137"/>
      <c r="NRL70" s="137"/>
      <c r="NRM70" s="137"/>
      <c r="NRN70" s="137"/>
      <c r="NRO70" s="137"/>
      <c r="NRP70" s="137"/>
      <c r="NRQ70" s="137"/>
      <c r="NRR70" s="137"/>
      <c r="NRS70" s="137"/>
      <c r="NRT70" s="137"/>
      <c r="NRU70" s="137"/>
      <c r="NRV70" s="137"/>
      <c r="NRW70" s="137"/>
      <c r="NRX70" s="137"/>
      <c r="NRY70" s="137"/>
      <c r="NRZ70" s="137"/>
      <c r="NSA70" s="137"/>
      <c r="NSB70" s="137"/>
      <c r="NSC70" s="137"/>
      <c r="NSD70" s="137"/>
      <c r="NSE70" s="137"/>
      <c r="NSF70" s="137"/>
      <c r="NSG70" s="137"/>
      <c r="NSH70" s="137"/>
      <c r="NSI70" s="137"/>
      <c r="NSJ70" s="137"/>
      <c r="NSK70" s="137"/>
      <c r="NSL70" s="137"/>
      <c r="NSM70" s="137"/>
      <c r="NSN70" s="137"/>
      <c r="NSO70" s="137"/>
      <c r="NSP70" s="137"/>
      <c r="NSQ70" s="137"/>
      <c r="NSR70" s="137"/>
      <c r="NSS70" s="137"/>
      <c r="NST70" s="137"/>
      <c r="NSU70" s="137"/>
      <c r="NSV70" s="137"/>
      <c r="NSW70" s="137"/>
      <c r="NSX70" s="137"/>
      <c r="NSY70" s="137"/>
      <c r="NSZ70" s="137"/>
      <c r="NTA70" s="137"/>
      <c r="NTB70" s="137"/>
      <c r="NTC70" s="137"/>
      <c r="NTD70" s="137"/>
      <c r="NTE70" s="137"/>
      <c r="NTF70" s="137"/>
      <c r="NTG70" s="137"/>
      <c r="NTH70" s="137"/>
      <c r="NTI70" s="137"/>
      <c r="NTJ70" s="137"/>
      <c r="NTK70" s="137"/>
      <c r="NTL70" s="137"/>
      <c r="NTM70" s="137"/>
      <c r="NTN70" s="137"/>
      <c r="NTO70" s="137"/>
      <c r="NTP70" s="137"/>
      <c r="NTQ70" s="137"/>
      <c r="NTR70" s="137"/>
      <c r="NTS70" s="137"/>
      <c r="NTT70" s="137"/>
      <c r="NTU70" s="137"/>
      <c r="NTV70" s="137"/>
      <c r="NTW70" s="137"/>
      <c r="NTX70" s="137"/>
      <c r="NTY70" s="137"/>
      <c r="NTZ70" s="137"/>
      <c r="NUA70" s="137"/>
      <c r="NUB70" s="137"/>
      <c r="NUC70" s="137"/>
      <c r="NUD70" s="137"/>
      <c r="NUE70" s="137"/>
      <c r="NUF70" s="137"/>
      <c r="NUG70" s="137"/>
      <c r="NUH70" s="137"/>
      <c r="NUI70" s="137"/>
      <c r="NUJ70" s="137"/>
      <c r="NUK70" s="137"/>
      <c r="NUL70" s="137"/>
      <c r="NUM70" s="137"/>
      <c r="NUN70" s="137"/>
      <c r="NUO70" s="137"/>
      <c r="NUP70" s="137"/>
      <c r="NUQ70" s="137"/>
      <c r="NUR70" s="137"/>
      <c r="NUS70" s="137"/>
      <c r="NUT70" s="137"/>
      <c r="NUU70" s="137"/>
      <c r="NUV70" s="137"/>
      <c r="NUW70" s="137"/>
      <c r="NUX70" s="137"/>
      <c r="NUY70" s="137"/>
      <c r="NUZ70" s="137"/>
      <c r="NVA70" s="137"/>
      <c r="NVB70" s="137"/>
      <c r="NVC70" s="137"/>
      <c r="NVD70" s="137"/>
      <c r="NVE70" s="137"/>
      <c r="NVF70" s="137"/>
      <c r="NVG70" s="137"/>
      <c r="NVH70" s="137"/>
      <c r="NVI70" s="137"/>
      <c r="NVJ70" s="137"/>
      <c r="NVK70" s="137"/>
      <c r="NVL70" s="137"/>
      <c r="NVM70" s="137"/>
      <c r="NVN70" s="137"/>
      <c r="NVO70" s="137"/>
      <c r="NVP70" s="137"/>
      <c r="NVQ70" s="137"/>
      <c r="NVR70" s="137"/>
      <c r="NVS70" s="137"/>
      <c r="NVT70" s="137"/>
      <c r="NVU70" s="137"/>
      <c r="NVV70" s="137"/>
      <c r="NVW70" s="137"/>
      <c r="NVX70" s="137"/>
      <c r="NVY70" s="137"/>
      <c r="NVZ70" s="137"/>
      <c r="NWA70" s="137"/>
      <c r="NWB70" s="137"/>
      <c r="NWC70" s="137"/>
      <c r="NWD70" s="137"/>
      <c r="NWE70" s="137"/>
      <c r="NWF70" s="137"/>
      <c r="NWG70" s="137"/>
      <c r="NWH70" s="137"/>
      <c r="NWI70" s="137"/>
      <c r="NWJ70" s="137"/>
      <c r="NWK70" s="137"/>
      <c r="NWL70" s="137"/>
      <c r="NWM70" s="137"/>
      <c r="NWN70" s="137"/>
      <c r="NWO70" s="137"/>
      <c r="NWP70" s="137"/>
      <c r="NWQ70" s="137"/>
      <c r="NWR70" s="137"/>
      <c r="NWS70" s="137"/>
      <c r="NWT70" s="137"/>
      <c r="NWU70" s="137"/>
      <c r="NWV70" s="137"/>
      <c r="NWW70" s="137"/>
      <c r="NWX70" s="137"/>
      <c r="NWY70" s="137"/>
      <c r="NWZ70" s="137"/>
      <c r="NXA70" s="137"/>
      <c r="NXB70" s="137"/>
      <c r="NXC70" s="137"/>
      <c r="NXD70" s="137"/>
      <c r="NXE70" s="137"/>
      <c r="NXF70" s="137"/>
      <c r="NXG70" s="137"/>
      <c r="NXH70" s="137"/>
      <c r="NXI70" s="137"/>
      <c r="NXJ70" s="137"/>
      <c r="NXK70" s="137"/>
      <c r="NXL70" s="137"/>
      <c r="NXM70" s="137"/>
      <c r="NXN70" s="137"/>
      <c r="NXO70" s="137"/>
      <c r="NXP70" s="137"/>
      <c r="NXQ70" s="137"/>
      <c r="NXR70" s="137"/>
      <c r="NXS70" s="137"/>
      <c r="NXT70" s="137"/>
      <c r="NXU70" s="137"/>
      <c r="NXV70" s="137"/>
      <c r="NXW70" s="137"/>
      <c r="NXX70" s="137"/>
      <c r="NXY70" s="137"/>
      <c r="NXZ70" s="137"/>
      <c r="NYA70" s="137"/>
      <c r="NYB70" s="137"/>
      <c r="NYC70" s="137"/>
      <c r="NYD70" s="137"/>
      <c r="NYE70" s="137"/>
      <c r="NYF70" s="137"/>
      <c r="NYG70" s="137"/>
      <c r="NYH70" s="137"/>
      <c r="NYI70" s="137"/>
      <c r="NYJ70" s="137"/>
      <c r="NYK70" s="137"/>
      <c r="NYL70" s="137"/>
      <c r="NYM70" s="137"/>
      <c r="NYN70" s="137"/>
      <c r="NYO70" s="137"/>
      <c r="NYP70" s="137"/>
      <c r="NYQ70" s="137"/>
      <c r="NYR70" s="137"/>
      <c r="NYS70" s="137"/>
      <c r="NYT70" s="137"/>
      <c r="NYU70" s="137"/>
      <c r="NYV70" s="137"/>
      <c r="NYW70" s="137"/>
      <c r="NYX70" s="137"/>
      <c r="NYY70" s="137"/>
      <c r="NYZ70" s="137"/>
      <c r="NZA70" s="137"/>
      <c r="NZB70" s="137"/>
      <c r="NZC70" s="137"/>
      <c r="NZD70" s="137"/>
      <c r="NZE70" s="137"/>
      <c r="NZF70" s="137"/>
      <c r="NZG70" s="137"/>
      <c r="NZH70" s="137"/>
      <c r="NZI70" s="137"/>
      <c r="NZJ70" s="137"/>
      <c r="NZK70" s="137"/>
      <c r="NZL70" s="137"/>
      <c r="NZM70" s="137"/>
      <c r="NZN70" s="137"/>
      <c r="NZO70" s="137"/>
      <c r="NZP70" s="137"/>
      <c r="NZQ70" s="137"/>
      <c r="NZR70" s="137"/>
      <c r="NZS70" s="137"/>
      <c r="NZT70" s="137"/>
      <c r="NZU70" s="137"/>
      <c r="NZV70" s="137"/>
      <c r="NZW70" s="137"/>
      <c r="NZX70" s="137"/>
      <c r="NZY70" s="137"/>
      <c r="NZZ70" s="137"/>
      <c r="OAA70" s="137"/>
      <c r="OAB70" s="137"/>
      <c r="OAC70" s="137"/>
      <c r="OAD70" s="137"/>
      <c r="OAE70" s="137"/>
      <c r="OAF70" s="137"/>
      <c r="OAG70" s="137"/>
      <c r="OAH70" s="137"/>
      <c r="OAI70" s="137"/>
      <c r="OAJ70" s="137"/>
      <c r="OAK70" s="137"/>
      <c r="OAL70" s="137"/>
      <c r="OAM70" s="137"/>
      <c r="OAN70" s="137"/>
      <c r="OAO70" s="137"/>
      <c r="OAP70" s="137"/>
      <c r="OAQ70" s="137"/>
      <c r="OAR70" s="137"/>
      <c r="OAS70" s="137"/>
      <c r="OAT70" s="137"/>
      <c r="OAU70" s="137"/>
      <c r="OAV70" s="137"/>
      <c r="OAW70" s="137"/>
      <c r="OAX70" s="137"/>
      <c r="OAY70" s="137"/>
      <c r="OAZ70" s="137"/>
      <c r="OBA70" s="137"/>
      <c r="OBB70" s="137"/>
      <c r="OBC70" s="137"/>
      <c r="OBD70" s="137"/>
      <c r="OBE70" s="137"/>
      <c r="OBF70" s="137"/>
      <c r="OBG70" s="137"/>
      <c r="OBH70" s="137"/>
      <c r="OBI70" s="137"/>
      <c r="OBJ70" s="137"/>
      <c r="OBK70" s="137"/>
      <c r="OBL70" s="137"/>
      <c r="OBM70" s="137"/>
      <c r="OBN70" s="137"/>
      <c r="OBO70" s="137"/>
      <c r="OBP70" s="137"/>
      <c r="OBQ70" s="137"/>
      <c r="OBR70" s="137"/>
      <c r="OBS70" s="137"/>
      <c r="OBT70" s="137"/>
      <c r="OBU70" s="137"/>
      <c r="OBV70" s="137"/>
      <c r="OBW70" s="137"/>
      <c r="OBX70" s="137"/>
      <c r="OBY70" s="137"/>
      <c r="OBZ70" s="137"/>
      <c r="OCA70" s="137"/>
      <c r="OCB70" s="137"/>
      <c r="OCC70" s="137"/>
      <c r="OCD70" s="137"/>
      <c r="OCE70" s="137"/>
      <c r="OCF70" s="137"/>
      <c r="OCG70" s="137"/>
      <c r="OCH70" s="137"/>
      <c r="OCI70" s="137"/>
      <c r="OCJ70" s="137"/>
      <c r="OCK70" s="137"/>
      <c r="OCL70" s="137"/>
      <c r="OCM70" s="137"/>
      <c r="OCN70" s="137"/>
      <c r="OCO70" s="137"/>
      <c r="OCP70" s="137"/>
      <c r="OCQ70" s="137"/>
      <c r="OCR70" s="137"/>
      <c r="OCS70" s="137"/>
      <c r="OCT70" s="137"/>
      <c r="OCU70" s="137"/>
      <c r="OCV70" s="137"/>
      <c r="OCW70" s="137"/>
      <c r="OCX70" s="137"/>
      <c r="OCY70" s="137"/>
      <c r="OCZ70" s="137"/>
      <c r="ODA70" s="137"/>
      <c r="ODB70" s="137"/>
      <c r="ODC70" s="137"/>
      <c r="ODD70" s="137"/>
      <c r="ODE70" s="137"/>
      <c r="ODF70" s="137"/>
      <c r="ODG70" s="137"/>
      <c r="ODH70" s="137"/>
      <c r="ODI70" s="137"/>
      <c r="ODJ70" s="137"/>
      <c r="ODK70" s="137"/>
      <c r="ODL70" s="137"/>
      <c r="ODM70" s="137"/>
      <c r="ODN70" s="137"/>
      <c r="ODO70" s="137"/>
      <c r="ODP70" s="137"/>
      <c r="ODQ70" s="137"/>
      <c r="ODR70" s="137"/>
      <c r="ODS70" s="137"/>
      <c r="ODT70" s="137"/>
      <c r="ODU70" s="137"/>
      <c r="ODV70" s="137"/>
      <c r="ODW70" s="137"/>
      <c r="ODX70" s="137"/>
      <c r="ODY70" s="137"/>
      <c r="ODZ70" s="137"/>
      <c r="OEA70" s="137"/>
      <c r="OEB70" s="137"/>
      <c r="OEC70" s="137"/>
      <c r="OED70" s="137"/>
      <c r="OEE70" s="137"/>
      <c r="OEF70" s="137"/>
      <c r="OEG70" s="137"/>
      <c r="OEH70" s="137"/>
      <c r="OEI70" s="137"/>
      <c r="OEJ70" s="137"/>
      <c r="OEK70" s="137"/>
      <c r="OEL70" s="137"/>
      <c r="OEM70" s="137"/>
      <c r="OEN70" s="137"/>
      <c r="OEO70" s="137"/>
      <c r="OEP70" s="137"/>
      <c r="OEQ70" s="137"/>
      <c r="OER70" s="137"/>
      <c r="OES70" s="137"/>
      <c r="OET70" s="137"/>
      <c r="OEU70" s="137"/>
      <c r="OEV70" s="137"/>
      <c r="OEW70" s="137"/>
      <c r="OEX70" s="137"/>
      <c r="OEY70" s="137"/>
      <c r="OEZ70" s="137"/>
      <c r="OFA70" s="137"/>
      <c r="OFB70" s="137"/>
      <c r="OFC70" s="137"/>
      <c r="OFD70" s="137"/>
      <c r="OFE70" s="137"/>
      <c r="OFF70" s="137"/>
      <c r="OFG70" s="137"/>
      <c r="OFH70" s="137"/>
      <c r="OFI70" s="137"/>
      <c r="OFJ70" s="137"/>
      <c r="OFK70" s="137"/>
      <c r="OFL70" s="137"/>
      <c r="OFM70" s="137"/>
      <c r="OFN70" s="137"/>
      <c r="OFO70" s="137"/>
      <c r="OFP70" s="137"/>
      <c r="OFQ70" s="137"/>
      <c r="OFR70" s="137"/>
      <c r="OFS70" s="137"/>
      <c r="OFT70" s="137"/>
      <c r="OFU70" s="137"/>
      <c r="OFV70" s="137"/>
      <c r="OFW70" s="137"/>
      <c r="OFX70" s="137"/>
      <c r="OFY70" s="137"/>
      <c r="OFZ70" s="137"/>
      <c r="OGA70" s="137"/>
      <c r="OGB70" s="137"/>
      <c r="OGC70" s="137"/>
      <c r="OGD70" s="137"/>
      <c r="OGE70" s="137"/>
      <c r="OGF70" s="137"/>
      <c r="OGG70" s="137"/>
      <c r="OGH70" s="137"/>
      <c r="OGI70" s="137"/>
      <c r="OGJ70" s="137"/>
      <c r="OGK70" s="137"/>
      <c r="OGL70" s="137"/>
      <c r="OGM70" s="137"/>
      <c r="OGN70" s="137"/>
      <c r="OGO70" s="137"/>
      <c r="OGP70" s="137"/>
      <c r="OGQ70" s="137"/>
      <c r="OGR70" s="137"/>
      <c r="OGS70" s="137"/>
      <c r="OGT70" s="137"/>
      <c r="OGU70" s="137"/>
      <c r="OGV70" s="137"/>
      <c r="OGW70" s="137"/>
      <c r="OGX70" s="137"/>
      <c r="OGY70" s="137"/>
      <c r="OGZ70" s="137"/>
      <c r="OHA70" s="137"/>
      <c r="OHB70" s="137"/>
      <c r="OHC70" s="137"/>
      <c r="OHD70" s="137"/>
      <c r="OHE70" s="137"/>
      <c r="OHF70" s="137"/>
      <c r="OHG70" s="137"/>
      <c r="OHH70" s="137"/>
      <c r="OHI70" s="137"/>
      <c r="OHJ70" s="137"/>
      <c r="OHK70" s="137"/>
      <c r="OHL70" s="137"/>
      <c r="OHM70" s="137"/>
      <c r="OHN70" s="137"/>
      <c r="OHO70" s="137"/>
      <c r="OHP70" s="137"/>
      <c r="OHQ70" s="137"/>
      <c r="OHR70" s="137"/>
      <c r="OHS70" s="137"/>
      <c r="OHT70" s="137"/>
      <c r="OHU70" s="137"/>
      <c r="OHV70" s="137"/>
      <c r="OHW70" s="137"/>
      <c r="OHX70" s="137"/>
      <c r="OHY70" s="137"/>
      <c r="OHZ70" s="137"/>
      <c r="OIA70" s="137"/>
      <c r="OIB70" s="137"/>
      <c r="OIC70" s="137"/>
      <c r="OID70" s="137"/>
      <c r="OIE70" s="137"/>
      <c r="OIF70" s="137"/>
      <c r="OIG70" s="137"/>
      <c r="OIH70" s="137"/>
      <c r="OII70" s="137"/>
      <c r="OIJ70" s="137"/>
      <c r="OIK70" s="137"/>
      <c r="OIL70" s="137"/>
      <c r="OIM70" s="137"/>
      <c r="OIN70" s="137"/>
      <c r="OIO70" s="137"/>
      <c r="OIP70" s="137"/>
      <c r="OIQ70" s="137"/>
      <c r="OIR70" s="137"/>
      <c r="OIS70" s="137"/>
      <c r="OIT70" s="137"/>
      <c r="OIU70" s="137"/>
      <c r="OIV70" s="137"/>
      <c r="OIW70" s="137"/>
      <c r="OIX70" s="137"/>
      <c r="OIY70" s="137"/>
      <c r="OIZ70" s="137"/>
      <c r="OJA70" s="137"/>
      <c r="OJB70" s="137"/>
      <c r="OJC70" s="137"/>
      <c r="OJD70" s="137"/>
      <c r="OJE70" s="137"/>
      <c r="OJF70" s="137"/>
      <c r="OJG70" s="137"/>
      <c r="OJH70" s="137"/>
      <c r="OJI70" s="137"/>
      <c r="OJJ70" s="137"/>
      <c r="OJK70" s="137"/>
      <c r="OJL70" s="137"/>
      <c r="OJM70" s="137"/>
      <c r="OJN70" s="137"/>
      <c r="OJO70" s="137"/>
      <c r="OJP70" s="137"/>
      <c r="OJQ70" s="137"/>
      <c r="OJR70" s="137"/>
      <c r="OJS70" s="137"/>
      <c r="OJT70" s="137"/>
      <c r="OJU70" s="137"/>
      <c r="OJV70" s="137"/>
      <c r="OJW70" s="137"/>
      <c r="OJX70" s="137"/>
      <c r="OJY70" s="137"/>
      <c r="OJZ70" s="137"/>
      <c r="OKA70" s="137"/>
      <c r="OKB70" s="137"/>
      <c r="OKC70" s="137"/>
      <c r="OKD70" s="137"/>
      <c r="OKE70" s="137"/>
      <c r="OKF70" s="137"/>
      <c r="OKG70" s="137"/>
      <c r="OKH70" s="137"/>
      <c r="OKI70" s="137"/>
      <c r="OKJ70" s="137"/>
      <c r="OKK70" s="137"/>
      <c r="OKL70" s="137"/>
      <c r="OKM70" s="137"/>
      <c r="OKN70" s="137"/>
      <c r="OKO70" s="137"/>
      <c r="OKP70" s="137"/>
      <c r="OKQ70" s="137"/>
      <c r="OKR70" s="137"/>
      <c r="OKS70" s="137"/>
      <c r="OKT70" s="137"/>
      <c r="OKU70" s="137"/>
      <c r="OKV70" s="137"/>
      <c r="OKW70" s="137"/>
      <c r="OKX70" s="137"/>
      <c r="OKY70" s="137"/>
      <c r="OKZ70" s="137"/>
      <c r="OLA70" s="137"/>
      <c r="OLB70" s="137"/>
      <c r="OLC70" s="137"/>
      <c r="OLD70" s="137"/>
      <c r="OLE70" s="137"/>
      <c r="OLF70" s="137"/>
      <c r="OLG70" s="137"/>
      <c r="OLH70" s="137"/>
      <c r="OLI70" s="137"/>
      <c r="OLJ70" s="137"/>
      <c r="OLK70" s="137"/>
      <c r="OLL70" s="137"/>
      <c r="OLM70" s="137"/>
      <c r="OLN70" s="137"/>
      <c r="OLO70" s="137"/>
      <c r="OLP70" s="137"/>
      <c r="OLQ70" s="137"/>
      <c r="OLR70" s="137"/>
      <c r="OLS70" s="137"/>
      <c r="OLT70" s="137"/>
      <c r="OLU70" s="137"/>
      <c r="OLV70" s="137"/>
      <c r="OLW70" s="137"/>
      <c r="OLX70" s="137"/>
      <c r="OLY70" s="137"/>
      <c r="OLZ70" s="137"/>
      <c r="OMA70" s="137"/>
      <c r="OMB70" s="137"/>
      <c r="OMC70" s="137"/>
      <c r="OMD70" s="137"/>
      <c r="OME70" s="137"/>
      <c r="OMF70" s="137"/>
      <c r="OMG70" s="137"/>
      <c r="OMH70" s="137"/>
      <c r="OMI70" s="137"/>
      <c r="OMJ70" s="137"/>
      <c r="OMK70" s="137"/>
      <c r="OML70" s="137"/>
      <c r="OMM70" s="137"/>
      <c r="OMN70" s="137"/>
      <c r="OMO70" s="137"/>
      <c r="OMP70" s="137"/>
      <c r="OMQ70" s="137"/>
      <c r="OMR70" s="137"/>
      <c r="OMS70" s="137"/>
      <c r="OMT70" s="137"/>
      <c r="OMU70" s="137"/>
      <c r="OMV70" s="137"/>
      <c r="OMW70" s="137"/>
      <c r="OMX70" s="137"/>
      <c r="OMY70" s="137"/>
      <c r="OMZ70" s="137"/>
      <c r="ONA70" s="137"/>
      <c r="ONB70" s="137"/>
      <c r="ONC70" s="137"/>
      <c r="OND70" s="137"/>
      <c r="ONE70" s="137"/>
      <c r="ONF70" s="137"/>
      <c r="ONG70" s="137"/>
      <c r="ONH70" s="137"/>
      <c r="ONI70" s="137"/>
      <c r="ONJ70" s="137"/>
      <c r="ONK70" s="137"/>
      <c r="ONL70" s="137"/>
      <c r="ONM70" s="137"/>
      <c r="ONN70" s="137"/>
      <c r="ONO70" s="137"/>
      <c r="ONP70" s="137"/>
      <c r="ONQ70" s="137"/>
      <c r="ONR70" s="137"/>
      <c r="ONS70" s="137"/>
      <c r="ONT70" s="137"/>
      <c r="ONU70" s="137"/>
      <c r="ONV70" s="137"/>
      <c r="ONW70" s="137"/>
      <c r="ONX70" s="137"/>
      <c r="ONY70" s="137"/>
      <c r="ONZ70" s="137"/>
      <c r="OOA70" s="137"/>
      <c r="OOB70" s="137"/>
      <c r="OOC70" s="137"/>
      <c r="OOD70" s="137"/>
      <c r="OOE70" s="137"/>
      <c r="OOF70" s="137"/>
      <c r="OOG70" s="137"/>
      <c r="OOH70" s="137"/>
      <c r="OOI70" s="137"/>
      <c r="OOJ70" s="137"/>
      <c r="OOK70" s="137"/>
      <c r="OOL70" s="137"/>
      <c r="OOM70" s="137"/>
      <c r="OON70" s="137"/>
      <c r="OOO70" s="137"/>
      <c r="OOP70" s="137"/>
      <c r="OOQ70" s="137"/>
      <c r="OOR70" s="137"/>
      <c r="OOS70" s="137"/>
      <c r="OOT70" s="137"/>
      <c r="OOU70" s="137"/>
      <c r="OOV70" s="137"/>
      <c r="OOW70" s="137"/>
      <c r="OOX70" s="137"/>
      <c r="OOY70" s="137"/>
      <c r="OOZ70" s="137"/>
      <c r="OPA70" s="137"/>
      <c r="OPB70" s="137"/>
      <c r="OPC70" s="137"/>
      <c r="OPD70" s="137"/>
      <c r="OPE70" s="137"/>
      <c r="OPF70" s="137"/>
      <c r="OPG70" s="137"/>
      <c r="OPH70" s="137"/>
      <c r="OPI70" s="137"/>
      <c r="OPJ70" s="137"/>
      <c r="OPK70" s="137"/>
      <c r="OPL70" s="137"/>
      <c r="OPM70" s="137"/>
      <c r="OPN70" s="137"/>
      <c r="OPO70" s="137"/>
      <c r="OPP70" s="137"/>
      <c r="OPQ70" s="137"/>
      <c r="OPR70" s="137"/>
      <c r="OPS70" s="137"/>
      <c r="OPT70" s="137"/>
      <c r="OPU70" s="137"/>
      <c r="OPV70" s="137"/>
      <c r="OPW70" s="137"/>
      <c r="OPX70" s="137"/>
      <c r="OPY70" s="137"/>
      <c r="OPZ70" s="137"/>
      <c r="OQA70" s="137"/>
      <c r="OQB70" s="137"/>
      <c r="OQC70" s="137"/>
      <c r="OQD70" s="137"/>
      <c r="OQE70" s="137"/>
      <c r="OQF70" s="137"/>
      <c r="OQG70" s="137"/>
      <c r="OQH70" s="137"/>
      <c r="OQI70" s="137"/>
      <c r="OQJ70" s="137"/>
      <c r="OQK70" s="137"/>
      <c r="OQL70" s="137"/>
      <c r="OQM70" s="137"/>
      <c r="OQN70" s="137"/>
      <c r="OQO70" s="137"/>
      <c r="OQP70" s="137"/>
      <c r="OQQ70" s="137"/>
      <c r="OQR70" s="137"/>
      <c r="OQS70" s="137"/>
      <c r="OQT70" s="137"/>
      <c r="OQU70" s="137"/>
      <c r="OQV70" s="137"/>
      <c r="OQW70" s="137"/>
      <c r="OQX70" s="137"/>
      <c r="OQY70" s="137"/>
      <c r="OQZ70" s="137"/>
      <c r="ORA70" s="137"/>
      <c r="ORB70" s="137"/>
      <c r="ORC70" s="137"/>
      <c r="ORD70" s="137"/>
      <c r="ORE70" s="137"/>
      <c r="ORF70" s="137"/>
      <c r="ORG70" s="137"/>
      <c r="ORH70" s="137"/>
      <c r="ORI70" s="137"/>
      <c r="ORJ70" s="137"/>
      <c r="ORK70" s="137"/>
      <c r="ORL70" s="137"/>
      <c r="ORM70" s="137"/>
      <c r="ORN70" s="137"/>
      <c r="ORO70" s="137"/>
      <c r="ORP70" s="137"/>
      <c r="ORQ70" s="137"/>
      <c r="ORR70" s="137"/>
      <c r="ORS70" s="137"/>
      <c r="ORT70" s="137"/>
      <c r="ORU70" s="137"/>
      <c r="ORV70" s="137"/>
      <c r="ORW70" s="137"/>
      <c r="ORX70" s="137"/>
      <c r="ORY70" s="137"/>
      <c r="ORZ70" s="137"/>
      <c r="OSA70" s="137"/>
      <c r="OSB70" s="137"/>
      <c r="OSC70" s="137"/>
      <c r="OSD70" s="137"/>
      <c r="OSE70" s="137"/>
      <c r="OSF70" s="137"/>
      <c r="OSG70" s="137"/>
      <c r="OSH70" s="137"/>
      <c r="OSI70" s="137"/>
      <c r="OSJ70" s="137"/>
      <c r="OSK70" s="137"/>
      <c r="OSL70" s="137"/>
      <c r="OSM70" s="137"/>
      <c r="OSN70" s="137"/>
      <c r="OSO70" s="137"/>
      <c r="OSP70" s="137"/>
      <c r="OSQ70" s="137"/>
      <c r="OSR70" s="137"/>
      <c r="OSS70" s="137"/>
      <c r="OST70" s="137"/>
      <c r="OSU70" s="137"/>
      <c r="OSV70" s="137"/>
      <c r="OSW70" s="137"/>
      <c r="OSX70" s="137"/>
      <c r="OSY70" s="137"/>
      <c r="OSZ70" s="137"/>
      <c r="OTA70" s="137"/>
      <c r="OTB70" s="137"/>
      <c r="OTC70" s="137"/>
      <c r="OTD70" s="137"/>
      <c r="OTE70" s="137"/>
      <c r="OTF70" s="137"/>
      <c r="OTG70" s="137"/>
      <c r="OTH70" s="137"/>
      <c r="OTI70" s="137"/>
      <c r="OTJ70" s="137"/>
      <c r="OTK70" s="137"/>
      <c r="OTL70" s="137"/>
      <c r="OTM70" s="137"/>
      <c r="OTN70" s="137"/>
      <c r="OTO70" s="137"/>
      <c r="OTP70" s="137"/>
      <c r="OTQ70" s="137"/>
      <c r="OTR70" s="137"/>
      <c r="OTS70" s="137"/>
      <c r="OTT70" s="137"/>
      <c r="OTU70" s="137"/>
      <c r="OTV70" s="137"/>
      <c r="OTW70" s="137"/>
      <c r="OTX70" s="137"/>
      <c r="OTY70" s="137"/>
      <c r="OTZ70" s="137"/>
      <c r="OUA70" s="137"/>
      <c r="OUB70" s="137"/>
      <c r="OUC70" s="137"/>
      <c r="OUD70" s="137"/>
      <c r="OUE70" s="137"/>
      <c r="OUF70" s="137"/>
      <c r="OUG70" s="137"/>
      <c r="OUH70" s="137"/>
      <c r="OUI70" s="137"/>
      <c r="OUJ70" s="137"/>
      <c r="OUK70" s="137"/>
      <c r="OUL70" s="137"/>
      <c r="OUM70" s="137"/>
      <c r="OUN70" s="137"/>
      <c r="OUO70" s="137"/>
      <c r="OUP70" s="137"/>
      <c r="OUQ70" s="137"/>
      <c r="OUR70" s="137"/>
      <c r="OUS70" s="137"/>
      <c r="OUT70" s="137"/>
      <c r="OUU70" s="137"/>
      <c r="OUV70" s="137"/>
      <c r="OUW70" s="137"/>
      <c r="OUX70" s="137"/>
      <c r="OUY70" s="137"/>
      <c r="OUZ70" s="137"/>
      <c r="OVA70" s="137"/>
      <c r="OVB70" s="137"/>
      <c r="OVC70" s="137"/>
      <c r="OVD70" s="137"/>
      <c r="OVE70" s="137"/>
      <c r="OVF70" s="137"/>
      <c r="OVG70" s="137"/>
      <c r="OVH70" s="137"/>
      <c r="OVI70" s="137"/>
      <c r="OVJ70" s="137"/>
      <c r="OVK70" s="137"/>
      <c r="OVL70" s="137"/>
      <c r="OVM70" s="137"/>
      <c r="OVN70" s="137"/>
      <c r="OVO70" s="137"/>
      <c r="OVP70" s="137"/>
      <c r="OVQ70" s="137"/>
      <c r="OVR70" s="137"/>
      <c r="OVS70" s="137"/>
      <c r="OVT70" s="137"/>
      <c r="OVU70" s="137"/>
      <c r="OVV70" s="137"/>
      <c r="OVW70" s="137"/>
      <c r="OVX70" s="137"/>
      <c r="OVY70" s="137"/>
      <c r="OVZ70" s="137"/>
      <c r="OWA70" s="137"/>
      <c r="OWB70" s="137"/>
      <c r="OWC70" s="137"/>
      <c r="OWD70" s="137"/>
      <c r="OWE70" s="137"/>
      <c r="OWF70" s="137"/>
      <c r="OWG70" s="137"/>
      <c r="OWH70" s="137"/>
      <c r="OWI70" s="137"/>
      <c r="OWJ70" s="137"/>
      <c r="OWK70" s="137"/>
      <c r="OWL70" s="137"/>
      <c r="OWM70" s="137"/>
      <c r="OWN70" s="137"/>
      <c r="OWO70" s="137"/>
      <c r="OWP70" s="137"/>
      <c r="OWQ70" s="137"/>
      <c r="OWR70" s="137"/>
      <c r="OWS70" s="137"/>
      <c r="OWT70" s="137"/>
      <c r="OWU70" s="137"/>
      <c r="OWV70" s="137"/>
      <c r="OWW70" s="137"/>
      <c r="OWX70" s="137"/>
      <c r="OWY70" s="137"/>
      <c r="OWZ70" s="137"/>
      <c r="OXA70" s="137"/>
      <c r="OXB70" s="137"/>
      <c r="OXC70" s="137"/>
      <c r="OXD70" s="137"/>
      <c r="OXE70" s="137"/>
      <c r="OXF70" s="137"/>
      <c r="OXG70" s="137"/>
      <c r="OXH70" s="137"/>
      <c r="OXI70" s="137"/>
      <c r="OXJ70" s="137"/>
      <c r="OXK70" s="137"/>
      <c r="OXL70" s="137"/>
      <c r="OXM70" s="137"/>
      <c r="OXN70" s="137"/>
      <c r="OXO70" s="137"/>
      <c r="OXP70" s="137"/>
      <c r="OXQ70" s="137"/>
      <c r="OXR70" s="137"/>
      <c r="OXS70" s="137"/>
      <c r="OXT70" s="137"/>
      <c r="OXU70" s="137"/>
      <c r="OXV70" s="137"/>
      <c r="OXW70" s="137"/>
      <c r="OXX70" s="137"/>
      <c r="OXY70" s="137"/>
      <c r="OXZ70" s="137"/>
      <c r="OYA70" s="137"/>
      <c r="OYB70" s="137"/>
      <c r="OYC70" s="137"/>
      <c r="OYD70" s="137"/>
      <c r="OYE70" s="137"/>
      <c r="OYF70" s="137"/>
      <c r="OYG70" s="137"/>
      <c r="OYH70" s="137"/>
      <c r="OYI70" s="137"/>
      <c r="OYJ70" s="137"/>
      <c r="OYK70" s="137"/>
      <c r="OYL70" s="137"/>
      <c r="OYM70" s="137"/>
      <c r="OYN70" s="137"/>
      <c r="OYO70" s="137"/>
      <c r="OYP70" s="137"/>
      <c r="OYQ70" s="137"/>
      <c r="OYR70" s="137"/>
      <c r="OYS70" s="137"/>
      <c r="OYT70" s="137"/>
      <c r="OYU70" s="137"/>
      <c r="OYV70" s="137"/>
      <c r="OYW70" s="137"/>
      <c r="OYX70" s="137"/>
      <c r="OYY70" s="137"/>
      <c r="OYZ70" s="137"/>
      <c r="OZA70" s="137"/>
      <c r="OZB70" s="137"/>
      <c r="OZC70" s="137"/>
      <c r="OZD70" s="137"/>
      <c r="OZE70" s="137"/>
      <c r="OZF70" s="137"/>
      <c r="OZG70" s="137"/>
      <c r="OZH70" s="137"/>
      <c r="OZI70" s="137"/>
      <c r="OZJ70" s="137"/>
      <c r="OZK70" s="137"/>
      <c r="OZL70" s="137"/>
      <c r="OZM70" s="137"/>
      <c r="OZN70" s="137"/>
      <c r="OZO70" s="137"/>
      <c r="OZP70" s="137"/>
      <c r="OZQ70" s="137"/>
      <c r="OZR70" s="137"/>
      <c r="OZS70" s="137"/>
      <c r="OZT70" s="137"/>
      <c r="OZU70" s="137"/>
      <c r="OZV70" s="137"/>
      <c r="OZW70" s="137"/>
      <c r="OZX70" s="137"/>
      <c r="OZY70" s="137"/>
      <c r="OZZ70" s="137"/>
      <c r="PAA70" s="137"/>
      <c r="PAB70" s="137"/>
      <c r="PAC70" s="137"/>
      <c r="PAD70" s="137"/>
      <c r="PAE70" s="137"/>
      <c r="PAF70" s="137"/>
      <c r="PAG70" s="137"/>
      <c r="PAH70" s="137"/>
      <c r="PAI70" s="137"/>
      <c r="PAJ70" s="137"/>
      <c r="PAK70" s="137"/>
      <c r="PAL70" s="137"/>
      <c r="PAM70" s="137"/>
      <c r="PAN70" s="137"/>
      <c r="PAO70" s="137"/>
      <c r="PAP70" s="137"/>
      <c r="PAQ70" s="137"/>
      <c r="PAR70" s="137"/>
      <c r="PAS70" s="137"/>
      <c r="PAT70" s="137"/>
      <c r="PAU70" s="137"/>
      <c r="PAV70" s="137"/>
      <c r="PAW70" s="137"/>
      <c r="PAX70" s="137"/>
      <c r="PAY70" s="137"/>
      <c r="PAZ70" s="137"/>
      <c r="PBA70" s="137"/>
      <c r="PBB70" s="137"/>
      <c r="PBC70" s="137"/>
      <c r="PBD70" s="137"/>
      <c r="PBE70" s="137"/>
      <c r="PBF70" s="137"/>
      <c r="PBG70" s="137"/>
      <c r="PBH70" s="137"/>
      <c r="PBI70" s="137"/>
      <c r="PBJ70" s="137"/>
      <c r="PBK70" s="137"/>
      <c r="PBL70" s="137"/>
      <c r="PBM70" s="137"/>
      <c r="PBN70" s="137"/>
      <c r="PBO70" s="137"/>
      <c r="PBP70" s="137"/>
      <c r="PBQ70" s="137"/>
      <c r="PBR70" s="137"/>
      <c r="PBS70" s="137"/>
      <c r="PBT70" s="137"/>
      <c r="PBU70" s="137"/>
      <c r="PBV70" s="137"/>
      <c r="PBW70" s="137"/>
      <c r="PBX70" s="137"/>
      <c r="PBY70" s="137"/>
      <c r="PBZ70" s="137"/>
      <c r="PCA70" s="137"/>
      <c r="PCB70" s="137"/>
      <c r="PCC70" s="137"/>
      <c r="PCD70" s="137"/>
      <c r="PCE70" s="137"/>
      <c r="PCF70" s="137"/>
      <c r="PCG70" s="137"/>
      <c r="PCH70" s="137"/>
      <c r="PCI70" s="137"/>
      <c r="PCJ70" s="137"/>
      <c r="PCK70" s="137"/>
      <c r="PCL70" s="137"/>
      <c r="PCM70" s="137"/>
      <c r="PCN70" s="137"/>
      <c r="PCO70" s="137"/>
      <c r="PCP70" s="137"/>
      <c r="PCQ70" s="137"/>
      <c r="PCR70" s="137"/>
      <c r="PCS70" s="137"/>
      <c r="PCT70" s="137"/>
      <c r="PCU70" s="137"/>
      <c r="PCV70" s="137"/>
      <c r="PCW70" s="137"/>
      <c r="PCX70" s="137"/>
      <c r="PCY70" s="137"/>
      <c r="PCZ70" s="137"/>
      <c r="PDA70" s="137"/>
      <c r="PDB70" s="137"/>
      <c r="PDC70" s="137"/>
      <c r="PDD70" s="137"/>
      <c r="PDE70" s="137"/>
      <c r="PDF70" s="137"/>
      <c r="PDG70" s="137"/>
      <c r="PDH70" s="137"/>
      <c r="PDI70" s="137"/>
      <c r="PDJ70" s="137"/>
      <c r="PDK70" s="137"/>
      <c r="PDL70" s="137"/>
      <c r="PDM70" s="137"/>
      <c r="PDN70" s="137"/>
      <c r="PDO70" s="137"/>
      <c r="PDP70" s="137"/>
      <c r="PDQ70" s="137"/>
      <c r="PDR70" s="137"/>
      <c r="PDS70" s="137"/>
      <c r="PDT70" s="137"/>
      <c r="PDU70" s="137"/>
      <c r="PDV70" s="137"/>
      <c r="PDW70" s="137"/>
      <c r="PDX70" s="137"/>
      <c r="PDY70" s="137"/>
      <c r="PDZ70" s="137"/>
      <c r="PEA70" s="137"/>
      <c r="PEB70" s="137"/>
      <c r="PEC70" s="137"/>
      <c r="PED70" s="137"/>
      <c r="PEE70" s="137"/>
      <c r="PEF70" s="137"/>
      <c r="PEG70" s="137"/>
      <c r="PEH70" s="137"/>
      <c r="PEI70" s="137"/>
      <c r="PEJ70" s="137"/>
      <c r="PEK70" s="137"/>
      <c r="PEL70" s="137"/>
      <c r="PEM70" s="137"/>
      <c r="PEN70" s="137"/>
      <c r="PEO70" s="137"/>
      <c r="PEP70" s="137"/>
      <c r="PEQ70" s="137"/>
      <c r="PER70" s="137"/>
      <c r="PES70" s="137"/>
      <c r="PET70" s="137"/>
      <c r="PEU70" s="137"/>
      <c r="PEV70" s="137"/>
      <c r="PEW70" s="137"/>
      <c r="PEX70" s="137"/>
      <c r="PEY70" s="137"/>
      <c r="PEZ70" s="137"/>
      <c r="PFA70" s="137"/>
      <c r="PFB70" s="137"/>
      <c r="PFC70" s="137"/>
      <c r="PFD70" s="137"/>
      <c r="PFE70" s="137"/>
      <c r="PFF70" s="137"/>
      <c r="PFG70" s="137"/>
      <c r="PFH70" s="137"/>
      <c r="PFI70" s="137"/>
      <c r="PFJ70" s="137"/>
      <c r="PFK70" s="137"/>
      <c r="PFL70" s="137"/>
      <c r="PFM70" s="137"/>
      <c r="PFN70" s="137"/>
      <c r="PFO70" s="137"/>
      <c r="PFP70" s="137"/>
      <c r="PFQ70" s="137"/>
      <c r="PFR70" s="137"/>
      <c r="PFS70" s="137"/>
      <c r="PFT70" s="137"/>
      <c r="PFU70" s="137"/>
      <c r="PFV70" s="137"/>
      <c r="PFW70" s="137"/>
      <c r="PFX70" s="137"/>
      <c r="PFY70" s="137"/>
      <c r="PFZ70" s="137"/>
      <c r="PGA70" s="137"/>
      <c r="PGB70" s="137"/>
      <c r="PGC70" s="137"/>
      <c r="PGD70" s="137"/>
      <c r="PGE70" s="137"/>
      <c r="PGF70" s="137"/>
      <c r="PGG70" s="137"/>
      <c r="PGH70" s="137"/>
      <c r="PGI70" s="137"/>
      <c r="PGJ70" s="137"/>
      <c r="PGK70" s="137"/>
      <c r="PGL70" s="137"/>
      <c r="PGM70" s="137"/>
      <c r="PGN70" s="137"/>
      <c r="PGO70" s="137"/>
      <c r="PGP70" s="137"/>
      <c r="PGQ70" s="137"/>
      <c r="PGR70" s="137"/>
      <c r="PGS70" s="137"/>
      <c r="PGT70" s="137"/>
      <c r="PGU70" s="137"/>
      <c r="PGV70" s="137"/>
      <c r="PGW70" s="137"/>
      <c r="PGX70" s="137"/>
      <c r="PGY70" s="137"/>
      <c r="PGZ70" s="137"/>
      <c r="PHA70" s="137"/>
      <c r="PHB70" s="137"/>
      <c r="PHC70" s="137"/>
      <c r="PHD70" s="137"/>
      <c r="PHE70" s="137"/>
      <c r="PHF70" s="137"/>
      <c r="PHG70" s="137"/>
      <c r="PHH70" s="137"/>
      <c r="PHI70" s="137"/>
      <c r="PHJ70" s="137"/>
      <c r="PHK70" s="137"/>
      <c r="PHL70" s="137"/>
      <c r="PHM70" s="137"/>
      <c r="PHN70" s="137"/>
      <c r="PHO70" s="137"/>
      <c r="PHP70" s="137"/>
      <c r="PHQ70" s="137"/>
      <c r="PHR70" s="137"/>
      <c r="PHS70" s="137"/>
      <c r="PHT70" s="137"/>
      <c r="PHU70" s="137"/>
      <c r="PHV70" s="137"/>
      <c r="PHW70" s="137"/>
      <c r="PHX70" s="137"/>
      <c r="PHY70" s="137"/>
      <c r="PHZ70" s="137"/>
      <c r="PIA70" s="137"/>
      <c r="PIB70" s="137"/>
      <c r="PIC70" s="137"/>
      <c r="PID70" s="137"/>
      <c r="PIE70" s="137"/>
      <c r="PIF70" s="137"/>
      <c r="PIG70" s="137"/>
      <c r="PIH70" s="137"/>
      <c r="PII70" s="137"/>
      <c r="PIJ70" s="137"/>
      <c r="PIK70" s="137"/>
      <c r="PIL70" s="137"/>
      <c r="PIM70" s="137"/>
      <c r="PIN70" s="137"/>
      <c r="PIO70" s="137"/>
      <c r="PIP70" s="137"/>
      <c r="PIQ70" s="137"/>
      <c r="PIR70" s="137"/>
      <c r="PIS70" s="137"/>
      <c r="PIT70" s="137"/>
      <c r="PIU70" s="137"/>
      <c r="PIV70" s="137"/>
      <c r="PIW70" s="137"/>
      <c r="PIX70" s="137"/>
      <c r="PIY70" s="137"/>
      <c r="PIZ70" s="137"/>
      <c r="PJA70" s="137"/>
      <c r="PJB70" s="137"/>
      <c r="PJC70" s="137"/>
      <c r="PJD70" s="137"/>
      <c r="PJE70" s="137"/>
      <c r="PJF70" s="137"/>
      <c r="PJG70" s="137"/>
      <c r="PJH70" s="137"/>
      <c r="PJI70" s="137"/>
      <c r="PJJ70" s="137"/>
      <c r="PJK70" s="137"/>
      <c r="PJL70" s="137"/>
      <c r="PJM70" s="137"/>
      <c r="PJN70" s="137"/>
      <c r="PJO70" s="137"/>
      <c r="PJP70" s="137"/>
      <c r="PJQ70" s="137"/>
      <c r="PJR70" s="137"/>
      <c r="PJS70" s="137"/>
      <c r="PJT70" s="137"/>
      <c r="PJU70" s="137"/>
      <c r="PJV70" s="137"/>
      <c r="PJW70" s="137"/>
      <c r="PJX70" s="137"/>
      <c r="PJY70" s="137"/>
      <c r="PJZ70" s="137"/>
      <c r="PKA70" s="137"/>
      <c r="PKB70" s="137"/>
      <c r="PKC70" s="137"/>
      <c r="PKD70" s="137"/>
      <c r="PKE70" s="137"/>
      <c r="PKF70" s="137"/>
      <c r="PKG70" s="137"/>
      <c r="PKH70" s="137"/>
      <c r="PKI70" s="137"/>
      <c r="PKJ70" s="137"/>
      <c r="PKK70" s="137"/>
      <c r="PKL70" s="137"/>
      <c r="PKM70" s="137"/>
      <c r="PKN70" s="137"/>
      <c r="PKO70" s="137"/>
      <c r="PKP70" s="137"/>
      <c r="PKQ70" s="137"/>
      <c r="PKR70" s="137"/>
      <c r="PKS70" s="137"/>
      <c r="PKT70" s="137"/>
      <c r="PKU70" s="137"/>
      <c r="PKV70" s="137"/>
      <c r="PKW70" s="137"/>
      <c r="PKX70" s="137"/>
      <c r="PKY70" s="137"/>
      <c r="PKZ70" s="137"/>
      <c r="PLA70" s="137"/>
      <c r="PLB70" s="137"/>
      <c r="PLC70" s="137"/>
      <c r="PLD70" s="137"/>
      <c r="PLE70" s="137"/>
      <c r="PLF70" s="137"/>
      <c r="PLG70" s="137"/>
      <c r="PLH70" s="137"/>
      <c r="PLI70" s="137"/>
      <c r="PLJ70" s="137"/>
      <c r="PLK70" s="137"/>
      <c r="PLL70" s="137"/>
      <c r="PLM70" s="137"/>
      <c r="PLN70" s="137"/>
      <c r="PLO70" s="137"/>
      <c r="PLP70" s="137"/>
      <c r="PLQ70" s="137"/>
      <c r="PLR70" s="137"/>
      <c r="PLS70" s="137"/>
      <c r="PLT70" s="137"/>
      <c r="PLU70" s="137"/>
      <c r="PLV70" s="137"/>
      <c r="PLW70" s="137"/>
      <c r="PLX70" s="137"/>
      <c r="PLY70" s="137"/>
      <c r="PLZ70" s="137"/>
      <c r="PMA70" s="137"/>
      <c r="PMB70" s="137"/>
      <c r="PMC70" s="137"/>
      <c r="PMD70" s="137"/>
      <c r="PME70" s="137"/>
      <c r="PMF70" s="137"/>
      <c r="PMG70" s="137"/>
      <c r="PMH70" s="137"/>
      <c r="PMI70" s="137"/>
      <c r="PMJ70" s="137"/>
      <c r="PMK70" s="137"/>
      <c r="PML70" s="137"/>
      <c r="PMM70" s="137"/>
      <c r="PMN70" s="137"/>
      <c r="PMO70" s="137"/>
      <c r="PMP70" s="137"/>
      <c r="PMQ70" s="137"/>
      <c r="PMR70" s="137"/>
      <c r="PMS70" s="137"/>
      <c r="PMT70" s="137"/>
      <c r="PMU70" s="137"/>
      <c r="PMV70" s="137"/>
      <c r="PMW70" s="137"/>
      <c r="PMX70" s="137"/>
      <c r="PMY70" s="137"/>
      <c r="PMZ70" s="137"/>
      <c r="PNA70" s="137"/>
      <c r="PNB70" s="137"/>
      <c r="PNC70" s="137"/>
      <c r="PND70" s="137"/>
      <c r="PNE70" s="137"/>
      <c r="PNF70" s="137"/>
      <c r="PNG70" s="137"/>
      <c r="PNH70" s="137"/>
      <c r="PNI70" s="137"/>
      <c r="PNJ70" s="137"/>
      <c r="PNK70" s="137"/>
      <c r="PNL70" s="137"/>
      <c r="PNM70" s="137"/>
      <c r="PNN70" s="137"/>
      <c r="PNO70" s="137"/>
      <c r="PNP70" s="137"/>
      <c r="PNQ70" s="137"/>
      <c r="PNR70" s="137"/>
      <c r="PNS70" s="137"/>
      <c r="PNT70" s="137"/>
      <c r="PNU70" s="137"/>
      <c r="PNV70" s="137"/>
      <c r="PNW70" s="137"/>
      <c r="PNX70" s="137"/>
      <c r="PNY70" s="137"/>
      <c r="PNZ70" s="137"/>
      <c r="POA70" s="137"/>
      <c r="POB70" s="137"/>
      <c r="POC70" s="137"/>
      <c r="POD70" s="137"/>
      <c r="POE70" s="137"/>
      <c r="POF70" s="137"/>
      <c r="POG70" s="137"/>
      <c r="POH70" s="137"/>
      <c r="POI70" s="137"/>
      <c r="POJ70" s="137"/>
      <c r="POK70" s="137"/>
      <c r="POL70" s="137"/>
      <c r="POM70" s="137"/>
      <c r="PON70" s="137"/>
      <c r="POO70" s="137"/>
      <c r="POP70" s="137"/>
      <c r="POQ70" s="137"/>
      <c r="POR70" s="137"/>
      <c r="POS70" s="137"/>
      <c r="POT70" s="137"/>
      <c r="POU70" s="137"/>
      <c r="POV70" s="137"/>
      <c r="POW70" s="137"/>
      <c r="POX70" s="137"/>
      <c r="POY70" s="137"/>
      <c r="POZ70" s="137"/>
      <c r="PPA70" s="137"/>
      <c r="PPB70" s="137"/>
      <c r="PPC70" s="137"/>
      <c r="PPD70" s="137"/>
      <c r="PPE70" s="137"/>
      <c r="PPF70" s="137"/>
      <c r="PPG70" s="137"/>
      <c r="PPH70" s="137"/>
      <c r="PPI70" s="137"/>
      <c r="PPJ70" s="137"/>
      <c r="PPK70" s="137"/>
      <c r="PPL70" s="137"/>
      <c r="PPM70" s="137"/>
      <c r="PPN70" s="137"/>
      <c r="PPO70" s="137"/>
      <c r="PPP70" s="137"/>
      <c r="PPQ70" s="137"/>
      <c r="PPR70" s="137"/>
      <c r="PPS70" s="137"/>
      <c r="PPT70" s="137"/>
      <c r="PPU70" s="137"/>
      <c r="PPV70" s="137"/>
      <c r="PPW70" s="137"/>
      <c r="PPX70" s="137"/>
      <c r="PPY70" s="137"/>
      <c r="PPZ70" s="137"/>
      <c r="PQA70" s="137"/>
      <c r="PQB70" s="137"/>
      <c r="PQC70" s="137"/>
      <c r="PQD70" s="137"/>
      <c r="PQE70" s="137"/>
      <c r="PQF70" s="137"/>
      <c r="PQG70" s="137"/>
      <c r="PQH70" s="137"/>
      <c r="PQI70" s="137"/>
      <c r="PQJ70" s="137"/>
      <c r="PQK70" s="137"/>
      <c r="PQL70" s="137"/>
      <c r="PQM70" s="137"/>
      <c r="PQN70" s="137"/>
      <c r="PQO70" s="137"/>
      <c r="PQP70" s="137"/>
      <c r="PQQ70" s="137"/>
      <c r="PQR70" s="137"/>
      <c r="PQS70" s="137"/>
      <c r="PQT70" s="137"/>
      <c r="PQU70" s="137"/>
      <c r="PQV70" s="137"/>
      <c r="PQW70" s="137"/>
      <c r="PQX70" s="137"/>
      <c r="PQY70" s="137"/>
      <c r="PQZ70" s="137"/>
      <c r="PRA70" s="137"/>
      <c r="PRB70" s="137"/>
      <c r="PRC70" s="137"/>
      <c r="PRD70" s="137"/>
      <c r="PRE70" s="137"/>
      <c r="PRF70" s="137"/>
      <c r="PRG70" s="137"/>
      <c r="PRH70" s="137"/>
      <c r="PRI70" s="137"/>
      <c r="PRJ70" s="137"/>
      <c r="PRK70" s="137"/>
      <c r="PRL70" s="137"/>
      <c r="PRM70" s="137"/>
      <c r="PRN70" s="137"/>
      <c r="PRO70" s="137"/>
      <c r="PRP70" s="137"/>
      <c r="PRQ70" s="137"/>
      <c r="PRR70" s="137"/>
      <c r="PRS70" s="137"/>
      <c r="PRT70" s="137"/>
      <c r="PRU70" s="137"/>
      <c r="PRV70" s="137"/>
      <c r="PRW70" s="137"/>
      <c r="PRX70" s="137"/>
      <c r="PRY70" s="137"/>
      <c r="PRZ70" s="137"/>
      <c r="PSA70" s="137"/>
      <c r="PSB70" s="137"/>
      <c r="PSC70" s="137"/>
      <c r="PSD70" s="137"/>
      <c r="PSE70" s="137"/>
      <c r="PSF70" s="137"/>
      <c r="PSG70" s="137"/>
      <c r="PSH70" s="137"/>
      <c r="PSI70" s="137"/>
      <c r="PSJ70" s="137"/>
      <c r="PSK70" s="137"/>
      <c r="PSL70" s="137"/>
      <c r="PSM70" s="137"/>
      <c r="PSN70" s="137"/>
      <c r="PSO70" s="137"/>
      <c r="PSP70" s="137"/>
      <c r="PSQ70" s="137"/>
      <c r="PSR70" s="137"/>
      <c r="PSS70" s="137"/>
      <c r="PST70" s="137"/>
      <c r="PSU70" s="137"/>
      <c r="PSV70" s="137"/>
      <c r="PSW70" s="137"/>
      <c r="PSX70" s="137"/>
      <c r="PSY70" s="137"/>
      <c r="PSZ70" s="137"/>
      <c r="PTA70" s="137"/>
      <c r="PTB70" s="137"/>
      <c r="PTC70" s="137"/>
      <c r="PTD70" s="137"/>
      <c r="PTE70" s="137"/>
      <c r="PTF70" s="137"/>
      <c r="PTG70" s="137"/>
      <c r="PTH70" s="137"/>
      <c r="PTI70" s="137"/>
      <c r="PTJ70" s="137"/>
      <c r="PTK70" s="137"/>
      <c r="PTL70" s="137"/>
      <c r="PTM70" s="137"/>
      <c r="PTN70" s="137"/>
      <c r="PTO70" s="137"/>
      <c r="PTP70" s="137"/>
      <c r="PTQ70" s="137"/>
      <c r="PTR70" s="137"/>
      <c r="PTS70" s="137"/>
      <c r="PTT70" s="137"/>
      <c r="PTU70" s="137"/>
      <c r="PTV70" s="137"/>
      <c r="PTW70" s="137"/>
      <c r="PTX70" s="137"/>
      <c r="PTY70" s="137"/>
      <c r="PTZ70" s="137"/>
      <c r="PUA70" s="137"/>
      <c r="PUB70" s="137"/>
      <c r="PUC70" s="137"/>
      <c r="PUD70" s="137"/>
      <c r="PUE70" s="137"/>
      <c r="PUF70" s="137"/>
      <c r="PUG70" s="137"/>
      <c r="PUH70" s="137"/>
      <c r="PUI70" s="137"/>
      <c r="PUJ70" s="137"/>
      <c r="PUK70" s="137"/>
      <c r="PUL70" s="137"/>
      <c r="PUM70" s="137"/>
      <c r="PUN70" s="137"/>
      <c r="PUO70" s="137"/>
      <c r="PUP70" s="137"/>
      <c r="PUQ70" s="137"/>
      <c r="PUR70" s="137"/>
      <c r="PUS70" s="137"/>
      <c r="PUT70" s="137"/>
      <c r="PUU70" s="137"/>
      <c r="PUV70" s="137"/>
      <c r="PUW70" s="137"/>
      <c r="PUX70" s="137"/>
      <c r="PUY70" s="137"/>
      <c r="PUZ70" s="137"/>
      <c r="PVA70" s="137"/>
      <c r="PVB70" s="137"/>
      <c r="PVC70" s="137"/>
      <c r="PVD70" s="137"/>
      <c r="PVE70" s="137"/>
      <c r="PVF70" s="137"/>
      <c r="PVG70" s="137"/>
      <c r="PVH70" s="137"/>
      <c r="PVI70" s="137"/>
      <c r="PVJ70" s="137"/>
      <c r="PVK70" s="137"/>
      <c r="PVL70" s="137"/>
      <c r="PVM70" s="137"/>
      <c r="PVN70" s="137"/>
      <c r="PVO70" s="137"/>
      <c r="PVP70" s="137"/>
      <c r="PVQ70" s="137"/>
      <c r="PVR70" s="137"/>
      <c r="PVS70" s="137"/>
      <c r="PVT70" s="137"/>
      <c r="PVU70" s="137"/>
      <c r="PVV70" s="137"/>
      <c r="PVW70" s="137"/>
      <c r="PVX70" s="137"/>
      <c r="PVY70" s="137"/>
      <c r="PVZ70" s="137"/>
      <c r="PWA70" s="137"/>
      <c r="PWB70" s="137"/>
      <c r="PWC70" s="137"/>
      <c r="PWD70" s="137"/>
      <c r="PWE70" s="137"/>
      <c r="PWF70" s="137"/>
      <c r="PWG70" s="137"/>
      <c r="PWH70" s="137"/>
      <c r="PWI70" s="137"/>
      <c r="PWJ70" s="137"/>
      <c r="PWK70" s="137"/>
      <c r="PWL70" s="137"/>
      <c r="PWM70" s="137"/>
      <c r="PWN70" s="137"/>
      <c r="PWO70" s="137"/>
      <c r="PWP70" s="137"/>
      <c r="PWQ70" s="137"/>
      <c r="PWR70" s="137"/>
      <c r="PWS70" s="137"/>
      <c r="PWT70" s="137"/>
      <c r="PWU70" s="137"/>
      <c r="PWV70" s="137"/>
      <c r="PWW70" s="137"/>
      <c r="PWX70" s="137"/>
      <c r="PWY70" s="137"/>
      <c r="PWZ70" s="137"/>
      <c r="PXA70" s="137"/>
      <c r="PXB70" s="137"/>
      <c r="PXC70" s="137"/>
      <c r="PXD70" s="137"/>
      <c r="PXE70" s="137"/>
      <c r="PXF70" s="137"/>
      <c r="PXG70" s="137"/>
      <c r="PXH70" s="137"/>
      <c r="PXI70" s="137"/>
      <c r="PXJ70" s="137"/>
      <c r="PXK70" s="137"/>
      <c r="PXL70" s="137"/>
      <c r="PXM70" s="137"/>
      <c r="PXN70" s="137"/>
      <c r="PXO70" s="137"/>
      <c r="PXP70" s="137"/>
      <c r="PXQ70" s="137"/>
      <c r="PXR70" s="137"/>
      <c r="PXS70" s="137"/>
      <c r="PXT70" s="137"/>
      <c r="PXU70" s="137"/>
      <c r="PXV70" s="137"/>
      <c r="PXW70" s="137"/>
      <c r="PXX70" s="137"/>
      <c r="PXY70" s="137"/>
      <c r="PXZ70" s="137"/>
      <c r="PYA70" s="137"/>
      <c r="PYB70" s="137"/>
      <c r="PYC70" s="137"/>
      <c r="PYD70" s="137"/>
      <c r="PYE70" s="137"/>
      <c r="PYF70" s="137"/>
      <c r="PYG70" s="137"/>
      <c r="PYH70" s="137"/>
      <c r="PYI70" s="137"/>
      <c r="PYJ70" s="137"/>
      <c r="PYK70" s="137"/>
      <c r="PYL70" s="137"/>
      <c r="PYM70" s="137"/>
      <c r="PYN70" s="137"/>
      <c r="PYO70" s="137"/>
      <c r="PYP70" s="137"/>
      <c r="PYQ70" s="137"/>
      <c r="PYR70" s="137"/>
      <c r="PYS70" s="137"/>
      <c r="PYT70" s="137"/>
      <c r="PYU70" s="137"/>
      <c r="PYV70" s="137"/>
      <c r="PYW70" s="137"/>
      <c r="PYX70" s="137"/>
      <c r="PYY70" s="137"/>
      <c r="PYZ70" s="137"/>
      <c r="PZA70" s="137"/>
      <c r="PZB70" s="137"/>
      <c r="PZC70" s="137"/>
      <c r="PZD70" s="137"/>
      <c r="PZE70" s="137"/>
      <c r="PZF70" s="137"/>
      <c r="PZG70" s="137"/>
      <c r="PZH70" s="137"/>
      <c r="PZI70" s="137"/>
      <c r="PZJ70" s="137"/>
      <c r="PZK70" s="137"/>
      <c r="PZL70" s="137"/>
      <c r="PZM70" s="137"/>
      <c r="PZN70" s="137"/>
      <c r="PZO70" s="137"/>
      <c r="PZP70" s="137"/>
      <c r="PZQ70" s="137"/>
      <c r="PZR70" s="137"/>
      <c r="PZS70" s="137"/>
      <c r="PZT70" s="137"/>
      <c r="PZU70" s="137"/>
      <c r="PZV70" s="137"/>
      <c r="PZW70" s="137"/>
      <c r="PZX70" s="137"/>
      <c r="PZY70" s="137"/>
      <c r="PZZ70" s="137"/>
      <c r="QAA70" s="137"/>
      <c r="QAB70" s="137"/>
      <c r="QAC70" s="137"/>
      <c r="QAD70" s="137"/>
      <c r="QAE70" s="137"/>
      <c r="QAF70" s="137"/>
      <c r="QAG70" s="137"/>
      <c r="QAH70" s="137"/>
      <c r="QAI70" s="137"/>
      <c r="QAJ70" s="137"/>
      <c r="QAK70" s="137"/>
      <c r="QAL70" s="137"/>
      <c r="QAM70" s="137"/>
      <c r="QAN70" s="137"/>
      <c r="QAO70" s="137"/>
      <c r="QAP70" s="137"/>
      <c r="QAQ70" s="137"/>
      <c r="QAR70" s="137"/>
      <c r="QAS70" s="137"/>
      <c r="QAT70" s="137"/>
      <c r="QAU70" s="137"/>
      <c r="QAV70" s="137"/>
      <c r="QAW70" s="137"/>
      <c r="QAX70" s="137"/>
      <c r="QAY70" s="137"/>
      <c r="QAZ70" s="137"/>
      <c r="QBA70" s="137"/>
      <c r="QBB70" s="137"/>
      <c r="QBC70" s="137"/>
      <c r="QBD70" s="137"/>
      <c r="QBE70" s="137"/>
      <c r="QBF70" s="137"/>
      <c r="QBG70" s="137"/>
      <c r="QBH70" s="137"/>
      <c r="QBI70" s="137"/>
      <c r="QBJ70" s="137"/>
      <c r="QBK70" s="137"/>
      <c r="QBL70" s="137"/>
      <c r="QBM70" s="137"/>
      <c r="QBN70" s="137"/>
      <c r="QBO70" s="137"/>
      <c r="QBP70" s="137"/>
      <c r="QBQ70" s="137"/>
      <c r="QBR70" s="137"/>
      <c r="QBS70" s="137"/>
      <c r="QBT70" s="137"/>
      <c r="QBU70" s="137"/>
      <c r="QBV70" s="137"/>
      <c r="QBW70" s="137"/>
      <c r="QBX70" s="137"/>
      <c r="QBY70" s="137"/>
      <c r="QBZ70" s="137"/>
      <c r="QCA70" s="137"/>
      <c r="QCB70" s="137"/>
      <c r="QCC70" s="137"/>
      <c r="QCD70" s="137"/>
      <c r="QCE70" s="137"/>
      <c r="QCF70" s="137"/>
      <c r="QCG70" s="137"/>
      <c r="QCH70" s="137"/>
      <c r="QCI70" s="137"/>
      <c r="QCJ70" s="137"/>
      <c r="QCK70" s="137"/>
      <c r="QCL70" s="137"/>
      <c r="QCM70" s="137"/>
      <c r="QCN70" s="137"/>
      <c r="QCO70" s="137"/>
      <c r="QCP70" s="137"/>
      <c r="QCQ70" s="137"/>
      <c r="QCR70" s="137"/>
      <c r="QCS70" s="137"/>
      <c r="QCT70" s="137"/>
      <c r="QCU70" s="137"/>
      <c r="QCV70" s="137"/>
      <c r="QCW70" s="137"/>
      <c r="QCX70" s="137"/>
      <c r="QCY70" s="137"/>
      <c r="QCZ70" s="137"/>
      <c r="QDA70" s="137"/>
      <c r="QDB70" s="137"/>
      <c r="QDC70" s="137"/>
      <c r="QDD70" s="137"/>
      <c r="QDE70" s="137"/>
      <c r="QDF70" s="137"/>
      <c r="QDG70" s="137"/>
      <c r="QDH70" s="137"/>
      <c r="QDI70" s="137"/>
      <c r="QDJ70" s="137"/>
      <c r="QDK70" s="137"/>
      <c r="QDL70" s="137"/>
      <c r="QDM70" s="137"/>
      <c r="QDN70" s="137"/>
      <c r="QDO70" s="137"/>
      <c r="QDP70" s="137"/>
      <c r="QDQ70" s="137"/>
      <c r="QDR70" s="137"/>
      <c r="QDS70" s="137"/>
      <c r="QDT70" s="137"/>
      <c r="QDU70" s="137"/>
      <c r="QDV70" s="137"/>
      <c r="QDW70" s="137"/>
      <c r="QDX70" s="137"/>
      <c r="QDY70" s="137"/>
      <c r="QDZ70" s="137"/>
      <c r="QEA70" s="137"/>
      <c r="QEB70" s="137"/>
      <c r="QEC70" s="137"/>
      <c r="QED70" s="137"/>
      <c r="QEE70" s="137"/>
      <c r="QEF70" s="137"/>
      <c r="QEG70" s="137"/>
      <c r="QEH70" s="137"/>
      <c r="QEI70" s="137"/>
      <c r="QEJ70" s="137"/>
      <c r="QEK70" s="137"/>
      <c r="QEL70" s="137"/>
      <c r="QEM70" s="137"/>
      <c r="QEN70" s="137"/>
      <c r="QEO70" s="137"/>
      <c r="QEP70" s="137"/>
      <c r="QEQ70" s="137"/>
      <c r="QER70" s="137"/>
      <c r="QES70" s="137"/>
      <c r="QET70" s="137"/>
      <c r="QEU70" s="137"/>
      <c r="QEV70" s="137"/>
      <c r="QEW70" s="137"/>
      <c r="QEX70" s="137"/>
      <c r="QEY70" s="137"/>
      <c r="QEZ70" s="137"/>
      <c r="QFA70" s="137"/>
      <c r="QFB70" s="137"/>
      <c r="QFC70" s="137"/>
      <c r="QFD70" s="137"/>
      <c r="QFE70" s="137"/>
      <c r="QFF70" s="137"/>
      <c r="QFG70" s="137"/>
      <c r="QFH70" s="137"/>
      <c r="QFI70" s="137"/>
      <c r="QFJ70" s="137"/>
      <c r="QFK70" s="137"/>
      <c r="QFL70" s="137"/>
      <c r="QFM70" s="137"/>
      <c r="QFN70" s="137"/>
      <c r="QFO70" s="137"/>
      <c r="QFP70" s="137"/>
      <c r="QFQ70" s="137"/>
      <c r="QFR70" s="137"/>
      <c r="QFS70" s="137"/>
      <c r="QFT70" s="137"/>
      <c r="QFU70" s="137"/>
      <c r="QFV70" s="137"/>
      <c r="QFW70" s="137"/>
      <c r="QFX70" s="137"/>
      <c r="QFY70" s="137"/>
      <c r="QFZ70" s="137"/>
      <c r="QGA70" s="137"/>
      <c r="QGB70" s="137"/>
      <c r="QGC70" s="137"/>
      <c r="QGD70" s="137"/>
      <c r="QGE70" s="137"/>
      <c r="QGF70" s="137"/>
      <c r="QGG70" s="137"/>
      <c r="QGH70" s="137"/>
      <c r="QGI70" s="137"/>
      <c r="QGJ70" s="137"/>
      <c r="QGK70" s="137"/>
      <c r="QGL70" s="137"/>
      <c r="QGM70" s="137"/>
      <c r="QGN70" s="137"/>
      <c r="QGO70" s="137"/>
      <c r="QGP70" s="137"/>
      <c r="QGQ70" s="137"/>
      <c r="QGR70" s="137"/>
      <c r="QGS70" s="137"/>
      <c r="QGT70" s="137"/>
      <c r="QGU70" s="137"/>
      <c r="QGV70" s="137"/>
      <c r="QGW70" s="137"/>
      <c r="QGX70" s="137"/>
      <c r="QGY70" s="137"/>
      <c r="QGZ70" s="137"/>
      <c r="QHA70" s="137"/>
      <c r="QHB70" s="137"/>
      <c r="QHC70" s="137"/>
      <c r="QHD70" s="137"/>
      <c r="QHE70" s="137"/>
      <c r="QHF70" s="137"/>
      <c r="QHG70" s="137"/>
      <c r="QHH70" s="137"/>
      <c r="QHI70" s="137"/>
      <c r="QHJ70" s="137"/>
      <c r="QHK70" s="137"/>
      <c r="QHL70" s="137"/>
      <c r="QHM70" s="137"/>
      <c r="QHN70" s="137"/>
      <c r="QHO70" s="137"/>
      <c r="QHP70" s="137"/>
      <c r="QHQ70" s="137"/>
      <c r="QHR70" s="137"/>
      <c r="QHS70" s="137"/>
      <c r="QHT70" s="137"/>
      <c r="QHU70" s="137"/>
      <c r="QHV70" s="137"/>
      <c r="QHW70" s="137"/>
      <c r="QHX70" s="137"/>
      <c r="QHY70" s="137"/>
      <c r="QHZ70" s="137"/>
      <c r="QIA70" s="137"/>
      <c r="QIB70" s="137"/>
      <c r="QIC70" s="137"/>
      <c r="QID70" s="137"/>
      <c r="QIE70" s="137"/>
      <c r="QIF70" s="137"/>
      <c r="QIG70" s="137"/>
      <c r="QIH70" s="137"/>
      <c r="QII70" s="137"/>
      <c r="QIJ70" s="137"/>
      <c r="QIK70" s="137"/>
      <c r="QIL70" s="137"/>
      <c r="QIM70" s="137"/>
      <c r="QIN70" s="137"/>
      <c r="QIO70" s="137"/>
      <c r="QIP70" s="137"/>
      <c r="QIQ70" s="137"/>
      <c r="QIR70" s="137"/>
      <c r="QIS70" s="137"/>
      <c r="QIT70" s="137"/>
      <c r="QIU70" s="137"/>
      <c r="QIV70" s="137"/>
      <c r="QIW70" s="137"/>
      <c r="QIX70" s="137"/>
      <c r="QIY70" s="137"/>
      <c r="QIZ70" s="137"/>
      <c r="QJA70" s="137"/>
      <c r="QJB70" s="137"/>
      <c r="QJC70" s="137"/>
      <c r="QJD70" s="137"/>
      <c r="QJE70" s="137"/>
      <c r="QJF70" s="137"/>
      <c r="QJG70" s="137"/>
      <c r="QJH70" s="137"/>
      <c r="QJI70" s="137"/>
      <c r="QJJ70" s="137"/>
      <c r="QJK70" s="137"/>
      <c r="QJL70" s="137"/>
      <c r="QJM70" s="137"/>
      <c r="QJN70" s="137"/>
      <c r="QJO70" s="137"/>
      <c r="QJP70" s="137"/>
      <c r="QJQ70" s="137"/>
      <c r="QJR70" s="137"/>
      <c r="QJS70" s="137"/>
      <c r="QJT70" s="137"/>
      <c r="QJU70" s="137"/>
      <c r="QJV70" s="137"/>
      <c r="QJW70" s="137"/>
      <c r="QJX70" s="137"/>
      <c r="QJY70" s="137"/>
      <c r="QJZ70" s="137"/>
      <c r="QKA70" s="137"/>
      <c r="QKB70" s="137"/>
      <c r="QKC70" s="137"/>
      <c r="QKD70" s="137"/>
      <c r="QKE70" s="137"/>
      <c r="QKF70" s="137"/>
      <c r="QKG70" s="137"/>
      <c r="QKH70" s="137"/>
      <c r="QKI70" s="137"/>
      <c r="QKJ70" s="137"/>
      <c r="QKK70" s="137"/>
      <c r="QKL70" s="137"/>
      <c r="QKM70" s="137"/>
      <c r="QKN70" s="137"/>
      <c r="QKO70" s="137"/>
      <c r="QKP70" s="137"/>
      <c r="QKQ70" s="137"/>
      <c r="QKR70" s="137"/>
      <c r="QKS70" s="137"/>
      <c r="QKT70" s="137"/>
      <c r="QKU70" s="137"/>
      <c r="QKV70" s="137"/>
      <c r="QKW70" s="137"/>
      <c r="QKX70" s="137"/>
      <c r="QKY70" s="137"/>
      <c r="QKZ70" s="137"/>
      <c r="QLA70" s="137"/>
      <c r="QLB70" s="137"/>
      <c r="QLC70" s="137"/>
      <c r="QLD70" s="137"/>
      <c r="QLE70" s="137"/>
      <c r="QLF70" s="137"/>
      <c r="QLG70" s="137"/>
      <c r="QLH70" s="137"/>
      <c r="QLI70" s="137"/>
      <c r="QLJ70" s="137"/>
      <c r="QLK70" s="137"/>
      <c r="QLL70" s="137"/>
      <c r="QLM70" s="137"/>
      <c r="QLN70" s="137"/>
      <c r="QLO70" s="137"/>
      <c r="QLP70" s="137"/>
      <c r="QLQ70" s="137"/>
      <c r="QLR70" s="137"/>
      <c r="QLS70" s="137"/>
      <c r="QLT70" s="137"/>
      <c r="QLU70" s="137"/>
      <c r="QLV70" s="137"/>
      <c r="QLW70" s="137"/>
      <c r="QLX70" s="137"/>
      <c r="QLY70" s="137"/>
      <c r="QLZ70" s="137"/>
      <c r="QMA70" s="137"/>
      <c r="QMB70" s="137"/>
      <c r="QMC70" s="137"/>
      <c r="QMD70" s="137"/>
      <c r="QME70" s="137"/>
      <c r="QMF70" s="137"/>
      <c r="QMG70" s="137"/>
      <c r="QMH70" s="137"/>
      <c r="QMI70" s="137"/>
      <c r="QMJ70" s="137"/>
      <c r="QMK70" s="137"/>
      <c r="QML70" s="137"/>
      <c r="QMM70" s="137"/>
      <c r="QMN70" s="137"/>
      <c r="QMO70" s="137"/>
      <c r="QMP70" s="137"/>
      <c r="QMQ70" s="137"/>
      <c r="QMR70" s="137"/>
      <c r="QMS70" s="137"/>
      <c r="QMT70" s="137"/>
      <c r="QMU70" s="137"/>
      <c r="QMV70" s="137"/>
      <c r="QMW70" s="137"/>
      <c r="QMX70" s="137"/>
      <c r="QMY70" s="137"/>
      <c r="QMZ70" s="137"/>
      <c r="QNA70" s="137"/>
      <c r="QNB70" s="137"/>
      <c r="QNC70" s="137"/>
      <c r="QND70" s="137"/>
      <c r="QNE70" s="137"/>
      <c r="QNF70" s="137"/>
      <c r="QNG70" s="137"/>
      <c r="QNH70" s="137"/>
      <c r="QNI70" s="137"/>
      <c r="QNJ70" s="137"/>
      <c r="QNK70" s="137"/>
      <c r="QNL70" s="137"/>
      <c r="QNM70" s="137"/>
      <c r="QNN70" s="137"/>
      <c r="QNO70" s="137"/>
      <c r="QNP70" s="137"/>
      <c r="QNQ70" s="137"/>
      <c r="QNR70" s="137"/>
      <c r="QNS70" s="137"/>
      <c r="QNT70" s="137"/>
      <c r="QNU70" s="137"/>
      <c r="QNV70" s="137"/>
      <c r="QNW70" s="137"/>
      <c r="QNX70" s="137"/>
      <c r="QNY70" s="137"/>
      <c r="QNZ70" s="137"/>
      <c r="QOA70" s="137"/>
      <c r="QOB70" s="137"/>
      <c r="QOC70" s="137"/>
      <c r="QOD70" s="137"/>
      <c r="QOE70" s="137"/>
      <c r="QOF70" s="137"/>
      <c r="QOG70" s="137"/>
      <c r="QOH70" s="137"/>
      <c r="QOI70" s="137"/>
      <c r="QOJ70" s="137"/>
      <c r="QOK70" s="137"/>
      <c r="QOL70" s="137"/>
      <c r="QOM70" s="137"/>
      <c r="QON70" s="137"/>
      <c r="QOO70" s="137"/>
      <c r="QOP70" s="137"/>
      <c r="QOQ70" s="137"/>
      <c r="QOR70" s="137"/>
      <c r="QOS70" s="137"/>
      <c r="QOT70" s="137"/>
      <c r="QOU70" s="137"/>
      <c r="QOV70" s="137"/>
      <c r="QOW70" s="137"/>
      <c r="QOX70" s="137"/>
      <c r="QOY70" s="137"/>
      <c r="QOZ70" s="137"/>
      <c r="QPA70" s="137"/>
      <c r="QPB70" s="137"/>
      <c r="QPC70" s="137"/>
      <c r="QPD70" s="137"/>
      <c r="QPE70" s="137"/>
      <c r="QPF70" s="137"/>
      <c r="QPG70" s="137"/>
      <c r="QPH70" s="137"/>
      <c r="QPI70" s="137"/>
      <c r="QPJ70" s="137"/>
      <c r="QPK70" s="137"/>
      <c r="QPL70" s="137"/>
      <c r="QPM70" s="137"/>
      <c r="QPN70" s="137"/>
      <c r="QPO70" s="137"/>
      <c r="QPP70" s="137"/>
      <c r="QPQ70" s="137"/>
      <c r="QPR70" s="137"/>
      <c r="QPS70" s="137"/>
      <c r="QPT70" s="137"/>
      <c r="QPU70" s="137"/>
      <c r="QPV70" s="137"/>
      <c r="QPW70" s="137"/>
      <c r="QPX70" s="137"/>
      <c r="QPY70" s="137"/>
      <c r="QPZ70" s="137"/>
      <c r="QQA70" s="137"/>
      <c r="QQB70" s="137"/>
      <c r="QQC70" s="137"/>
      <c r="QQD70" s="137"/>
      <c r="QQE70" s="137"/>
      <c r="QQF70" s="137"/>
      <c r="QQG70" s="137"/>
      <c r="QQH70" s="137"/>
      <c r="QQI70" s="137"/>
      <c r="QQJ70" s="137"/>
      <c r="QQK70" s="137"/>
      <c r="QQL70" s="137"/>
      <c r="QQM70" s="137"/>
      <c r="QQN70" s="137"/>
      <c r="QQO70" s="137"/>
      <c r="QQP70" s="137"/>
      <c r="QQQ70" s="137"/>
      <c r="QQR70" s="137"/>
      <c r="QQS70" s="137"/>
      <c r="QQT70" s="137"/>
      <c r="QQU70" s="137"/>
      <c r="QQV70" s="137"/>
      <c r="QQW70" s="137"/>
      <c r="QQX70" s="137"/>
      <c r="QQY70" s="137"/>
      <c r="QQZ70" s="137"/>
      <c r="QRA70" s="137"/>
      <c r="QRB70" s="137"/>
      <c r="QRC70" s="137"/>
      <c r="QRD70" s="137"/>
      <c r="QRE70" s="137"/>
      <c r="QRF70" s="137"/>
      <c r="QRG70" s="137"/>
      <c r="QRH70" s="137"/>
      <c r="QRI70" s="137"/>
      <c r="QRJ70" s="137"/>
      <c r="QRK70" s="137"/>
      <c r="QRL70" s="137"/>
      <c r="QRM70" s="137"/>
      <c r="QRN70" s="137"/>
      <c r="QRO70" s="137"/>
      <c r="QRP70" s="137"/>
      <c r="QRQ70" s="137"/>
      <c r="QRR70" s="137"/>
      <c r="QRS70" s="137"/>
      <c r="QRT70" s="137"/>
      <c r="QRU70" s="137"/>
      <c r="QRV70" s="137"/>
      <c r="QRW70" s="137"/>
      <c r="QRX70" s="137"/>
      <c r="QRY70" s="137"/>
      <c r="QRZ70" s="137"/>
      <c r="QSA70" s="137"/>
      <c r="QSB70" s="137"/>
      <c r="QSC70" s="137"/>
      <c r="QSD70" s="137"/>
      <c r="QSE70" s="137"/>
      <c r="QSF70" s="137"/>
      <c r="QSG70" s="137"/>
      <c r="QSH70" s="137"/>
      <c r="QSI70" s="137"/>
      <c r="QSJ70" s="137"/>
      <c r="QSK70" s="137"/>
      <c r="QSL70" s="137"/>
      <c r="QSM70" s="137"/>
      <c r="QSN70" s="137"/>
      <c r="QSO70" s="137"/>
      <c r="QSP70" s="137"/>
      <c r="QSQ70" s="137"/>
      <c r="QSR70" s="137"/>
      <c r="QSS70" s="137"/>
      <c r="QST70" s="137"/>
      <c r="QSU70" s="137"/>
      <c r="QSV70" s="137"/>
      <c r="QSW70" s="137"/>
      <c r="QSX70" s="137"/>
      <c r="QSY70" s="137"/>
      <c r="QSZ70" s="137"/>
      <c r="QTA70" s="137"/>
      <c r="QTB70" s="137"/>
      <c r="QTC70" s="137"/>
      <c r="QTD70" s="137"/>
      <c r="QTE70" s="137"/>
      <c r="QTF70" s="137"/>
      <c r="QTG70" s="137"/>
      <c r="QTH70" s="137"/>
      <c r="QTI70" s="137"/>
      <c r="QTJ70" s="137"/>
      <c r="QTK70" s="137"/>
      <c r="QTL70" s="137"/>
      <c r="QTM70" s="137"/>
      <c r="QTN70" s="137"/>
      <c r="QTO70" s="137"/>
      <c r="QTP70" s="137"/>
      <c r="QTQ70" s="137"/>
      <c r="QTR70" s="137"/>
      <c r="QTS70" s="137"/>
      <c r="QTT70" s="137"/>
      <c r="QTU70" s="137"/>
      <c r="QTV70" s="137"/>
      <c r="QTW70" s="137"/>
      <c r="QTX70" s="137"/>
      <c r="QTY70" s="137"/>
      <c r="QTZ70" s="137"/>
      <c r="QUA70" s="137"/>
      <c r="QUB70" s="137"/>
      <c r="QUC70" s="137"/>
      <c r="QUD70" s="137"/>
      <c r="QUE70" s="137"/>
      <c r="QUF70" s="137"/>
      <c r="QUG70" s="137"/>
      <c r="QUH70" s="137"/>
      <c r="QUI70" s="137"/>
      <c r="QUJ70" s="137"/>
      <c r="QUK70" s="137"/>
      <c r="QUL70" s="137"/>
      <c r="QUM70" s="137"/>
      <c r="QUN70" s="137"/>
      <c r="QUO70" s="137"/>
      <c r="QUP70" s="137"/>
      <c r="QUQ70" s="137"/>
      <c r="QUR70" s="137"/>
      <c r="QUS70" s="137"/>
      <c r="QUT70" s="137"/>
      <c r="QUU70" s="137"/>
      <c r="QUV70" s="137"/>
      <c r="QUW70" s="137"/>
      <c r="QUX70" s="137"/>
      <c r="QUY70" s="137"/>
      <c r="QUZ70" s="137"/>
      <c r="QVA70" s="137"/>
      <c r="QVB70" s="137"/>
      <c r="QVC70" s="137"/>
      <c r="QVD70" s="137"/>
      <c r="QVE70" s="137"/>
      <c r="QVF70" s="137"/>
      <c r="QVG70" s="137"/>
      <c r="QVH70" s="137"/>
      <c r="QVI70" s="137"/>
      <c r="QVJ70" s="137"/>
      <c r="QVK70" s="137"/>
      <c r="QVL70" s="137"/>
      <c r="QVM70" s="137"/>
      <c r="QVN70" s="137"/>
      <c r="QVO70" s="137"/>
      <c r="QVP70" s="137"/>
      <c r="QVQ70" s="137"/>
      <c r="QVR70" s="137"/>
      <c r="QVS70" s="137"/>
      <c r="QVT70" s="137"/>
      <c r="QVU70" s="137"/>
      <c r="QVV70" s="137"/>
      <c r="QVW70" s="137"/>
      <c r="QVX70" s="137"/>
      <c r="QVY70" s="137"/>
      <c r="QVZ70" s="137"/>
      <c r="QWA70" s="137"/>
      <c r="QWB70" s="137"/>
      <c r="QWC70" s="137"/>
      <c r="QWD70" s="137"/>
      <c r="QWE70" s="137"/>
      <c r="QWF70" s="137"/>
      <c r="QWG70" s="137"/>
      <c r="QWH70" s="137"/>
      <c r="QWI70" s="137"/>
      <c r="QWJ70" s="137"/>
      <c r="QWK70" s="137"/>
      <c r="QWL70" s="137"/>
      <c r="QWM70" s="137"/>
      <c r="QWN70" s="137"/>
      <c r="QWO70" s="137"/>
      <c r="QWP70" s="137"/>
      <c r="QWQ70" s="137"/>
      <c r="QWR70" s="137"/>
      <c r="QWS70" s="137"/>
      <c r="QWT70" s="137"/>
      <c r="QWU70" s="137"/>
      <c r="QWV70" s="137"/>
      <c r="QWW70" s="137"/>
      <c r="QWX70" s="137"/>
      <c r="QWY70" s="137"/>
      <c r="QWZ70" s="137"/>
      <c r="QXA70" s="137"/>
      <c r="QXB70" s="137"/>
      <c r="QXC70" s="137"/>
      <c r="QXD70" s="137"/>
      <c r="QXE70" s="137"/>
      <c r="QXF70" s="137"/>
      <c r="QXG70" s="137"/>
      <c r="QXH70" s="137"/>
      <c r="QXI70" s="137"/>
      <c r="QXJ70" s="137"/>
      <c r="QXK70" s="137"/>
      <c r="QXL70" s="137"/>
      <c r="QXM70" s="137"/>
      <c r="QXN70" s="137"/>
      <c r="QXO70" s="137"/>
      <c r="QXP70" s="137"/>
      <c r="QXQ70" s="137"/>
      <c r="QXR70" s="137"/>
      <c r="QXS70" s="137"/>
      <c r="QXT70" s="137"/>
      <c r="QXU70" s="137"/>
      <c r="QXV70" s="137"/>
      <c r="QXW70" s="137"/>
      <c r="QXX70" s="137"/>
      <c r="QXY70" s="137"/>
      <c r="QXZ70" s="137"/>
      <c r="QYA70" s="137"/>
      <c r="QYB70" s="137"/>
      <c r="QYC70" s="137"/>
      <c r="QYD70" s="137"/>
      <c r="QYE70" s="137"/>
      <c r="QYF70" s="137"/>
      <c r="QYG70" s="137"/>
      <c r="QYH70" s="137"/>
      <c r="QYI70" s="137"/>
      <c r="QYJ70" s="137"/>
      <c r="QYK70" s="137"/>
      <c r="QYL70" s="137"/>
      <c r="QYM70" s="137"/>
      <c r="QYN70" s="137"/>
      <c r="QYO70" s="137"/>
      <c r="QYP70" s="137"/>
      <c r="QYQ70" s="137"/>
      <c r="QYR70" s="137"/>
      <c r="QYS70" s="137"/>
      <c r="QYT70" s="137"/>
      <c r="QYU70" s="137"/>
      <c r="QYV70" s="137"/>
      <c r="QYW70" s="137"/>
      <c r="QYX70" s="137"/>
      <c r="QYY70" s="137"/>
      <c r="QYZ70" s="137"/>
      <c r="QZA70" s="137"/>
      <c r="QZB70" s="137"/>
      <c r="QZC70" s="137"/>
      <c r="QZD70" s="137"/>
      <c r="QZE70" s="137"/>
      <c r="QZF70" s="137"/>
      <c r="QZG70" s="137"/>
      <c r="QZH70" s="137"/>
      <c r="QZI70" s="137"/>
      <c r="QZJ70" s="137"/>
      <c r="QZK70" s="137"/>
      <c r="QZL70" s="137"/>
      <c r="QZM70" s="137"/>
      <c r="QZN70" s="137"/>
      <c r="QZO70" s="137"/>
      <c r="QZP70" s="137"/>
      <c r="QZQ70" s="137"/>
      <c r="QZR70" s="137"/>
      <c r="QZS70" s="137"/>
      <c r="QZT70" s="137"/>
      <c r="QZU70" s="137"/>
      <c r="QZV70" s="137"/>
      <c r="QZW70" s="137"/>
      <c r="QZX70" s="137"/>
      <c r="QZY70" s="137"/>
      <c r="QZZ70" s="137"/>
      <c r="RAA70" s="137"/>
      <c r="RAB70" s="137"/>
      <c r="RAC70" s="137"/>
      <c r="RAD70" s="137"/>
      <c r="RAE70" s="137"/>
      <c r="RAF70" s="137"/>
      <c r="RAG70" s="137"/>
      <c r="RAH70" s="137"/>
      <c r="RAI70" s="137"/>
      <c r="RAJ70" s="137"/>
      <c r="RAK70" s="137"/>
      <c r="RAL70" s="137"/>
      <c r="RAM70" s="137"/>
      <c r="RAN70" s="137"/>
      <c r="RAO70" s="137"/>
      <c r="RAP70" s="137"/>
      <c r="RAQ70" s="137"/>
      <c r="RAR70" s="137"/>
      <c r="RAS70" s="137"/>
      <c r="RAT70" s="137"/>
      <c r="RAU70" s="137"/>
      <c r="RAV70" s="137"/>
      <c r="RAW70" s="137"/>
      <c r="RAX70" s="137"/>
      <c r="RAY70" s="137"/>
      <c r="RAZ70" s="137"/>
      <c r="RBA70" s="137"/>
      <c r="RBB70" s="137"/>
      <c r="RBC70" s="137"/>
      <c r="RBD70" s="137"/>
      <c r="RBE70" s="137"/>
      <c r="RBF70" s="137"/>
      <c r="RBG70" s="137"/>
      <c r="RBH70" s="137"/>
      <c r="RBI70" s="137"/>
      <c r="RBJ70" s="137"/>
      <c r="RBK70" s="137"/>
      <c r="RBL70" s="137"/>
      <c r="RBM70" s="137"/>
      <c r="RBN70" s="137"/>
      <c r="RBO70" s="137"/>
      <c r="RBP70" s="137"/>
      <c r="RBQ70" s="137"/>
      <c r="RBR70" s="137"/>
      <c r="RBS70" s="137"/>
      <c r="RBT70" s="137"/>
      <c r="RBU70" s="137"/>
      <c r="RBV70" s="137"/>
      <c r="RBW70" s="137"/>
      <c r="RBX70" s="137"/>
      <c r="RBY70" s="137"/>
      <c r="RBZ70" s="137"/>
      <c r="RCA70" s="137"/>
      <c r="RCB70" s="137"/>
      <c r="RCC70" s="137"/>
      <c r="RCD70" s="137"/>
      <c r="RCE70" s="137"/>
      <c r="RCF70" s="137"/>
      <c r="RCG70" s="137"/>
      <c r="RCH70" s="137"/>
      <c r="RCI70" s="137"/>
      <c r="RCJ70" s="137"/>
      <c r="RCK70" s="137"/>
      <c r="RCL70" s="137"/>
      <c r="RCM70" s="137"/>
      <c r="RCN70" s="137"/>
      <c r="RCO70" s="137"/>
      <c r="RCP70" s="137"/>
      <c r="RCQ70" s="137"/>
      <c r="RCR70" s="137"/>
      <c r="RCS70" s="137"/>
      <c r="RCT70" s="137"/>
      <c r="RCU70" s="137"/>
      <c r="RCV70" s="137"/>
      <c r="RCW70" s="137"/>
      <c r="RCX70" s="137"/>
      <c r="RCY70" s="137"/>
      <c r="RCZ70" s="137"/>
      <c r="RDA70" s="137"/>
      <c r="RDB70" s="137"/>
      <c r="RDC70" s="137"/>
      <c r="RDD70" s="137"/>
      <c r="RDE70" s="137"/>
      <c r="RDF70" s="137"/>
      <c r="RDG70" s="137"/>
      <c r="RDH70" s="137"/>
      <c r="RDI70" s="137"/>
      <c r="RDJ70" s="137"/>
      <c r="RDK70" s="137"/>
      <c r="RDL70" s="137"/>
      <c r="RDM70" s="137"/>
      <c r="RDN70" s="137"/>
      <c r="RDO70" s="137"/>
      <c r="RDP70" s="137"/>
      <c r="RDQ70" s="137"/>
      <c r="RDR70" s="137"/>
      <c r="RDS70" s="137"/>
      <c r="RDT70" s="137"/>
      <c r="RDU70" s="137"/>
      <c r="RDV70" s="137"/>
      <c r="RDW70" s="137"/>
      <c r="RDX70" s="137"/>
      <c r="RDY70" s="137"/>
      <c r="RDZ70" s="137"/>
      <c r="REA70" s="137"/>
      <c r="REB70" s="137"/>
      <c r="REC70" s="137"/>
      <c r="RED70" s="137"/>
      <c r="REE70" s="137"/>
      <c r="REF70" s="137"/>
      <c r="REG70" s="137"/>
      <c r="REH70" s="137"/>
      <c r="REI70" s="137"/>
      <c r="REJ70" s="137"/>
      <c r="REK70" s="137"/>
      <c r="REL70" s="137"/>
      <c r="REM70" s="137"/>
      <c r="REN70" s="137"/>
      <c r="REO70" s="137"/>
      <c r="REP70" s="137"/>
      <c r="REQ70" s="137"/>
      <c r="RER70" s="137"/>
      <c r="RES70" s="137"/>
      <c r="RET70" s="137"/>
      <c r="REU70" s="137"/>
      <c r="REV70" s="137"/>
      <c r="REW70" s="137"/>
      <c r="REX70" s="137"/>
      <c r="REY70" s="137"/>
      <c r="REZ70" s="137"/>
      <c r="RFA70" s="137"/>
      <c r="RFB70" s="137"/>
      <c r="RFC70" s="137"/>
      <c r="RFD70" s="137"/>
      <c r="RFE70" s="137"/>
      <c r="RFF70" s="137"/>
      <c r="RFG70" s="137"/>
      <c r="RFH70" s="137"/>
      <c r="RFI70" s="137"/>
      <c r="RFJ70" s="137"/>
      <c r="RFK70" s="137"/>
      <c r="RFL70" s="137"/>
      <c r="RFM70" s="137"/>
      <c r="RFN70" s="137"/>
      <c r="RFO70" s="137"/>
      <c r="RFP70" s="137"/>
      <c r="RFQ70" s="137"/>
      <c r="RFR70" s="137"/>
      <c r="RFS70" s="137"/>
      <c r="RFT70" s="137"/>
      <c r="RFU70" s="137"/>
      <c r="RFV70" s="137"/>
      <c r="RFW70" s="137"/>
      <c r="RFX70" s="137"/>
      <c r="RFY70" s="137"/>
      <c r="RFZ70" s="137"/>
      <c r="RGA70" s="137"/>
      <c r="RGB70" s="137"/>
      <c r="RGC70" s="137"/>
      <c r="RGD70" s="137"/>
      <c r="RGE70" s="137"/>
      <c r="RGF70" s="137"/>
      <c r="RGG70" s="137"/>
      <c r="RGH70" s="137"/>
      <c r="RGI70" s="137"/>
      <c r="RGJ70" s="137"/>
      <c r="RGK70" s="137"/>
      <c r="RGL70" s="137"/>
      <c r="RGM70" s="137"/>
      <c r="RGN70" s="137"/>
      <c r="RGO70" s="137"/>
      <c r="RGP70" s="137"/>
      <c r="RGQ70" s="137"/>
      <c r="RGR70" s="137"/>
      <c r="RGS70" s="137"/>
      <c r="RGT70" s="137"/>
      <c r="RGU70" s="137"/>
      <c r="RGV70" s="137"/>
      <c r="RGW70" s="137"/>
      <c r="RGX70" s="137"/>
      <c r="RGY70" s="137"/>
      <c r="RGZ70" s="137"/>
      <c r="RHA70" s="137"/>
      <c r="RHB70" s="137"/>
      <c r="RHC70" s="137"/>
      <c r="RHD70" s="137"/>
      <c r="RHE70" s="137"/>
      <c r="RHF70" s="137"/>
      <c r="RHG70" s="137"/>
      <c r="RHH70" s="137"/>
      <c r="RHI70" s="137"/>
      <c r="RHJ70" s="137"/>
      <c r="RHK70" s="137"/>
      <c r="RHL70" s="137"/>
      <c r="RHM70" s="137"/>
      <c r="RHN70" s="137"/>
      <c r="RHO70" s="137"/>
      <c r="RHP70" s="137"/>
      <c r="RHQ70" s="137"/>
      <c r="RHR70" s="137"/>
      <c r="RHS70" s="137"/>
      <c r="RHT70" s="137"/>
      <c r="RHU70" s="137"/>
      <c r="RHV70" s="137"/>
      <c r="RHW70" s="137"/>
      <c r="RHX70" s="137"/>
      <c r="RHY70" s="137"/>
      <c r="RHZ70" s="137"/>
      <c r="RIA70" s="137"/>
      <c r="RIB70" s="137"/>
      <c r="RIC70" s="137"/>
      <c r="RID70" s="137"/>
      <c r="RIE70" s="137"/>
      <c r="RIF70" s="137"/>
      <c r="RIG70" s="137"/>
      <c r="RIH70" s="137"/>
      <c r="RII70" s="137"/>
      <c r="RIJ70" s="137"/>
      <c r="RIK70" s="137"/>
      <c r="RIL70" s="137"/>
      <c r="RIM70" s="137"/>
      <c r="RIN70" s="137"/>
      <c r="RIO70" s="137"/>
      <c r="RIP70" s="137"/>
      <c r="RIQ70" s="137"/>
      <c r="RIR70" s="137"/>
      <c r="RIS70" s="137"/>
      <c r="RIT70" s="137"/>
      <c r="RIU70" s="137"/>
      <c r="RIV70" s="137"/>
      <c r="RIW70" s="137"/>
      <c r="RIX70" s="137"/>
      <c r="RIY70" s="137"/>
      <c r="RIZ70" s="137"/>
      <c r="RJA70" s="137"/>
      <c r="RJB70" s="137"/>
      <c r="RJC70" s="137"/>
      <c r="RJD70" s="137"/>
      <c r="RJE70" s="137"/>
      <c r="RJF70" s="137"/>
      <c r="RJG70" s="137"/>
      <c r="RJH70" s="137"/>
      <c r="RJI70" s="137"/>
      <c r="RJJ70" s="137"/>
      <c r="RJK70" s="137"/>
      <c r="RJL70" s="137"/>
      <c r="RJM70" s="137"/>
      <c r="RJN70" s="137"/>
      <c r="RJO70" s="137"/>
      <c r="RJP70" s="137"/>
      <c r="RJQ70" s="137"/>
      <c r="RJR70" s="137"/>
      <c r="RJS70" s="137"/>
      <c r="RJT70" s="137"/>
      <c r="RJU70" s="137"/>
      <c r="RJV70" s="137"/>
      <c r="RJW70" s="137"/>
      <c r="RJX70" s="137"/>
      <c r="RJY70" s="137"/>
      <c r="RJZ70" s="137"/>
      <c r="RKA70" s="137"/>
      <c r="RKB70" s="137"/>
      <c r="RKC70" s="137"/>
      <c r="RKD70" s="137"/>
      <c r="RKE70" s="137"/>
      <c r="RKF70" s="137"/>
      <c r="RKG70" s="137"/>
      <c r="RKH70" s="137"/>
      <c r="RKI70" s="137"/>
      <c r="RKJ70" s="137"/>
      <c r="RKK70" s="137"/>
      <c r="RKL70" s="137"/>
      <c r="RKM70" s="137"/>
      <c r="RKN70" s="137"/>
      <c r="RKO70" s="137"/>
      <c r="RKP70" s="137"/>
      <c r="RKQ70" s="137"/>
      <c r="RKR70" s="137"/>
      <c r="RKS70" s="137"/>
      <c r="RKT70" s="137"/>
      <c r="RKU70" s="137"/>
      <c r="RKV70" s="137"/>
      <c r="RKW70" s="137"/>
      <c r="RKX70" s="137"/>
      <c r="RKY70" s="137"/>
      <c r="RKZ70" s="137"/>
      <c r="RLA70" s="137"/>
      <c r="RLB70" s="137"/>
      <c r="RLC70" s="137"/>
      <c r="RLD70" s="137"/>
      <c r="RLE70" s="137"/>
      <c r="RLF70" s="137"/>
      <c r="RLG70" s="137"/>
      <c r="RLH70" s="137"/>
      <c r="RLI70" s="137"/>
      <c r="RLJ70" s="137"/>
      <c r="RLK70" s="137"/>
      <c r="RLL70" s="137"/>
      <c r="RLM70" s="137"/>
      <c r="RLN70" s="137"/>
      <c r="RLO70" s="137"/>
      <c r="RLP70" s="137"/>
      <c r="RLQ70" s="137"/>
      <c r="RLR70" s="137"/>
      <c r="RLS70" s="137"/>
      <c r="RLT70" s="137"/>
      <c r="RLU70" s="137"/>
      <c r="RLV70" s="137"/>
      <c r="RLW70" s="137"/>
      <c r="RLX70" s="137"/>
      <c r="RLY70" s="137"/>
      <c r="RLZ70" s="137"/>
      <c r="RMA70" s="137"/>
      <c r="RMB70" s="137"/>
      <c r="RMC70" s="137"/>
      <c r="RMD70" s="137"/>
      <c r="RME70" s="137"/>
      <c r="RMF70" s="137"/>
      <c r="RMG70" s="137"/>
      <c r="RMH70" s="137"/>
      <c r="RMI70" s="137"/>
      <c r="RMJ70" s="137"/>
      <c r="RMK70" s="137"/>
      <c r="RML70" s="137"/>
      <c r="RMM70" s="137"/>
      <c r="RMN70" s="137"/>
      <c r="RMO70" s="137"/>
      <c r="RMP70" s="137"/>
      <c r="RMQ70" s="137"/>
      <c r="RMR70" s="137"/>
      <c r="RMS70" s="137"/>
      <c r="RMT70" s="137"/>
      <c r="RMU70" s="137"/>
      <c r="RMV70" s="137"/>
      <c r="RMW70" s="137"/>
      <c r="RMX70" s="137"/>
      <c r="RMY70" s="137"/>
      <c r="RMZ70" s="137"/>
      <c r="RNA70" s="137"/>
      <c r="RNB70" s="137"/>
      <c r="RNC70" s="137"/>
      <c r="RND70" s="137"/>
      <c r="RNE70" s="137"/>
      <c r="RNF70" s="137"/>
      <c r="RNG70" s="137"/>
      <c r="RNH70" s="137"/>
      <c r="RNI70" s="137"/>
      <c r="RNJ70" s="137"/>
      <c r="RNK70" s="137"/>
      <c r="RNL70" s="137"/>
      <c r="RNM70" s="137"/>
      <c r="RNN70" s="137"/>
      <c r="RNO70" s="137"/>
      <c r="RNP70" s="137"/>
      <c r="RNQ70" s="137"/>
      <c r="RNR70" s="137"/>
      <c r="RNS70" s="137"/>
      <c r="RNT70" s="137"/>
      <c r="RNU70" s="137"/>
      <c r="RNV70" s="137"/>
      <c r="RNW70" s="137"/>
      <c r="RNX70" s="137"/>
      <c r="RNY70" s="137"/>
      <c r="RNZ70" s="137"/>
      <c r="ROA70" s="137"/>
      <c r="ROB70" s="137"/>
      <c r="ROC70" s="137"/>
      <c r="ROD70" s="137"/>
      <c r="ROE70" s="137"/>
      <c r="ROF70" s="137"/>
      <c r="ROG70" s="137"/>
      <c r="ROH70" s="137"/>
      <c r="ROI70" s="137"/>
      <c r="ROJ70" s="137"/>
      <c r="ROK70" s="137"/>
      <c r="ROL70" s="137"/>
      <c r="ROM70" s="137"/>
      <c r="RON70" s="137"/>
      <c r="ROO70" s="137"/>
      <c r="ROP70" s="137"/>
      <c r="ROQ70" s="137"/>
      <c r="ROR70" s="137"/>
      <c r="ROS70" s="137"/>
      <c r="ROT70" s="137"/>
      <c r="ROU70" s="137"/>
      <c r="ROV70" s="137"/>
      <c r="ROW70" s="137"/>
      <c r="ROX70" s="137"/>
      <c r="ROY70" s="137"/>
      <c r="ROZ70" s="137"/>
      <c r="RPA70" s="137"/>
      <c r="RPB70" s="137"/>
      <c r="RPC70" s="137"/>
      <c r="RPD70" s="137"/>
      <c r="RPE70" s="137"/>
      <c r="RPF70" s="137"/>
      <c r="RPG70" s="137"/>
      <c r="RPH70" s="137"/>
      <c r="RPI70" s="137"/>
      <c r="RPJ70" s="137"/>
      <c r="RPK70" s="137"/>
      <c r="RPL70" s="137"/>
      <c r="RPM70" s="137"/>
      <c r="RPN70" s="137"/>
      <c r="RPO70" s="137"/>
      <c r="RPP70" s="137"/>
      <c r="RPQ70" s="137"/>
      <c r="RPR70" s="137"/>
      <c r="RPS70" s="137"/>
      <c r="RPT70" s="137"/>
      <c r="RPU70" s="137"/>
      <c r="RPV70" s="137"/>
      <c r="RPW70" s="137"/>
      <c r="RPX70" s="137"/>
      <c r="RPY70" s="137"/>
      <c r="RPZ70" s="137"/>
      <c r="RQA70" s="137"/>
      <c r="RQB70" s="137"/>
      <c r="RQC70" s="137"/>
      <c r="RQD70" s="137"/>
      <c r="RQE70" s="137"/>
      <c r="RQF70" s="137"/>
      <c r="RQG70" s="137"/>
      <c r="RQH70" s="137"/>
      <c r="RQI70" s="137"/>
      <c r="RQJ70" s="137"/>
      <c r="RQK70" s="137"/>
      <c r="RQL70" s="137"/>
      <c r="RQM70" s="137"/>
      <c r="RQN70" s="137"/>
      <c r="RQO70" s="137"/>
      <c r="RQP70" s="137"/>
      <c r="RQQ70" s="137"/>
      <c r="RQR70" s="137"/>
      <c r="RQS70" s="137"/>
      <c r="RQT70" s="137"/>
      <c r="RQU70" s="137"/>
      <c r="RQV70" s="137"/>
      <c r="RQW70" s="137"/>
      <c r="RQX70" s="137"/>
      <c r="RQY70" s="137"/>
      <c r="RQZ70" s="137"/>
      <c r="RRA70" s="137"/>
      <c r="RRB70" s="137"/>
      <c r="RRC70" s="137"/>
      <c r="RRD70" s="137"/>
      <c r="RRE70" s="137"/>
      <c r="RRF70" s="137"/>
      <c r="RRG70" s="137"/>
      <c r="RRH70" s="137"/>
      <c r="RRI70" s="137"/>
      <c r="RRJ70" s="137"/>
      <c r="RRK70" s="137"/>
      <c r="RRL70" s="137"/>
      <c r="RRM70" s="137"/>
      <c r="RRN70" s="137"/>
      <c r="RRO70" s="137"/>
      <c r="RRP70" s="137"/>
      <c r="RRQ70" s="137"/>
      <c r="RRR70" s="137"/>
      <c r="RRS70" s="137"/>
      <c r="RRT70" s="137"/>
      <c r="RRU70" s="137"/>
      <c r="RRV70" s="137"/>
      <c r="RRW70" s="137"/>
      <c r="RRX70" s="137"/>
      <c r="RRY70" s="137"/>
      <c r="RRZ70" s="137"/>
      <c r="RSA70" s="137"/>
      <c r="RSB70" s="137"/>
      <c r="RSC70" s="137"/>
      <c r="RSD70" s="137"/>
      <c r="RSE70" s="137"/>
      <c r="RSF70" s="137"/>
      <c r="RSG70" s="137"/>
      <c r="RSH70" s="137"/>
      <c r="RSI70" s="137"/>
      <c r="RSJ70" s="137"/>
      <c r="RSK70" s="137"/>
      <c r="RSL70" s="137"/>
      <c r="RSM70" s="137"/>
      <c r="RSN70" s="137"/>
      <c r="RSO70" s="137"/>
      <c r="RSP70" s="137"/>
      <c r="RSQ70" s="137"/>
      <c r="RSR70" s="137"/>
      <c r="RSS70" s="137"/>
      <c r="RST70" s="137"/>
      <c r="RSU70" s="137"/>
      <c r="RSV70" s="137"/>
      <c r="RSW70" s="137"/>
      <c r="RSX70" s="137"/>
      <c r="RSY70" s="137"/>
      <c r="RSZ70" s="137"/>
      <c r="RTA70" s="137"/>
      <c r="RTB70" s="137"/>
      <c r="RTC70" s="137"/>
      <c r="RTD70" s="137"/>
      <c r="RTE70" s="137"/>
      <c r="RTF70" s="137"/>
      <c r="RTG70" s="137"/>
      <c r="RTH70" s="137"/>
      <c r="RTI70" s="137"/>
      <c r="RTJ70" s="137"/>
      <c r="RTK70" s="137"/>
      <c r="RTL70" s="137"/>
      <c r="RTM70" s="137"/>
      <c r="RTN70" s="137"/>
      <c r="RTO70" s="137"/>
      <c r="RTP70" s="137"/>
      <c r="RTQ70" s="137"/>
      <c r="RTR70" s="137"/>
      <c r="RTS70" s="137"/>
      <c r="RTT70" s="137"/>
      <c r="RTU70" s="137"/>
      <c r="RTV70" s="137"/>
      <c r="RTW70" s="137"/>
      <c r="RTX70" s="137"/>
      <c r="RTY70" s="137"/>
      <c r="RTZ70" s="137"/>
      <c r="RUA70" s="137"/>
      <c r="RUB70" s="137"/>
      <c r="RUC70" s="137"/>
      <c r="RUD70" s="137"/>
      <c r="RUE70" s="137"/>
      <c r="RUF70" s="137"/>
      <c r="RUG70" s="137"/>
      <c r="RUH70" s="137"/>
      <c r="RUI70" s="137"/>
      <c r="RUJ70" s="137"/>
      <c r="RUK70" s="137"/>
      <c r="RUL70" s="137"/>
      <c r="RUM70" s="137"/>
      <c r="RUN70" s="137"/>
      <c r="RUO70" s="137"/>
      <c r="RUP70" s="137"/>
      <c r="RUQ70" s="137"/>
      <c r="RUR70" s="137"/>
      <c r="RUS70" s="137"/>
      <c r="RUT70" s="137"/>
      <c r="RUU70" s="137"/>
      <c r="RUV70" s="137"/>
      <c r="RUW70" s="137"/>
      <c r="RUX70" s="137"/>
      <c r="RUY70" s="137"/>
      <c r="RUZ70" s="137"/>
      <c r="RVA70" s="137"/>
      <c r="RVB70" s="137"/>
      <c r="RVC70" s="137"/>
      <c r="RVD70" s="137"/>
      <c r="RVE70" s="137"/>
      <c r="RVF70" s="137"/>
      <c r="RVG70" s="137"/>
      <c r="RVH70" s="137"/>
      <c r="RVI70" s="137"/>
      <c r="RVJ70" s="137"/>
      <c r="RVK70" s="137"/>
      <c r="RVL70" s="137"/>
      <c r="RVM70" s="137"/>
      <c r="RVN70" s="137"/>
      <c r="RVO70" s="137"/>
      <c r="RVP70" s="137"/>
      <c r="RVQ70" s="137"/>
      <c r="RVR70" s="137"/>
      <c r="RVS70" s="137"/>
      <c r="RVT70" s="137"/>
      <c r="RVU70" s="137"/>
      <c r="RVV70" s="137"/>
      <c r="RVW70" s="137"/>
      <c r="RVX70" s="137"/>
      <c r="RVY70" s="137"/>
      <c r="RVZ70" s="137"/>
      <c r="RWA70" s="137"/>
      <c r="RWB70" s="137"/>
      <c r="RWC70" s="137"/>
      <c r="RWD70" s="137"/>
      <c r="RWE70" s="137"/>
      <c r="RWF70" s="137"/>
      <c r="RWG70" s="137"/>
      <c r="RWH70" s="137"/>
      <c r="RWI70" s="137"/>
      <c r="RWJ70" s="137"/>
      <c r="RWK70" s="137"/>
      <c r="RWL70" s="137"/>
      <c r="RWM70" s="137"/>
      <c r="RWN70" s="137"/>
      <c r="RWO70" s="137"/>
      <c r="RWP70" s="137"/>
      <c r="RWQ70" s="137"/>
      <c r="RWR70" s="137"/>
      <c r="RWS70" s="137"/>
      <c r="RWT70" s="137"/>
      <c r="RWU70" s="137"/>
      <c r="RWV70" s="137"/>
      <c r="RWW70" s="137"/>
      <c r="RWX70" s="137"/>
      <c r="RWY70" s="137"/>
      <c r="RWZ70" s="137"/>
      <c r="RXA70" s="137"/>
      <c r="RXB70" s="137"/>
      <c r="RXC70" s="137"/>
      <c r="RXD70" s="137"/>
      <c r="RXE70" s="137"/>
      <c r="RXF70" s="137"/>
      <c r="RXG70" s="137"/>
      <c r="RXH70" s="137"/>
      <c r="RXI70" s="137"/>
      <c r="RXJ70" s="137"/>
      <c r="RXK70" s="137"/>
      <c r="RXL70" s="137"/>
      <c r="RXM70" s="137"/>
      <c r="RXN70" s="137"/>
      <c r="RXO70" s="137"/>
      <c r="RXP70" s="137"/>
      <c r="RXQ70" s="137"/>
      <c r="RXR70" s="137"/>
      <c r="RXS70" s="137"/>
      <c r="RXT70" s="137"/>
      <c r="RXU70" s="137"/>
      <c r="RXV70" s="137"/>
      <c r="RXW70" s="137"/>
      <c r="RXX70" s="137"/>
      <c r="RXY70" s="137"/>
      <c r="RXZ70" s="137"/>
      <c r="RYA70" s="137"/>
      <c r="RYB70" s="137"/>
      <c r="RYC70" s="137"/>
      <c r="RYD70" s="137"/>
      <c r="RYE70" s="137"/>
      <c r="RYF70" s="137"/>
      <c r="RYG70" s="137"/>
      <c r="RYH70" s="137"/>
      <c r="RYI70" s="137"/>
      <c r="RYJ70" s="137"/>
      <c r="RYK70" s="137"/>
      <c r="RYL70" s="137"/>
      <c r="RYM70" s="137"/>
      <c r="RYN70" s="137"/>
      <c r="RYO70" s="137"/>
      <c r="RYP70" s="137"/>
      <c r="RYQ70" s="137"/>
      <c r="RYR70" s="137"/>
      <c r="RYS70" s="137"/>
      <c r="RYT70" s="137"/>
      <c r="RYU70" s="137"/>
      <c r="RYV70" s="137"/>
      <c r="RYW70" s="137"/>
      <c r="RYX70" s="137"/>
      <c r="RYY70" s="137"/>
      <c r="RYZ70" s="137"/>
      <c r="RZA70" s="137"/>
      <c r="RZB70" s="137"/>
      <c r="RZC70" s="137"/>
      <c r="RZD70" s="137"/>
      <c r="RZE70" s="137"/>
      <c r="RZF70" s="137"/>
      <c r="RZG70" s="137"/>
      <c r="RZH70" s="137"/>
      <c r="RZI70" s="137"/>
      <c r="RZJ70" s="137"/>
      <c r="RZK70" s="137"/>
      <c r="RZL70" s="137"/>
      <c r="RZM70" s="137"/>
      <c r="RZN70" s="137"/>
      <c r="RZO70" s="137"/>
      <c r="RZP70" s="137"/>
      <c r="RZQ70" s="137"/>
      <c r="RZR70" s="137"/>
      <c r="RZS70" s="137"/>
      <c r="RZT70" s="137"/>
      <c r="RZU70" s="137"/>
      <c r="RZV70" s="137"/>
      <c r="RZW70" s="137"/>
      <c r="RZX70" s="137"/>
      <c r="RZY70" s="137"/>
      <c r="RZZ70" s="137"/>
      <c r="SAA70" s="137"/>
      <c r="SAB70" s="137"/>
      <c r="SAC70" s="137"/>
      <c r="SAD70" s="137"/>
      <c r="SAE70" s="137"/>
      <c r="SAF70" s="137"/>
      <c r="SAG70" s="137"/>
      <c r="SAH70" s="137"/>
      <c r="SAI70" s="137"/>
      <c r="SAJ70" s="137"/>
      <c r="SAK70" s="137"/>
      <c r="SAL70" s="137"/>
      <c r="SAM70" s="137"/>
      <c r="SAN70" s="137"/>
      <c r="SAO70" s="137"/>
      <c r="SAP70" s="137"/>
      <c r="SAQ70" s="137"/>
      <c r="SAR70" s="137"/>
      <c r="SAS70" s="137"/>
      <c r="SAT70" s="137"/>
      <c r="SAU70" s="137"/>
      <c r="SAV70" s="137"/>
      <c r="SAW70" s="137"/>
      <c r="SAX70" s="137"/>
      <c r="SAY70" s="137"/>
      <c r="SAZ70" s="137"/>
      <c r="SBA70" s="137"/>
      <c r="SBB70" s="137"/>
      <c r="SBC70" s="137"/>
      <c r="SBD70" s="137"/>
      <c r="SBE70" s="137"/>
      <c r="SBF70" s="137"/>
      <c r="SBG70" s="137"/>
      <c r="SBH70" s="137"/>
      <c r="SBI70" s="137"/>
      <c r="SBJ70" s="137"/>
      <c r="SBK70" s="137"/>
      <c r="SBL70" s="137"/>
      <c r="SBM70" s="137"/>
      <c r="SBN70" s="137"/>
      <c r="SBO70" s="137"/>
      <c r="SBP70" s="137"/>
      <c r="SBQ70" s="137"/>
      <c r="SBR70" s="137"/>
      <c r="SBS70" s="137"/>
      <c r="SBT70" s="137"/>
      <c r="SBU70" s="137"/>
      <c r="SBV70" s="137"/>
      <c r="SBW70" s="137"/>
      <c r="SBX70" s="137"/>
      <c r="SBY70" s="137"/>
      <c r="SBZ70" s="137"/>
      <c r="SCA70" s="137"/>
      <c r="SCB70" s="137"/>
      <c r="SCC70" s="137"/>
      <c r="SCD70" s="137"/>
      <c r="SCE70" s="137"/>
      <c r="SCF70" s="137"/>
      <c r="SCG70" s="137"/>
      <c r="SCH70" s="137"/>
      <c r="SCI70" s="137"/>
      <c r="SCJ70" s="137"/>
      <c r="SCK70" s="137"/>
      <c r="SCL70" s="137"/>
      <c r="SCM70" s="137"/>
      <c r="SCN70" s="137"/>
      <c r="SCO70" s="137"/>
      <c r="SCP70" s="137"/>
      <c r="SCQ70" s="137"/>
      <c r="SCR70" s="137"/>
      <c r="SCS70" s="137"/>
      <c r="SCT70" s="137"/>
      <c r="SCU70" s="137"/>
      <c r="SCV70" s="137"/>
      <c r="SCW70" s="137"/>
      <c r="SCX70" s="137"/>
      <c r="SCY70" s="137"/>
      <c r="SCZ70" s="137"/>
      <c r="SDA70" s="137"/>
      <c r="SDB70" s="137"/>
      <c r="SDC70" s="137"/>
      <c r="SDD70" s="137"/>
      <c r="SDE70" s="137"/>
      <c r="SDF70" s="137"/>
      <c r="SDG70" s="137"/>
      <c r="SDH70" s="137"/>
      <c r="SDI70" s="137"/>
      <c r="SDJ70" s="137"/>
      <c r="SDK70" s="137"/>
      <c r="SDL70" s="137"/>
      <c r="SDM70" s="137"/>
      <c r="SDN70" s="137"/>
      <c r="SDO70" s="137"/>
      <c r="SDP70" s="137"/>
      <c r="SDQ70" s="137"/>
      <c r="SDR70" s="137"/>
      <c r="SDS70" s="137"/>
      <c r="SDT70" s="137"/>
      <c r="SDU70" s="137"/>
      <c r="SDV70" s="137"/>
      <c r="SDW70" s="137"/>
      <c r="SDX70" s="137"/>
      <c r="SDY70" s="137"/>
      <c r="SDZ70" s="137"/>
      <c r="SEA70" s="137"/>
      <c r="SEB70" s="137"/>
      <c r="SEC70" s="137"/>
      <c r="SED70" s="137"/>
      <c r="SEE70" s="137"/>
      <c r="SEF70" s="137"/>
      <c r="SEG70" s="137"/>
      <c r="SEH70" s="137"/>
      <c r="SEI70" s="137"/>
      <c r="SEJ70" s="137"/>
      <c r="SEK70" s="137"/>
      <c r="SEL70" s="137"/>
      <c r="SEM70" s="137"/>
      <c r="SEN70" s="137"/>
      <c r="SEO70" s="137"/>
      <c r="SEP70" s="137"/>
      <c r="SEQ70" s="137"/>
      <c r="SER70" s="137"/>
      <c r="SES70" s="137"/>
      <c r="SET70" s="137"/>
      <c r="SEU70" s="137"/>
      <c r="SEV70" s="137"/>
      <c r="SEW70" s="137"/>
      <c r="SEX70" s="137"/>
      <c r="SEY70" s="137"/>
      <c r="SEZ70" s="137"/>
      <c r="SFA70" s="137"/>
      <c r="SFB70" s="137"/>
      <c r="SFC70" s="137"/>
      <c r="SFD70" s="137"/>
      <c r="SFE70" s="137"/>
      <c r="SFF70" s="137"/>
      <c r="SFG70" s="137"/>
      <c r="SFH70" s="137"/>
      <c r="SFI70" s="137"/>
      <c r="SFJ70" s="137"/>
      <c r="SFK70" s="137"/>
      <c r="SFL70" s="137"/>
      <c r="SFM70" s="137"/>
      <c r="SFN70" s="137"/>
      <c r="SFO70" s="137"/>
      <c r="SFP70" s="137"/>
      <c r="SFQ70" s="137"/>
      <c r="SFR70" s="137"/>
      <c r="SFS70" s="137"/>
      <c r="SFT70" s="137"/>
      <c r="SFU70" s="137"/>
      <c r="SFV70" s="137"/>
      <c r="SFW70" s="137"/>
      <c r="SFX70" s="137"/>
      <c r="SFY70" s="137"/>
      <c r="SFZ70" s="137"/>
      <c r="SGA70" s="137"/>
      <c r="SGB70" s="137"/>
      <c r="SGC70" s="137"/>
      <c r="SGD70" s="137"/>
      <c r="SGE70" s="137"/>
      <c r="SGF70" s="137"/>
      <c r="SGG70" s="137"/>
      <c r="SGH70" s="137"/>
      <c r="SGI70" s="137"/>
      <c r="SGJ70" s="137"/>
      <c r="SGK70" s="137"/>
      <c r="SGL70" s="137"/>
      <c r="SGM70" s="137"/>
      <c r="SGN70" s="137"/>
      <c r="SGO70" s="137"/>
      <c r="SGP70" s="137"/>
      <c r="SGQ70" s="137"/>
      <c r="SGR70" s="137"/>
      <c r="SGS70" s="137"/>
      <c r="SGT70" s="137"/>
      <c r="SGU70" s="137"/>
      <c r="SGV70" s="137"/>
      <c r="SGW70" s="137"/>
      <c r="SGX70" s="137"/>
      <c r="SGY70" s="137"/>
      <c r="SGZ70" s="137"/>
      <c r="SHA70" s="137"/>
      <c r="SHB70" s="137"/>
      <c r="SHC70" s="137"/>
      <c r="SHD70" s="137"/>
      <c r="SHE70" s="137"/>
      <c r="SHF70" s="137"/>
      <c r="SHG70" s="137"/>
      <c r="SHH70" s="137"/>
      <c r="SHI70" s="137"/>
      <c r="SHJ70" s="137"/>
      <c r="SHK70" s="137"/>
      <c r="SHL70" s="137"/>
      <c r="SHM70" s="137"/>
      <c r="SHN70" s="137"/>
      <c r="SHO70" s="137"/>
      <c r="SHP70" s="137"/>
      <c r="SHQ70" s="137"/>
      <c r="SHR70" s="137"/>
      <c r="SHS70" s="137"/>
      <c r="SHT70" s="137"/>
      <c r="SHU70" s="137"/>
      <c r="SHV70" s="137"/>
      <c r="SHW70" s="137"/>
      <c r="SHX70" s="137"/>
      <c r="SHY70" s="137"/>
      <c r="SHZ70" s="137"/>
      <c r="SIA70" s="137"/>
      <c r="SIB70" s="137"/>
      <c r="SIC70" s="137"/>
      <c r="SID70" s="137"/>
      <c r="SIE70" s="137"/>
      <c r="SIF70" s="137"/>
      <c r="SIG70" s="137"/>
      <c r="SIH70" s="137"/>
      <c r="SII70" s="137"/>
      <c r="SIJ70" s="137"/>
      <c r="SIK70" s="137"/>
      <c r="SIL70" s="137"/>
      <c r="SIM70" s="137"/>
      <c r="SIN70" s="137"/>
      <c r="SIO70" s="137"/>
      <c r="SIP70" s="137"/>
      <c r="SIQ70" s="137"/>
      <c r="SIR70" s="137"/>
      <c r="SIS70" s="137"/>
      <c r="SIT70" s="137"/>
      <c r="SIU70" s="137"/>
      <c r="SIV70" s="137"/>
      <c r="SIW70" s="137"/>
      <c r="SIX70" s="137"/>
      <c r="SIY70" s="137"/>
      <c r="SIZ70" s="137"/>
      <c r="SJA70" s="137"/>
      <c r="SJB70" s="137"/>
      <c r="SJC70" s="137"/>
      <c r="SJD70" s="137"/>
      <c r="SJE70" s="137"/>
      <c r="SJF70" s="137"/>
      <c r="SJG70" s="137"/>
      <c r="SJH70" s="137"/>
      <c r="SJI70" s="137"/>
      <c r="SJJ70" s="137"/>
      <c r="SJK70" s="137"/>
      <c r="SJL70" s="137"/>
      <c r="SJM70" s="137"/>
      <c r="SJN70" s="137"/>
      <c r="SJO70" s="137"/>
      <c r="SJP70" s="137"/>
      <c r="SJQ70" s="137"/>
      <c r="SJR70" s="137"/>
      <c r="SJS70" s="137"/>
      <c r="SJT70" s="137"/>
      <c r="SJU70" s="137"/>
      <c r="SJV70" s="137"/>
      <c r="SJW70" s="137"/>
      <c r="SJX70" s="137"/>
      <c r="SJY70" s="137"/>
      <c r="SJZ70" s="137"/>
      <c r="SKA70" s="137"/>
      <c r="SKB70" s="137"/>
      <c r="SKC70" s="137"/>
      <c r="SKD70" s="137"/>
      <c r="SKE70" s="137"/>
      <c r="SKF70" s="137"/>
      <c r="SKG70" s="137"/>
      <c r="SKH70" s="137"/>
      <c r="SKI70" s="137"/>
      <c r="SKJ70" s="137"/>
      <c r="SKK70" s="137"/>
      <c r="SKL70" s="137"/>
      <c r="SKM70" s="137"/>
      <c r="SKN70" s="137"/>
      <c r="SKO70" s="137"/>
      <c r="SKP70" s="137"/>
      <c r="SKQ70" s="137"/>
      <c r="SKR70" s="137"/>
      <c r="SKS70" s="137"/>
      <c r="SKT70" s="137"/>
      <c r="SKU70" s="137"/>
      <c r="SKV70" s="137"/>
      <c r="SKW70" s="137"/>
      <c r="SKX70" s="137"/>
      <c r="SKY70" s="137"/>
      <c r="SKZ70" s="137"/>
      <c r="SLA70" s="137"/>
      <c r="SLB70" s="137"/>
      <c r="SLC70" s="137"/>
      <c r="SLD70" s="137"/>
      <c r="SLE70" s="137"/>
      <c r="SLF70" s="137"/>
      <c r="SLG70" s="137"/>
      <c r="SLH70" s="137"/>
      <c r="SLI70" s="137"/>
      <c r="SLJ70" s="137"/>
      <c r="SLK70" s="137"/>
      <c r="SLL70" s="137"/>
      <c r="SLM70" s="137"/>
      <c r="SLN70" s="137"/>
      <c r="SLO70" s="137"/>
      <c r="SLP70" s="137"/>
      <c r="SLQ70" s="137"/>
      <c r="SLR70" s="137"/>
      <c r="SLS70" s="137"/>
      <c r="SLT70" s="137"/>
      <c r="SLU70" s="137"/>
      <c r="SLV70" s="137"/>
      <c r="SLW70" s="137"/>
      <c r="SLX70" s="137"/>
      <c r="SLY70" s="137"/>
      <c r="SLZ70" s="137"/>
      <c r="SMA70" s="137"/>
      <c r="SMB70" s="137"/>
      <c r="SMC70" s="137"/>
      <c r="SMD70" s="137"/>
      <c r="SME70" s="137"/>
      <c r="SMF70" s="137"/>
      <c r="SMG70" s="137"/>
      <c r="SMH70" s="137"/>
      <c r="SMI70" s="137"/>
      <c r="SMJ70" s="137"/>
      <c r="SMK70" s="137"/>
      <c r="SML70" s="137"/>
      <c r="SMM70" s="137"/>
      <c r="SMN70" s="137"/>
      <c r="SMO70" s="137"/>
      <c r="SMP70" s="137"/>
      <c r="SMQ70" s="137"/>
      <c r="SMR70" s="137"/>
      <c r="SMS70" s="137"/>
      <c r="SMT70" s="137"/>
      <c r="SMU70" s="137"/>
      <c r="SMV70" s="137"/>
      <c r="SMW70" s="137"/>
      <c r="SMX70" s="137"/>
      <c r="SMY70" s="137"/>
      <c r="SMZ70" s="137"/>
      <c r="SNA70" s="137"/>
      <c r="SNB70" s="137"/>
      <c r="SNC70" s="137"/>
      <c r="SND70" s="137"/>
      <c r="SNE70" s="137"/>
      <c r="SNF70" s="137"/>
      <c r="SNG70" s="137"/>
      <c r="SNH70" s="137"/>
      <c r="SNI70" s="137"/>
      <c r="SNJ70" s="137"/>
      <c r="SNK70" s="137"/>
      <c r="SNL70" s="137"/>
      <c r="SNM70" s="137"/>
      <c r="SNN70" s="137"/>
      <c r="SNO70" s="137"/>
      <c r="SNP70" s="137"/>
      <c r="SNQ70" s="137"/>
      <c r="SNR70" s="137"/>
      <c r="SNS70" s="137"/>
      <c r="SNT70" s="137"/>
      <c r="SNU70" s="137"/>
      <c r="SNV70" s="137"/>
      <c r="SNW70" s="137"/>
      <c r="SNX70" s="137"/>
      <c r="SNY70" s="137"/>
      <c r="SNZ70" s="137"/>
      <c r="SOA70" s="137"/>
      <c r="SOB70" s="137"/>
      <c r="SOC70" s="137"/>
      <c r="SOD70" s="137"/>
      <c r="SOE70" s="137"/>
      <c r="SOF70" s="137"/>
      <c r="SOG70" s="137"/>
      <c r="SOH70" s="137"/>
      <c r="SOI70" s="137"/>
      <c r="SOJ70" s="137"/>
      <c r="SOK70" s="137"/>
      <c r="SOL70" s="137"/>
      <c r="SOM70" s="137"/>
      <c r="SON70" s="137"/>
      <c r="SOO70" s="137"/>
      <c r="SOP70" s="137"/>
      <c r="SOQ70" s="137"/>
      <c r="SOR70" s="137"/>
      <c r="SOS70" s="137"/>
      <c r="SOT70" s="137"/>
      <c r="SOU70" s="137"/>
      <c r="SOV70" s="137"/>
      <c r="SOW70" s="137"/>
      <c r="SOX70" s="137"/>
      <c r="SOY70" s="137"/>
      <c r="SOZ70" s="137"/>
      <c r="SPA70" s="137"/>
      <c r="SPB70" s="137"/>
      <c r="SPC70" s="137"/>
      <c r="SPD70" s="137"/>
      <c r="SPE70" s="137"/>
      <c r="SPF70" s="137"/>
      <c r="SPG70" s="137"/>
      <c r="SPH70" s="137"/>
      <c r="SPI70" s="137"/>
      <c r="SPJ70" s="137"/>
      <c r="SPK70" s="137"/>
      <c r="SPL70" s="137"/>
      <c r="SPM70" s="137"/>
      <c r="SPN70" s="137"/>
      <c r="SPO70" s="137"/>
      <c r="SPP70" s="137"/>
      <c r="SPQ70" s="137"/>
      <c r="SPR70" s="137"/>
      <c r="SPS70" s="137"/>
      <c r="SPT70" s="137"/>
      <c r="SPU70" s="137"/>
      <c r="SPV70" s="137"/>
      <c r="SPW70" s="137"/>
      <c r="SPX70" s="137"/>
      <c r="SPY70" s="137"/>
      <c r="SPZ70" s="137"/>
      <c r="SQA70" s="137"/>
      <c r="SQB70" s="137"/>
      <c r="SQC70" s="137"/>
      <c r="SQD70" s="137"/>
      <c r="SQE70" s="137"/>
      <c r="SQF70" s="137"/>
      <c r="SQG70" s="137"/>
      <c r="SQH70" s="137"/>
      <c r="SQI70" s="137"/>
      <c r="SQJ70" s="137"/>
      <c r="SQK70" s="137"/>
      <c r="SQL70" s="137"/>
      <c r="SQM70" s="137"/>
      <c r="SQN70" s="137"/>
      <c r="SQO70" s="137"/>
      <c r="SQP70" s="137"/>
      <c r="SQQ70" s="137"/>
      <c r="SQR70" s="137"/>
      <c r="SQS70" s="137"/>
      <c r="SQT70" s="137"/>
      <c r="SQU70" s="137"/>
      <c r="SQV70" s="137"/>
      <c r="SQW70" s="137"/>
      <c r="SQX70" s="137"/>
      <c r="SQY70" s="137"/>
      <c r="SQZ70" s="137"/>
      <c r="SRA70" s="137"/>
      <c r="SRB70" s="137"/>
      <c r="SRC70" s="137"/>
      <c r="SRD70" s="137"/>
      <c r="SRE70" s="137"/>
      <c r="SRF70" s="137"/>
      <c r="SRG70" s="137"/>
      <c r="SRH70" s="137"/>
      <c r="SRI70" s="137"/>
      <c r="SRJ70" s="137"/>
      <c r="SRK70" s="137"/>
      <c r="SRL70" s="137"/>
      <c r="SRM70" s="137"/>
      <c r="SRN70" s="137"/>
      <c r="SRO70" s="137"/>
      <c r="SRP70" s="137"/>
      <c r="SRQ70" s="137"/>
      <c r="SRR70" s="137"/>
      <c r="SRS70" s="137"/>
      <c r="SRT70" s="137"/>
      <c r="SRU70" s="137"/>
      <c r="SRV70" s="137"/>
      <c r="SRW70" s="137"/>
      <c r="SRX70" s="137"/>
      <c r="SRY70" s="137"/>
      <c r="SRZ70" s="137"/>
      <c r="SSA70" s="137"/>
      <c r="SSB70" s="137"/>
      <c r="SSC70" s="137"/>
      <c r="SSD70" s="137"/>
      <c r="SSE70" s="137"/>
      <c r="SSF70" s="137"/>
      <c r="SSG70" s="137"/>
      <c r="SSH70" s="137"/>
      <c r="SSI70" s="137"/>
      <c r="SSJ70" s="137"/>
      <c r="SSK70" s="137"/>
      <c r="SSL70" s="137"/>
      <c r="SSM70" s="137"/>
      <c r="SSN70" s="137"/>
      <c r="SSO70" s="137"/>
      <c r="SSP70" s="137"/>
      <c r="SSQ70" s="137"/>
      <c r="SSR70" s="137"/>
      <c r="SSS70" s="137"/>
      <c r="SST70" s="137"/>
      <c r="SSU70" s="137"/>
      <c r="SSV70" s="137"/>
      <c r="SSW70" s="137"/>
      <c r="SSX70" s="137"/>
      <c r="SSY70" s="137"/>
      <c r="SSZ70" s="137"/>
      <c r="STA70" s="137"/>
      <c r="STB70" s="137"/>
      <c r="STC70" s="137"/>
      <c r="STD70" s="137"/>
      <c r="STE70" s="137"/>
      <c r="STF70" s="137"/>
      <c r="STG70" s="137"/>
      <c r="STH70" s="137"/>
      <c r="STI70" s="137"/>
      <c r="STJ70" s="137"/>
      <c r="STK70" s="137"/>
      <c r="STL70" s="137"/>
      <c r="STM70" s="137"/>
      <c r="STN70" s="137"/>
      <c r="STO70" s="137"/>
      <c r="STP70" s="137"/>
      <c r="STQ70" s="137"/>
      <c r="STR70" s="137"/>
      <c r="STS70" s="137"/>
      <c r="STT70" s="137"/>
      <c r="STU70" s="137"/>
      <c r="STV70" s="137"/>
      <c r="STW70" s="137"/>
      <c r="STX70" s="137"/>
      <c r="STY70" s="137"/>
      <c r="STZ70" s="137"/>
      <c r="SUA70" s="137"/>
      <c r="SUB70" s="137"/>
      <c r="SUC70" s="137"/>
      <c r="SUD70" s="137"/>
      <c r="SUE70" s="137"/>
      <c r="SUF70" s="137"/>
      <c r="SUG70" s="137"/>
      <c r="SUH70" s="137"/>
      <c r="SUI70" s="137"/>
      <c r="SUJ70" s="137"/>
      <c r="SUK70" s="137"/>
      <c r="SUL70" s="137"/>
      <c r="SUM70" s="137"/>
      <c r="SUN70" s="137"/>
      <c r="SUO70" s="137"/>
      <c r="SUP70" s="137"/>
      <c r="SUQ70" s="137"/>
      <c r="SUR70" s="137"/>
      <c r="SUS70" s="137"/>
      <c r="SUT70" s="137"/>
      <c r="SUU70" s="137"/>
      <c r="SUV70" s="137"/>
      <c r="SUW70" s="137"/>
      <c r="SUX70" s="137"/>
      <c r="SUY70" s="137"/>
      <c r="SUZ70" s="137"/>
      <c r="SVA70" s="137"/>
      <c r="SVB70" s="137"/>
      <c r="SVC70" s="137"/>
      <c r="SVD70" s="137"/>
      <c r="SVE70" s="137"/>
      <c r="SVF70" s="137"/>
      <c r="SVG70" s="137"/>
      <c r="SVH70" s="137"/>
      <c r="SVI70" s="137"/>
      <c r="SVJ70" s="137"/>
      <c r="SVK70" s="137"/>
      <c r="SVL70" s="137"/>
      <c r="SVM70" s="137"/>
      <c r="SVN70" s="137"/>
      <c r="SVO70" s="137"/>
      <c r="SVP70" s="137"/>
      <c r="SVQ70" s="137"/>
      <c r="SVR70" s="137"/>
      <c r="SVS70" s="137"/>
      <c r="SVT70" s="137"/>
      <c r="SVU70" s="137"/>
      <c r="SVV70" s="137"/>
      <c r="SVW70" s="137"/>
      <c r="SVX70" s="137"/>
      <c r="SVY70" s="137"/>
      <c r="SVZ70" s="137"/>
      <c r="SWA70" s="137"/>
      <c r="SWB70" s="137"/>
      <c r="SWC70" s="137"/>
      <c r="SWD70" s="137"/>
      <c r="SWE70" s="137"/>
      <c r="SWF70" s="137"/>
      <c r="SWG70" s="137"/>
      <c r="SWH70" s="137"/>
      <c r="SWI70" s="137"/>
      <c r="SWJ70" s="137"/>
      <c r="SWK70" s="137"/>
      <c r="SWL70" s="137"/>
      <c r="SWM70" s="137"/>
      <c r="SWN70" s="137"/>
      <c r="SWO70" s="137"/>
      <c r="SWP70" s="137"/>
      <c r="SWQ70" s="137"/>
      <c r="SWR70" s="137"/>
      <c r="SWS70" s="137"/>
      <c r="SWT70" s="137"/>
      <c r="SWU70" s="137"/>
      <c r="SWV70" s="137"/>
      <c r="SWW70" s="137"/>
      <c r="SWX70" s="137"/>
      <c r="SWY70" s="137"/>
      <c r="SWZ70" s="137"/>
      <c r="SXA70" s="137"/>
      <c r="SXB70" s="137"/>
      <c r="SXC70" s="137"/>
      <c r="SXD70" s="137"/>
      <c r="SXE70" s="137"/>
      <c r="SXF70" s="137"/>
      <c r="SXG70" s="137"/>
      <c r="SXH70" s="137"/>
      <c r="SXI70" s="137"/>
      <c r="SXJ70" s="137"/>
      <c r="SXK70" s="137"/>
      <c r="SXL70" s="137"/>
      <c r="SXM70" s="137"/>
      <c r="SXN70" s="137"/>
      <c r="SXO70" s="137"/>
      <c r="SXP70" s="137"/>
      <c r="SXQ70" s="137"/>
      <c r="SXR70" s="137"/>
      <c r="SXS70" s="137"/>
      <c r="SXT70" s="137"/>
      <c r="SXU70" s="137"/>
      <c r="SXV70" s="137"/>
      <c r="SXW70" s="137"/>
      <c r="SXX70" s="137"/>
      <c r="SXY70" s="137"/>
      <c r="SXZ70" s="137"/>
      <c r="SYA70" s="137"/>
      <c r="SYB70" s="137"/>
      <c r="SYC70" s="137"/>
      <c r="SYD70" s="137"/>
      <c r="SYE70" s="137"/>
      <c r="SYF70" s="137"/>
      <c r="SYG70" s="137"/>
      <c r="SYH70" s="137"/>
      <c r="SYI70" s="137"/>
      <c r="SYJ70" s="137"/>
      <c r="SYK70" s="137"/>
      <c r="SYL70" s="137"/>
      <c r="SYM70" s="137"/>
      <c r="SYN70" s="137"/>
      <c r="SYO70" s="137"/>
      <c r="SYP70" s="137"/>
      <c r="SYQ70" s="137"/>
      <c r="SYR70" s="137"/>
      <c r="SYS70" s="137"/>
      <c r="SYT70" s="137"/>
      <c r="SYU70" s="137"/>
      <c r="SYV70" s="137"/>
      <c r="SYW70" s="137"/>
      <c r="SYX70" s="137"/>
      <c r="SYY70" s="137"/>
      <c r="SYZ70" s="137"/>
      <c r="SZA70" s="137"/>
      <c r="SZB70" s="137"/>
      <c r="SZC70" s="137"/>
      <c r="SZD70" s="137"/>
      <c r="SZE70" s="137"/>
      <c r="SZF70" s="137"/>
      <c r="SZG70" s="137"/>
      <c r="SZH70" s="137"/>
      <c r="SZI70" s="137"/>
      <c r="SZJ70" s="137"/>
      <c r="SZK70" s="137"/>
      <c r="SZL70" s="137"/>
      <c r="SZM70" s="137"/>
      <c r="SZN70" s="137"/>
      <c r="SZO70" s="137"/>
      <c r="SZP70" s="137"/>
      <c r="SZQ70" s="137"/>
      <c r="SZR70" s="137"/>
      <c r="SZS70" s="137"/>
      <c r="SZT70" s="137"/>
      <c r="SZU70" s="137"/>
      <c r="SZV70" s="137"/>
      <c r="SZW70" s="137"/>
      <c r="SZX70" s="137"/>
      <c r="SZY70" s="137"/>
      <c r="SZZ70" s="137"/>
      <c r="TAA70" s="137"/>
      <c r="TAB70" s="137"/>
      <c r="TAC70" s="137"/>
      <c r="TAD70" s="137"/>
      <c r="TAE70" s="137"/>
      <c r="TAF70" s="137"/>
      <c r="TAG70" s="137"/>
      <c r="TAH70" s="137"/>
      <c r="TAI70" s="137"/>
      <c r="TAJ70" s="137"/>
      <c r="TAK70" s="137"/>
      <c r="TAL70" s="137"/>
      <c r="TAM70" s="137"/>
      <c r="TAN70" s="137"/>
      <c r="TAO70" s="137"/>
      <c r="TAP70" s="137"/>
      <c r="TAQ70" s="137"/>
      <c r="TAR70" s="137"/>
      <c r="TAS70" s="137"/>
      <c r="TAT70" s="137"/>
      <c r="TAU70" s="137"/>
      <c r="TAV70" s="137"/>
      <c r="TAW70" s="137"/>
      <c r="TAX70" s="137"/>
      <c r="TAY70" s="137"/>
      <c r="TAZ70" s="137"/>
      <c r="TBA70" s="137"/>
      <c r="TBB70" s="137"/>
      <c r="TBC70" s="137"/>
      <c r="TBD70" s="137"/>
      <c r="TBE70" s="137"/>
      <c r="TBF70" s="137"/>
      <c r="TBG70" s="137"/>
      <c r="TBH70" s="137"/>
      <c r="TBI70" s="137"/>
      <c r="TBJ70" s="137"/>
      <c r="TBK70" s="137"/>
      <c r="TBL70" s="137"/>
      <c r="TBM70" s="137"/>
      <c r="TBN70" s="137"/>
      <c r="TBO70" s="137"/>
      <c r="TBP70" s="137"/>
      <c r="TBQ70" s="137"/>
      <c r="TBR70" s="137"/>
      <c r="TBS70" s="137"/>
      <c r="TBT70" s="137"/>
      <c r="TBU70" s="137"/>
      <c r="TBV70" s="137"/>
      <c r="TBW70" s="137"/>
      <c r="TBX70" s="137"/>
      <c r="TBY70" s="137"/>
      <c r="TBZ70" s="137"/>
      <c r="TCA70" s="137"/>
      <c r="TCB70" s="137"/>
      <c r="TCC70" s="137"/>
      <c r="TCD70" s="137"/>
      <c r="TCE70" s="137"/>
      <c r="TCF70" s="137"/>
      <c r="TCG70" s="137"/>
      <c r="TCH70" s="137"/>
      <c r="TCI70" s="137"/>
      <c r="TCJ70" s="137"/>
      <c r="TCK70" s="137"/>
      <c r="TCL70" s="137"/>
      <c r="TCM70" s="137"/>
      <c r="TCN70" s="137"/>
      <c r="TCO70" s="137"/>
      <c r="TCP70" s="137"/>
      <c r="TCQ70" s="137"/>
      <c r="TCR70" s="137"/>
      <c r="TCS70" s="137"/>
      <c r="TCT70" s="137"/>
      <c r="TCU70" s="137"/>
      <c r="TCV70" s="137"/>
      <c r="TCW70" s="137"/>
      <c r="TCX70" s="137"/>
      <c r="TCY70" s="137"/>
      <c r="TCZ70" s="137"/>
      <c r="TDA70" s="137"/>
      <c r="TDB70" s="137"/>
      <c r="TDC70" s="137"/>
      <c r="TDD70" s="137"/>
      <c r="TDE70" s="137"/>
      <c r="TDF70" s="137"/>
      <c r="TDG70" s="137"/>
      <c r="TDH70" s="137"/>
      <c r="TDI70" s="137"/>
      <c r="TDJ70" s="137"/>
      <c r="TDK70" s="137"/>
      <c r="TDL70" s="137"/>
      <c r="TDM70" s="137"/>
      <c r="TDN70" s="137"/>
      <c r="TDO70" s="137"/>
      <c r="TDP70" s="137"/>
      <c r="TDQ70" s="137"/>
      <c r="TDR70" s="137"/>
      <c r="TDS70" s="137"/>
      <c r="TDT70" s="137"/>
      <c r="TDU70" s="137"/>
      <c r="TDV70" s="137"/>
      <c r="TDW70" s="137"/>
      <c r="TDX70" s="137"/>
      <c r="TDY70" s="137"/>
      <c r="TDZ70" s="137"/>
      <c r="TEA70" s="137"/>
      <c r="TEB70" s="137"/>
      <c r="TEC70" s="137"/>
      <c r="TED70" s="137"/>
      <c r="TEE70" s="137"/>
      <c r="TEF70" s="137"/>
      <c r="TEG70" s="137"/>
      <c r="TEH70" s="137"/>
      <c r="TEI70" s="137"/>
      <c r="TEJ70" s="137"/>
      <c r="TEK70" s="137"/>
      <c r="TEL70" s="137"/>
      <c r="TEM70" s="137"/>
      <c r="TEN70" s="137"/>
      <c r="TEO70" s="137"/>
      <c r="TEP70" s="137"/>
      <c r="TEQ70" s="137"/>
      <c r="TER70" s="137"/>
      <c r="TES70" s="137"/>
      <c r="TET70" s="137"/>
      <c r="TEU70" s="137"/>
      <c r="TEV70" s="137"/>
      <c r="TEW70" s="137"/>
      <c r="TEX70" s="137"/>
      <c r="TEY70" s="137"/>
      <c r="TEZ70" s="137"/>
      <c r="TFA70" s="137"/>
      <c r="TFB70" s="137"/>
      <c r="TFC70" s="137"/>
      <c r="TFD70" s="137"/>
      <c r="TFE70" s="137"/>
      <c r="TFF70" s="137"/>
      <c r="TFG70" s="137"/>
      <c r="TFH70" s="137"/>
      <c r="TFI70" s="137"/>
      <c r="TFJ70" s="137"/>
      <c r="TFK70" s="137"/>
      <c r="TFL70" s="137"/>
      <c r="TFM70" s="137"/>
      <c r="TFN70" s="137"/>
      <c r="TFO70" s="137"/>
      <c r="TFP70" s="137"/>
      <c r="TFQ70" s="137"/>
      <c r="TFR70" s="137"/>
      <c r="TFS70" s="137"/>
      <c r="TFT70" s="137"/>
      <c r="TFU70" s="137"/>
      <c r="TFV70" s="137"/>
      <c r="TFW70" s="137"/>
      <c r="TFX70" s="137"/>
      <c r="TFY70" s="137"/>
      <c r="TFZ70" s="137"/>
      <c r="TGA70" s="137"/>
      <c r="TGB70" s="137"/>
      <c r="TGC70" s="137"/>
      <c r="TGD70" s="137"/>
      <c r="TGE70" s="137"/>
      <c r="TGF70" s="137"/>
      <c r="TGG70" s="137"/>
      <c r="TGH70" s="137"/>
      <c r="TGI70" s="137"/>
      <c r="TGJ70" s="137"/>
      <c r="TGK70" s="137"/>
      <c r="TGL70" s="137"/>
      <c r="TGM70" s="137"/>
      <c r="TGN70" s="137"/>
      <c r="TGO70" s="137"/>
      <c r="TGP70" s="137"/>
      <c r="TGQ70" s="137"/>
      <c r="TGR70" s="137"/>
      <c r="TGS70" s="137"/>
      <c r="TGT70" s="137"/>
      <c r="TGU70" s="137"/>
      <c r="TGV70" s="137"/>
      <c r="TGW70" s="137"/>
      <c r="TGX70" s="137"/>
      <c r="TGY70" s="137"/>
      <c r="TGZ70" s="137"/>
      <c r="THA70" s="137"/>
      <c r="THB70" s="137"/>
      <c r="THC70" s="137"/>
      <c r="THD70" s="137"/>
      <c r="THE70" s="137"/>
      <c r="THF70" s="137"/>
      <c r="THG70" s="137"/>
      <c r="THH70" s="137"/>
      <c r="THI70" s="137"/>
      <c r="THJ70" s="137"/>
      <c r="THK70" s="137"/>
      <c r="THL70" s="137"/>
      <c r="THM70" s="137"/>
      <c r="THN70" s="137"/>
      <c r="THO70" s="137"/>
      <c r="THP70" s="137"/>
      <c r="THQ70" s="137"/>
      <c r="THR70" s="137"/>
      <c r="THS70" s="137"/>
      <c r="THT70" s="137"/>
      <c r="THU70" s="137"/>
      <c r="THV70" s="137"/>
      <c r="THW70" s="137"/>
      <c r="THX70" s="137"/>
      <c r="THY70" s="137"/>
      <c r="THZ70" s="137"/>
      <c r="TIA70" s="137"/>
      <c r="TIB70" s="137"/>
      <c r="TIC70" s="137"/>
      <c r="TID70" s="137"/>
      <c r="TIE70" s="137"/>
      <c r="TIF70" s="137"/>
      <c r="TIG70" s="137"/>
      <c r="TIH70" s="137"/>
      <c r="TII70" s="137"/>
      <c r="TIJ70" s="137"/>
      <c r="TIK70" s="137"/>
      <c r="TIL70" s="137"/>
      <c r="TIM70" s="137"/>
      <c r="TIN70" s="137"/>
      <c r="TIO70" s="137"/>
      <c r="TIP70" s="137"/>
      <c r="TIQ70" s="137"/>
      <c r="TIR70" s="137"/>
      <c r="TIS70" s="137"/>
      <c r="TIT70" s="137"/>
      <c r="TIU70" s="137"/>
      <c r="TIV70" s="137"/>
      <c r="TIW70" s="137"/>
      <c r="TIX70" s="137"/>
      <c r="TIY70" s="137"/>
      <c r="TIZ70" s="137"/>
      <c r="TJA70" s="137"/>
      <c r="TJB70" s="137"/>
      <c r="TJC70" s="137"/>
      <c r="TJD70" s="137"/>
      <c r="TJE70" s="137"/>
      <c r="TJF70" s="137"/>
      <c r="TJG70" s="137"/>
      <c r="TJH70" s="137"/>
      <c r="TJI70" s="137"/>
      <c r="TJJ70" s="137"/>
      <c r="TJK70" s="137"/>
      <c r="TJL70" s="137"/>
      <c r="TJM70" s="137"/>
      <c r="TJN70" s="137"/>
      <c r="TJO70" s="137"/>
      <c r="TJP70" s="137"/>
      <c r="TJQ70" s="137"/>
      <c r="TJR70" s="137"/>
      <c r="TJS70" s="137"/>
      <c r="TJT70" s="137"/>
      <c r="TJU70" s="137"/>
      <c r="TJV70" s="137"/>
      <c r="TJW70" s="137"/>
      <c r="TJX70" s="137"/>
      <c r="TJY70" s="137"/>
      <c r="TJZ70" s="137"/>
      <c r="TKA70" s="137"/>
      <c r="TKB70" s="137"/>
      <c r="TKC70" s="137"/>
      <c r="TKD70" s="137"/>
      <c r="TKE70" s="137"/>
      <c r="TKF70" s="137"/>
      <c r="TKG70" s="137"/>
      <c r="TKH70" s="137"/>
      <c r="TKI70" s="137"/>
      <c r="TKJ70" s="137"/>
      <c r="TKK70" s="137"/>
      <c r="TKL70" s="137"/>
      <c r="TKM70" s="137"/>
      <c r="TKN70" s="137"/>
      <c r="TKO70" s="137"/>
      <c r="TKP70" s="137"/>
      <c r="TKQ70" s="137"/>
      <c r="TKR70" s="137"/>
      <c r="TKS70" s="137"/>
      <c r="TKT70" s="137"/>
      <c r="TKU70" s="137"/>
      <c r="TKV70" s="137"/>
      <c r="TKW70" s="137"/>
      <c r="TKX70" s="137"/>
      <c r="TKY70" s="137"/>
      <c r="TKZ70" s="137"/>
      <c r="TLA70" s="137"/>
      <c r="TLB70" s="137"/>
      <c r="TLC70" s="137"/>
      <c r="TLD70" s="137"/>
      <c r="TLE70" s="137"/>
      <c r="TLF70" s="137"/>
      <c r="TLG70" s="137"/>
      <c r="TLH70" s="137"/>
      <c r="TLI70" s="137"/>
      <c r="TLJ70" s="137"/>
      <c r="TLK70" s="137"/>
      <c r="TLL70" s="137"/>
      <c r="TLM70" s="137"/>
      <c r="TLN70" s="137"/>
      <c r="TLO70" s="137"/>
      <c r="TLP70" s="137"/>
      <c r="TLQ70" s="137"/>
      <c r="TLR70" s="137"/>
      <c r="TLS70" s="137"/>
      <c r="TLT70" s="137"/>
      <c r="TLU70" s="137"/>
      <c r="TLV70" s="137"/>
      <c r="TLW70" s="137"/>
      <c r="TLX70" s="137"/>
      <c r="TLY70" s="137"/>
      <c r="TLZ70" s="137"/>
      <c r="TMA70" s="137"/>
      <c r="TMB70" s="137"/>
      <c r="TMC70" s="137"/>
      <c r="TMD70" s="137"/>
      <c r="TME70" s="137"/>
      <c r="TMF70" s="137"/>
      <c r="TMG70" s="137"/>
      <c r="TMH70" s="137"/>
      <c r="TMI70" s="137"/>
      <c r="TMJ70" s="137"/>
      <c r="TMK70" s="137"/>
      <c r="TML70" s="137"/>
      <c r="TMM70" s="137"/>
      <c r="TMN70" s="137"/>
      <c r="TMO70" s="137"/>
      <c r="TMP70" s="137"/>
      <c r="TMQ70" s="137"/>
      <c r="TMR70" s="137"/>
      <c r="TMS70" s="137"/>
      <c r="TMT70" s="137"/>
      <c r="TMU70" s="137"/>
      <c r="TMV70" s="137"/>
      <c r="TMW70" s="137"/>
      <c r="TMX70" s="137"/>
      <c r="TMY70" s="137"/>
      <c r="TMZ70" s="137"/>
      <c r="TNA70" s="137"/>
      <c r="TNB70" s="137"/>
      <c r="TNC70" s="137"/>
      <c r="TND70" s="137"/>
      <c r="TNE70" s="137"/>
      <c r="TNF70" s="137"/>
      <c r="TNG70" s="137"/>
      <c r="TNH70" s="137"/>
      <c r="TNI70" s="137"/>
      <c r="TNJ70" s="137"/>
      <c r="TNK70" s="137"/>
      <c r="TNL70" s="137"/>
      <c r="TNM70" s="137"/>
      <c r="TNN70" s="137"/>
      <c r="TNO70" s="137"/>
      <c r="TNP70" s="137"/>
      <c r="TNQ70" s="137"/>
      <c r="TNR70" s="137"/>
      <c r="TNS70" s="137"/>
      <c r="TNT70" s="137"/>
      <c r="TNU70" s="137"/>
      <c r="TNV70" s="137"/>
      <c r="TNW70" s="137"/>
      <c r="TNX70" s="137"/>
      <c r="TNY70" s="137"/>
      <c r="TNZ70" s="137"/>
      <c r="TOA70" s="137"/>
      <c r="TOB70" s="137"/>
      <c r="TOC70" s="137"/>
      <c r="TOD70" s="137"/>
      <c r="TOE70" s="137"/>
      <c r="TOF70" s="137"/>
      <c r="TOG70" s="137"/>
      <c r="TOH70" s="137"/>
      <c r="TOI70" s="137"/>
      <c r="TOJ70" s="137"/>
      <c r="TOK70" s="137"/>
      <c r="TOL70" s="137"/>
      <c r="TOM70" s="137"/>
      <c r="TON70" s="137"/>
      <c r="TOO70" s="137"/>
      <c r="TOP70" s="137"/>
      <c r="TOQ70" s="137"/>
      <c r="TOR70" s="137"/>
      <c r="TOS70" s="137"/>
      <c r="TOT70" s="137"/>
      <c r="TOU70" s="137"/>
      <c r="TOV70" s="137"/>
      <c r="TOW70" s="137"/>
      <c r="TOX70" s="137"/>
      <c r="TOY70" s="137"/>
      <c r="TOZ70" s="137"/>
      <c r="TPA70" s="137"/>
      <c r="TPB70" s="137"/>
      <c r="TPC70" s="137"/>
      <c r="TPD70" s="137"/>
      <c r="TPE70" s="137"/>
      <c r="TPF70" s="137"/>
      <c r="TPG70" s="137"/>
      <c r="TPH70" s="137"/>
      <c r="TPI70" s="137"/>
      <c r="TPJ70" s="137"/>
      <c r="TPK70" s="137"/>
      <c r="TPL70" s="137"/>
      <c r="TPM70" s="137"/>
      <c r="TPN70" s="137"/>
      <c r="TPO70" s="137"/>
      <c r="TPP70" s="137"/>
      <c r="TPQ70" s="137"/>
      <c r="TPR70" s="137"/>
      <c r="TPS70" s="137"/>
      <c r="TPT70" s="137"/>
      <c r="TPU70" s="137"/>
      <c r="TPV70" s="137"/>
      <c r="TPW70" s="137"/>
      <c r="TPX70" s="137"/>
      <c r="TPY70" s="137"/>
      <c r="TPZ70" s="137"/>
      <c r="TQA70" s="137"/>
      <c r="TQB70" s="137"/>
      <c r="TQC70" s="137"/>
      <c r="TQD70" s="137"/>
      <c r="TQE70" s="137"/>
      <c r="TQF70" s="137"/>
      <c r="TQG70" s="137"/>
      <c r="TQH70" s="137"/>
      <c r="TQI70" s="137"/>
      <c r="TQJ70" s="137"/>
      <c r="TQK70" s="137"/>
      <c r="TQL70" s="137"/>
      <c r="TQM70" s="137"/>
      <c r="TQN70" s="137"/>
      <c r="TQO70" s="137"/>
      <c r="TQP70" s="137"/>
      <c r="TQQ70" s="137"/>
      <c r="TQR70" s="137"/>
      <c r="TQS70" s="137"/>
      <c r="TQT70" s="137"/>
      <c r="TQU70" s="137"/>
      <c r="TQV70" s="137"/>
      <c r="TQW70" s="137"/>
      <c r="TQX70" s="137"/>
      <c r="TQY70" s="137"/>
      <c r="TQZ70" s="137"/>
      <c r="TRA70" s="137"/>
      <c r="TRB70" s="137"/>
      <c r="TRC70" s="137"/>
      <c r="TRD70" s="137"/>
      <c r="TRE70" s="137"/>
      <c r="TRF70" s="137"/>
      <c r="TRG70" s="137"/>
      <c r="TRH70" s="137"/>
      <c r="TRI70" s="137"/>
      <c r="TRJ70" s="137"/>
      <c r="TRK70" s="137"/>
      <c r="TRL70" s="137"/>
      <c r="TRM70" s="137"/>
      <c r="TRN70" s="137"/>
      <c r="TRO70" s="137"/>
      <c r="TRP70" s="137"/>
      <c r="TRQ70" s="137"/>
      <c r="TRR70" s="137"/>
      <c r="TRS70" s="137"/>
      <c r="TRT70" s="137"/>
      <c r="TRU70" s="137"/>
      <c r="TRV70" s="137"/>
      <c r="TRW70" s="137"/>
      <c r="TRX70" s="137"/>
      <c r="TRY70" s="137"/>
      <c r="TRZ70" s="137"/>
      <c r="TSA70" s="137"/>
      <c r="TSB70" s="137"/>
      <c r="TSC70" s="137"/>
      <c r="TSD70" s="137"/>
      <c r="TSE70" s="137"/>
      <c r="TSF70" s="137"/>
      <c r="TSG70" s="137"/>
      <c r="TSH70" s="137"/>
      <c r="TSI70" s="137"/>
      <c r="TSJ70" s="137"/>
      <c r="TSK70" s="137"/>
      <c r="TSL70" s="137"/>
      <c r="TSM70" s="137"/>
      <c r="TSN70" s="137"/>
      <c r="TSO70" s="137"/>
      <c r="TSP70" s="137"/>
      <c r="TSQ70" s="137"/>
      <c r="TSR70" s="137"/>
      <c r="TSS70" s="137"/>
      <c r="TST70" s="137"/>
      <c r="TSU70" s="137"/>
      <c r="TSV70" s="137"/>
      <c r="TSW70" s="137"/>
      <c r="TSX70" s="137"/>
      <c r="TSY70" s="137"/>
      <c r="TSZ70" s="137"/>
      <c r="TTA70" s="137"/>
      <c r="TTB70" s="137"/>
      <c r="TTC70" s="137"/>
      <c r="TTD70" s="137"/>
      <c r="TTE70" s="137"/>
      <c r="TTF70" s="137"/>
      <c r="TTG70" s="137"/>
      <c r="TTH70" s="137"/>
      <c r="TTI70" s="137"/>
      <c r="TTJ70" s="137"/>
      <c r="TTK70" s="137"/>
      <c r="TTL70" s="137"/>
      <c r="TTM70" s="137"/>
      <c r="TTN70" s="137"/>
      <c r="TTO70" s="137"/>
      <c r="TTP70" s="137"/>
      <c r="TTQ70" s="137"/>
      <c r="TTR70" s="137"/>
      <c r="TTS70" s="137"/>
      <c r="TTT70" s="137"/>
      <c r="TTU70" s="137"/>
      <c r="TTV70" s="137"/>
      <c r="TTW70" s="137"/>
      <c r="TTX70" s="137"/>
      <c r="TTY70" s="137"/>
      <c r="TTZ70" s="137"/>
      <c r="TUA70" s="137"/>
      <c r="TUB70" s="137"/>
      <c r="TUC70" s="137"/>
      <c r="TUD70" s="137"/>
      <c r="TUE70" s="137"/>
      <c r="TUF70" s="137"/>
      <c r="TUG70" s="137"/>
      <c r="TUH70" s="137"/>
      <c r="TUI70" s="137"/>
      <c r="TUJ70" s="137"/>
      <c r="TUK70" s="137"/>
      <c r="TUL70" s="137"/>
      <c r="TUM70" s="137"/>
      <c r="TUN70" s="137"/>
      <c r="TUO70" s="137"/>
      <c r="TUP70" s="137"/>
      <c r="TUQ70" s="137"/>
      <c r="TUR70" s="137"/>
      <c r="TUS70" s="137"/>
      <c r="TUT70" s="137"/>
      <c r="TUU70" s="137"/>
      <c r="TUV70" s="137"/>
      <c r="TUW70" s="137"/>
      <c r="TUX70" s="137"/>
      <c r="TUY70" s="137"/>
      <c r="TUZ70" s="137"/>
      <c r="TVA70" s="137"/>
      <c r="TVB70" s="137"/>
      <c r="TVC70" s="137"/>
      <c r="TVD70" s="137"/>
      <c r="TVE70" s="137"/>
      <c r="TVF70" s="137"/>
      <c r="TVG70" s="137"/>
      <c r="TVH70" s="137"/>
      <c r="TVI70" s="137"/>
      <c r="TVJ70" s="137"/>
      <c r="TVK70" s="137"/>
      <c r="TVL70" s="137"/>
      <c r="TVM70" s="137"/>
      <c r="TVN70" s="137"/>
      <c r="TVO70" s="137"/>
      <c r="TVP70" s="137"/>
      <c r="TVQ70" s="137"/>
      <c r="TVR70" s="137"/>
      <c r="TVS70" s="137"/>
      <c r="TVT70" s="137"/>
      <c r="TVU70" s="137"/>
      <c r="TVV70" s="137"/>
      <c r="TVW70" s="137"/>
      <c r="TVX70" s="137"/>
      <c r="TVY70" s="137"/>
      <c r="TVZ70" s="137"/>
      <c r="TWA70" s="137"/>
      <c r="TWB70" s="137"/>
      <c r="TWC70" s="137"/>
      <c r="TWD70" s="137"/>
      <c r="TWE70" s="137"/>
      <c r="TWF70" s="137"/>
      <c r="TWG70" s="137"/>
      <c r="TWH70" s="137"/>
      <c r="TWI70" s="137"/>
      <c r="TWJ70" s="137"/>
      <c r="TWK70" s="137"/>
      <c r="TWL70" s="137"/>
      <c r="TWM70" s="137"/>
      <c r="TWN70" s="137"/>
      <c r="TWO70" s="137"/>
      <c r="TWP70" s="137"/>
      <c r="TWQ70" s="137"/>
      <c r="TWR70" s="137"/>
      <c r="TWS70" s="137"/>
      <c r="TWT70" s="137"/>
      <c r="TWU70" s="137"/>
      <c r="TWV70" s="137"/>
      <c r="TWW70" s="137"/>
      <c r="TWX70" s="137"/>
      <c r="TWY70" s="137"/>
      <c r="TWZ70" s="137"/>
      <c r="TXA70" s="137"/>
      <c r="TXB70" s="137"/>
      <c r="TXC70" s="137"/>
      <c r="TXD70" s="137"/>
      <c r="TXE70" s="137"/>
      <c r="TXF70" s="137"/>
      <c r="TXG70" s="137"/>
      <c r="TXH70" s="137"/>
      <c r="TXI70" s="137"/>
      <c r="TXJ70" s="137"/>
      <c r="TXK70" s="137"/>
      <c r="TXL70" s="137"/>
      <c r="TXM70" s="137"/>
      <c r="TXN70" s="137"/>
      <c r="TXO70" s="137"/>
      <c r="TXP70" s="137"/>
      <c r="TXQ70" s="137"/>
      <c r="TXR70" s="137"/>
      <c r="TXS70" s="137"/>
      <c r="TXT70" s="137"/>
      <c r="TXU70" s="137"/>
      <c r="TXV70" s="137"/>
      <c r="TXW70" s="137"/>
      <c r="TXX70" s="137"/>
      <c r="TXY70" s="137"/>
      <c r="TXZ70" s="137"/>
      <c r="TYA70" s="137"/>
      <c r="TYB70" s="137"/>
      <c r="TYC70" s="137"/>
      <c r="TYD70" s="137"/>
      <c r="TYE70" s="137"/>
      <c r="TYF70" s="137"/>
      <c r="TYG70" s="137"/>
      <c r="TYH70" s="137"/>
      <c r="TYI70" s="137"/>
      <c r="TYJ70" s="137"/>
      <c r="TYK70" s="137"/>
      <c r="TYL70" s="137"/>
      <c r="TYM70" s="137"/>
      <c r="TYN70" s="137"/>
      <c r="TYO70" s="137"/>
      <c r="TYP70" s="137"/>
      <c r="TYQ70" s="137"/>
      <c r="TYR70" s="137"/>
      <c r="TYS70" s="137"/>
      <c r="TYT70" s="137"/>
      <c r="TYU70" s="137"/>
      <c r="TYV70" s="137"/>
      <c r="TYW70" s="137"/>
      <c r="TYX70" s="137"/>
      <c r="TYY70" s="137"/>
      <c r="TYZ70" s="137"/>
      <c r="TZA70" s="137"/>
      <c r="TZB70" s="137"/>
      <c r="TZC70" s="137"/>
      <c r="TZD70" s="137"/>
      <c r="TZE70" s="137"/>
      <c r="TZF70" s="137"/>
      <c r="TZG70" s="137"/>
      <c r="TZH70" s="137"/>
      <c r="TZI70" s="137"/>
      <c r="TZJ70" s="137"/>
      <c r="TZK70" s="137"/>
      <c r="TZL70" s="137"/>
      <c r="TZM70" s="137"/>
      <c r="TZN70" s="137"/>
      <c r="TZO70" s="137"/>
      <c r="TZP70" s="137"/>
      <c r="TZQ70" s="137"/>
      <c r="TZR70" s="137"/>
      <c r="TZS70" s="137"/>
      <c r="TZT70" s="137"/>
      <c r="TZU70" s="137"/>
      <c r="TZV70" s="137"/>
      <c r="TZW70" s="137"/>
      <c r="TZX70" s="137"/>
      <c r="TZY70" s="137"/>
      <c r="TZZ70" s="137"/>
      <c r="UAA70" s="137"/>
      <c r="UAB70" s="137"/>
      <c r="UAC70" s="137"/>
      <c r="UAD70" s="137"/>
      <c r="UAE70" s="137"/>
      <c r="UAF70" s="137"/>
      <c r="UAG70" s="137"/>
      <c r="UAH70" s="137"/>
      <c r="UAI70" s="137"/>
      <c r="UAJ70" s="137"/>
      <c r="UAK70" s="137"/>
      <c r="UAL70" s="137"/>
      <c r="UAM70" s="137"/>
      <c r="UAN70" s="137"/>
      <c r="UAO70" s="137"/>
      <c r="UAP70" s="137"/>
      <c r="UAQ70" s="137"/>
      <c r="UAR70" s="137"/>
      <c r="UAS70" s="137"/>
      <c r="UAT70" s="137"/>
      <c r="UAU70" s="137"/>
      <c r="UAV70" s="137"/>
      <c r="UAW70" s="137"/>
      <c r="UAX70" s="137"/>
      <c r="UAY70" s="137"/>
      <c r="UAZ70" s="137"/>
      <c r="UBA70" s="137"/>
      <c r="UBB70" s="137"/>
      <c r="UBC70" s="137"/>
      <c r="UBD70" s="137"/>
      <c r="UBE70" s="137"/>
      <c r="UBF70" s="137"/>
      <c r="UBG70" s="137"/>
      <c r="UBH70" s="137"/>
      <c r="UBI70" s="137"/>
      <c r="UBJ70" s="137"/>
      <c r="UBK70" s="137"/>
      <c r="UBL70" s="137"/>
      <c r="UBM70" s="137"/>
      <c r="UBN70" s="137"/>
      <c r="UBO70" s="137"/>
      <c r="UBP70" s="137"/>
      <c r="UBQ70" s="137"/>
      <c r="UBR70" s="137"/>
      <c r="UBS70" s="137"/>
      <c r="UBT70" s="137"/>
      <c r="UBU70" s="137"/>
      <c r="UBV70" s="137"/>
      <c r="UBW70" s="137"/>
      <c r="UBX70" s="137"/>
      <c r="UBY70" s="137"/>
      <c r="UBZ70" s="137"/>
      <c r="UCA70" s="137"/>
      <c r="UCB70" s="137"/>
      <c r="UCC70" s="137"/>
      <c r="UCD70" s="137"/>
      <c r="UCE70" s="137"/>
      <c r="UCF70" s="137"/>
      <c r="UCG70" s="137"/>
      <c r="UCH70" s="137"/>
      <c r="UCI70" s="137"/>
      <c r="UCJ70" s="137"/>
      <c r="UCK70" s="137"/>
      <c r="UCL70" s="137"/>
      <c r="UCM70" s="137"/>
      <c r="UCN70" s="137"/>
      <c r="UCO70" s="137"/>
      <c r="UCP70" s="137"/>
      <c r="UCQ70" s="137"/>
      <c r="UCR70" s="137"/>
      <c r="UCS70" s="137"/>
      <c r="UCT70" s="137"/>
      <c r="UCU70" s="137"/>
      <c r="UCV70" s="137"/>
      <c r="UCW70" s="137"/>
      <c r="UCX70" s="137"/>
      <c r="UCY70" s="137"/>
      <c r="UCZ70" s="137"/>
      <c r="UDA70" s="137"/>
      <c r="UDB70" s="137"/>
      <c r="UDC70" s="137"/>
      <c r="UDD70" s="137"/>
      <c r="UDE70" s="137"/>
      <c r="UDF70" s="137"/>
      <c r="UDG70" s="137"/>
      <c r="UDH70" s="137"/>
      <c r="UDI70" s="137"/>
      <c r="UDJ70" s="137"/>
      <c r="UDK70" s="137"/>
      <c r="UDL70" s="137"/>
      <c r="UDM70" s="137"/>
      <c r="UDN70" s="137"/>
      <c r="UDO70" s="137"/>
      <c r="UDP70" s="137"/>
      <c r="UDQ70" s="137"/>
      <c r="UDR70" s="137"/>
      <c r="UDS70" s="137"/>
      <c r="UDT70" s="137"/>
      <c r="UDU70" s="137"/>
      <c r="UDV70" s="137"/>
      <c r="UDW70" s="137"/>
      <c r="UDX70" s="137"/>
      <c r="UDY70" s="137"/>
      <c r="UDZ70" s="137"/>
      <c r="UEA70" s="137"/>
      <c r="UEB70" s="137"/>
      <c r="UEC70" s="137"/>
      <c r="UED70" s="137"/>
      <c r="UEE70" s="137"/>
      <c r="UEF70" s="137"/>
      <c r="UEG70" s="137"/>
      <c r="UEH70" s="137"/>
      <c r="UEI70" s="137"/>
      <c r="UEJ70" s="137"/>
      <c r="UEK70" s="137"/>
      <c r="UEL70" s="137"/>
      <c r="UEM70" s="137"/>
      <c r="UEN70" s="137"/>
      <c r="UEO70" s="137"/>
      <c r="UEP70" s="137"/>
      <c r="UEQ70" s="137"/>
      <c r="UER70" s="137"/>
      <c r="UES70" s="137"/>
      <c r="UET70" s="137"/>
      <c r="UEU70" s="137"/>
      <c r="UEV70" s="137"/>
      <c r="UEW70" s="137"/>
      <c r="UEX70" s="137"/>
      <c r="UEY70" s="137"/>
      <c r="UEZ70" s="137"/>
      <c r="UFA70" s="137"/>
      <c r="UFB70" s="137"/>
      <c r="UFC70" s="137"/>
      <c r="UFD70" s="137"/>
      <c r="UFE70" s="137"/>
      <c r="UFF70" s="137"/>
      <c r="UFG70" s="137"/>
      <c r="UFH70" s="137"/>
      <c r="UFI70" s="137"/>
      <c r="UFJ70" s="137"/>
      <c r="UFK70" s="137"/>
      <c r="UFL70" s="137"/>
      <c r="UFM70" s="137"/>
      <c r="UFN70" s="137"/>
      <c r="UFO70" s="137"/>
      <c r="UFP70" s="137"/>
      <c r="UFQ70" s="137"/>
      <c r="UFR70" s="137"/>
      <c r="UFS70" s="137"/>
      <c r="UFT70" s="137"/>
      <c r="UFU70" s="137"/>
      <c r="UFV70" s="137"/>
      <c r="UFW70" s="137"/>
      <c r="UFX70" s="137"/>
      <c r="UFY70" s="137"/>
      <c r="UFZ70" s="137"/>
      <c r="UGA70" s="137"/>
      <c r="UGB70" s="137"/>
      <c r="UGC70" s="137"/>
      <c r="UGD70" s="137"/>
      <c r="UGE70" s="137"/>
      <c r="UGF70" s="137"/>
      <c r="UGG70" s="137"/>
      <c r="UGH70" s="137"/>
      <c r="UGI70" s="137"/>
      <c r="UGJ70" s="137"/>
      <c r="UGK70" s="137"/>
      <c r="UGL70" s="137"/>
      <c r="UGM70" s="137"/>
      <c r="UGN70" s="137"/>
      <c r="UGO70" s="137"/>
      <c r="UGP70" s="137"/>
      <c r="UGQ70" s="137"/>
      <c r="UGR70" s="137"/>
      <c r="UGS70" s="137"/>
      <c r="UGT70" s="137"/>
      <c r="UGU70" s="137"/>
      <c r="UGV70" s="137"/>
      <c r="UGW70" s="137"/>
      <c r="UGX70" s="137"/>
      <c r="UGY70" s="137"/>
      <c r="UGZ70" s="137"/>
      <c r="UHA70" s="137"/>
      <c r="UHB70" s="137"/>
      <c r="UHC70" s="137"/>
      <c r="UHD70" s="137"/>
      <c r="UHE70" s="137"/>
      <c r="UHF70" s="137"/>
      <c r="UHG70" s="137"/>
      <c r="UHH70" s="137"/>
      <c r="UHI70" s="137"/>
      <c r="UHJ70" s="137"/>
      <c r="UHK70" s="137"/>
      <c r="UHL70" s="137"/>
      <c r="UHM70" s="137"/>
      <c r="UHN70" s="137"/>
      <c r="UHO70" s="137"/>
      <c r="UHP70" s="137"/>
      <c r="UHQ70" s="137"/>
      <c r="UHR70" s="137"/>
      <c r="UHS70" s="137"/>
      <c r="UHT70" s="137"/>
      <c r="UHU70" s="137"/>
      <c r="UHV70" s="137"/>
      <c r="UHW70" s="137"/>
      <c r="UHX70" s="137"/>
      <c r="UHY70" s="137"/>
      <c r="UHZ70" s="137"/>
      <c r="UIA70" s="137"/>
      <c r="UIB70" s="137"/>
      <c r="UIC70" s="137"/>
      <c r="UID70" s="137"/>
      <c r="UIE70" s="137"/>
      <c r="UIF70" s="137"/>
      <c r="UIG70" s="137"/>
      <c r="UIH70" s="137"/>
      <c r="UII70" s="137"/>
      <c r="UIJ70" s="137"/>
      <c r="UIK70" s="137"/>
      <c r="UIL70" s="137"/>
      <c r="UIM70" s="137"/>
      <c r="UIN70" s="137"/>
      <c r="UIO70" s="137"/>
      <c r="UIP70" s="137"/>
      <c r="UIQ70" s="137"/>
      <c r="UIR70" s="137"/>
      <c r="UIS70" s="137"/>
      <c r="UIT70" s="137"/>
      <c r="UIU70" s="137"/>
      <c r="UIV70" s="137"/>
      <c r="UIW70" s="137"/>
      <c r="UIX70" s="137"/>
      <c r="UIY70" s="137"/>
      <c r="UIZ70" s="137"/>
      <c r="UJA70" s="137"/>
      <c r="UJB70" s="137"/>
      <c r="UJC70" s="137"/>
      <c r="UJD70" s="137"/>
      <c r="UJE70" s="137"/>
      <c r="UJF70" s="137"/>
      <c r="UJG70" s="137"/>
      <c r="UJH70" s="137"/>
      <c r="UJI70" s="137"/>
      <c r="UJJ70" s="137"/>
      <c r="UJK70" s="137"/>
      <c r="UJL70" s="137"/>
      <c r="UJM70" s="137"/>
      <c r="UJN70" s="137"/>
      <c r="UJO70" s="137"/>
      <c r="UJP70" s="137"/>
      <c r="UJQ70" s="137"/>
      <c r="UJR70" s="137"/>
      <c r="UJS70" s="137"/>
      <c r="UJT70" s="137"/>
      <c r="UJU70" s="137"/>
      <c r="UJV70" s="137"/>
      <c r="UJW70" s="137"/>
      <c r="UJX70" s="137"/>
      <c r="UJY70" s="137"/>
      <c r="UJZ70" s="137"/>
      <c r="UKA70" s="137"/>
      <c r="UKB70" s="137"/>
      <c r="UKC70" s="137"/>
      <c r="UKD70" s="137"/>
      <c r="UKE70" s="137"/>
      <c r="UKF70" s="137"/>
      <c r="UKG70" s="137"/>
      <c r="UKH70" s="137"/>
      <c r="UKI70" s="137"/>
      <c r="UKJ70" s="137"/>
      <c r="UKK70" s="137"/>
      <c r="UKL70" s="137"/>
      <c r="UKM70" s="137"/>
      <c r="UKN70" s="137"/>
      <c r="UKO70" s="137"/>
      <c r="UKP70" s="137"/>
      <c r="UKQ70" s="137"/>
      <c r="UKR70" s="137"/>
      <c r="UKS70" s="137"/>
      <c r="UKT70" s="137"/>
      <c r="UKU70" s="137"/>
      <c r="UKV70" s="137"/>
      <c r="UKW70" s="137"/>
      <c r="UKX70" s="137"/>
      <c r="UKY70" s="137"/>
      <c r="UKZ70" s="137"/>
      <c r="ULA70" s="137"/>
      <c r="ULB70" s="137"/>
      <c r="ULC70" s="137"/>
      <c r="ULD70" s="137"/>
      <c r="ULE70" s="137"/>
      <c r="ULF70" s="137"/>
      <c r="ULG70" s="137"/>
      <c r="ULH70" s="137"/>
      <c r="ULI70" s="137"/>
      <c r="ULJ70" s="137"/>
      <c r="ULK70" s="137"/>
      <c r="ULL70" s="137"/>
      <c r="ULM70" s="137"/>
      <c r="ULN70" s="137"/>
      <c r="ULO70" s="137"/>
      <c r="ULP70" s="137"/>
      <c r="ULQ70" s="137"/>
      <c r="ULR70" s="137"/>
      <c r="ULS70" s="137"/>
      <c r="ULT70" s="137"/>
      <c r="ULU70" s="137"/>
      <c r="ULV70" s="137"/>
      <c r="ULW70" s="137"/>
      <c r="ULX70" s="137"/>
      <c r="ULY70" s="137"/>
      <c r="ULZ70" s="137"/>
      <c r="UMA70" s="137"/>
      <c r="UMB70" s="137"/>
      <c r="UMC70" s="137"/>
      <c r="UMD70" s="137"/>
      <c r="UME70" s="137"/>
      <c r="UMF70" s="137"/>
      <c r="UMG70" s="137"/>
      <c r="UMH70" s="137"/>
      <c r="UMI70" s="137"/>
      <c r="UMJ70" s="137"/>
      <c r="UMK70" s="137"/>
      <c r="UML70" s="137"/>
      <c r="UMM70" s="137"/>
      <c r="UMN70" s="137"/>
      <c r="UMO70" s="137"/>
      <c r="UMP70" s="137"/>
      <c r="UMQ70" s="137"/>
      <c r="UMR70" s="137"/>
      <c r="UMS70" s="137"/>
      <c r="UMT70" s="137"/>
      <c r="UMU70" s="137"/>
      <c r="UMV70" s="137"/>
      <c r="UMW70" s="137"/>
      <c r="UMX70" s="137"/>
      <c r="UMY70" s="137"/>
      <c r="UMZ70" s="137"/>
      <c r="UNA70" s="137"/>
      <c r="UNB70" s="137"/>
      <c r="UNC70" s="137"/>
      <c r="UND70" s="137"/>
      <c r="UNE70" s="137"/>
      <c r="UNF70" s="137"/>
      <c r="UNG70" s="137"/>
      <c r="UNH70" s="137"/>
      <c r="UNI70" s="137"/>
      <c r="UNJ70" s="137"/>
      <c r="UNK70" s="137"/>
      <c r="UNL70" s="137"/>
      <c r="UNM70" s="137"/>
      <c r="UNN70" s="137"/>
      <c r="UNO70" s="137"/>
      <c r="UNP70" s="137"/>
      <c r="UNQ70" s="137"/>
      <c r="UNR70" s="137"/>
      <c r="UNS70" s="137"/>
      <c r="UNT70" s="137"/>
      <c r="UNU70" s="137"/>
      <c r="UNV70" s="137"/>
      <c r="UNW70" s="137"/>
      <c r="UNX70" s="137"/>
      <c r="UNY70" s="137"/>
      <c r="UNZ70" s="137"/>
      <c r="UOA70" s="137"/>
      <c r="UOB70" s="137"/>
      <c r="UOC70" s="137"/>
      <c r="UOD70" s="137"/>
      <c r="UOE70" s="137"/>
      <c r="UOF70" s="137"/>
      <c r="UOG70" s="137"/>
      <c r="UOH70" s="137"/>
      <c r="UOI70" s="137"/>
      <c r="UOJ70" s="137"/>
      <c r="UOK70" s="137"/>
      <c r="UOL70" s="137"/>
      <c r="UOM70" s="137"/>
      <c r="UON70" s="137"/>
      <c r="UOO70" s="137"/>
      <c r="UOP70" s="137"/>
      <c r="UOQ70" s="137"/>
      <c r="UOR70" s="137"/>
      <c r="UOS70" s="137"/>
      <c r="UOT70" s="137"/>
      <c r="UOU70" s="137"/>
      <c r="UOV70" s="137"/>
      <c r="UOW70" s="137"/>
      <c r="UOX70" s="137"/>
      <c r="UOY70" s="137"/>
      <c r="UOZ70" s="137"/>
      <c r="UPA70" s="137"/>
      <c r="UPB70" s="137"/>
      <c r="UPC70" s="137"/>
      <c r="UPD70" s="137"/>
      <c r="UPE70" s="137"/>
      <c r="UPF70" s="137"/>
      <c r="UPG70" s="137"/>
      <c r="UPH70" s="137"/>
      <c r="UPI70" s="137"/>
      <c r="UPJ70" s="137"/>
      <c r="UPK70" s="137"/>
      <c r="UPL70" s="137"/>
      <c r="UPM70" s="137"/>
      <c r="UPN70" s="137"/>
      <c r="UPO70" s="137"/>
      <c r="UPP70" s="137"/>
      <c r="UPQ70" s="137"/>
      <c r="UPR70" s="137"/>
      <c r="UPS70" s="137"/>
      <c r="UPT70" s="137"/>
      <c r="UPU70" s="137"/>
      <c r="UPV70" s="137"/>
      <c r="UPW70" s="137"/>
      <c r="UPX70" s="137"/>
      <c r="UPY70" s="137"/>
      <c r="UPZ70" s="137"/>
      <c r="UQA70" s="137"/>
      <c r="UQB70" s="137"/>
      <c r="UQC70" s="137"/>
      <c r="UQD70" s="137"/>
      <c r="UQE70" s="137"/>
      <c r="UQF70" s="137"/>
      <c r="UQG70" s="137"/>
      <c r="UQH70" s="137"/>
      <c r="UQI70" s="137"/>
      <c r="UQJ70" s="137"/>
      <c r="UQK70" s="137"/>
      <c r="UQL70" s="137"/>
      <c r="UQM70" s="137"/>
      <c r="UQN70" s="137"/>
      <c r="UQO70" s="137"/>
      <c r="UQP70" s="137"/>
      <c r="UQQ70" s="137"/>
      <c r="UQR70" s="137"/>
      <c r="UQS70" s="137"/>
      <c r="UQT70" s="137"/>
      <c r="UQU70" s="137"/>
      <c r="UQV70" s="137"/>
      <c r="UQW70" s="137"/>
      <c r="UQX70" s="137"/>
      <c r="UQY70" s="137"/>
      <c r="UQZ70" s="137"/>
      <c r="URA70" s="137"/>
      <c r="URB70" s="137"/>
      <c r="URC70" s="137"/>
      <c r="URD70" s="137"/>
      <c r="URE70" s="137"/>
      <c r="URF70" s="137"/>
      <c r="URG70" s="137"/>
      <c r="URH70" s="137"/>
      <c r="URI70" s="137"/>
      <c r="URJ70" s="137"/>
      <c r="URK70" s="137"/>
      <c r="URL70" s="137"/>
      <c r="URM70" s="137"/>
      <c r="URN70" s="137"/>
      <c r="URO70" s="137"/>
      <c r="URP70" s="137"/>
      <c r="URQ70" s="137"/>
      <c r="URR70" s="137"/>
      <c r="URS70" s="137"/>
      <c r="URT70" s="137"/>
      <c r="URU70" s="137"/>
      <c r="URV70" s="137"/>
      <c r="URW70" s="137"/>
      <c r="URX70" s="137"/>
      <c r="URY70" s="137"/>
      <c r="URZ70" s="137"/>
      <c r="USA70" s="137"/>
      <c r="USB70" s="137"/>
      <c r="USC70" s="137"/>
      <c r="USD70" s="137"/>
      <c r="USE70" s="137"/>
      <c r="USF70" s="137"/>
      <c r="USG70" s="137"/>
      <c r="USH70" s="137"/>
      <c r="USI70" s="137"/>
      <c r="USJ70" s="137"/>
      <c r="USK70" s="137"/>
      <c r="USL70" s="137"/>
      <c r="USM70" s="137"/>
      <c r="USN70" s="137"/>
      <c r="USO70" s="137"/>
      <c r="USP70" s="137"/>
      <c r="USQ70" s="137"/>
      <c r="USR70" s="137"/>
      <c r="USS70" s="137"/>
      <c r="UST70" s="137"/>
      <c r="USU70" s="137"/>
      <c r="USV70" s="137"/>
      <c r="USW70" s="137"/>
      <c r="USX70" s="137"/>
      <c r="USY70" s="137"/>
      <c r="USZ70" s="137"/>
      <c r="UTA70" s="137"/>
      <c r="UTB70" s="137"/>
      <c r="UTC70" s="137"/>
      <c r="UTD70" s="137"/>
      <c r="UTE70" s="137"/>
      <c r="UTF70" s="137"/>
      <c r="UTG70" s="137"/>
      <c r="UTH70" s="137"/>
      <c r="UTI70" s="137"/>
      <c r="UTJ70" s="137"/>
      <c r="UTK70" s="137"/>
      <c r="UTL70" s="137"/>
      <c r="UTM70" s="137"/>
      <c r="UTN70" s="137"/>
      <c r="UTO70" s="137"/>
      <c r="UTP70" s="137"/>
      <c r="UTQ70" s="137"/>
      <c r="UTR70" s="137"/>
      <c r="UTS70" s="137"/>
      <c r="UTT70" s="137"/>
      <c r="UTU70" s="137"/>
      <c r="UTV70" s="137"/>
      <c r="UTW70" s="137"/>
      <c r="UTX70" s="137"/>
      <c r="UTY70" s="137"/>
      <c r="UTZ70" s="137"/>
      <c r="UUA70" s="137"/>
      <c r="UUB70" s="137"/>
      <c r="UUC70" s="137"/>
      <c r="UUD70" s="137"/>
      <c r="UUE70" s="137"/>
      <c r="UUF70" s="137"/>
      <c r="UUG70" s="137"/>
      <c r="UUH70" s="137"/>
      <c r="UUI70" s="137"/>
      <c r="UUJ70" s="137"/>
      <c r="UUK70" s="137"/>
      <c r="UUL70" s="137"/>
      <c r="UUM70" s="137"/>
      <c r="UUN70" s="137"/>
      <c r="UUO70" s="137"/>
      <c r="UUP70" s="137"/>
      <c r="UUQ70" s="137"/>
      <c r="UUR70" s="137"/>
      <c r="UUS70" s="137"/>
      <c r="UUT70" s="137"/>
      <c r="UUU70" s="137"/>
      <c r="UUV70" s="137"/>
      <c r="UUW70" s="137"/>
      <c r="UUX70" s="137"/>
      <c r="UUY70" s="137"/>
      <c r="UUZ70" s="137"/>
      <c r="UVA70" s="137"/>
      <c r="UVB70" s="137"/>
      <c r="UVC70" s="137"/>
      <c r="UVD70" s="137"/>
      <c r="UVE70" s="137"/>
      <c r="UVF70" s="137"/>
      <c r="UVG70" s="137"/>
      <c r="UVH70" s="137"/>
      <c r="UVI70" s="137"/>
      <c r="UVJ70" s="137"/>
      <c r="UVK70" s="137"/>
      <c r="UVL70" s="137"/>
      <c r="UVM70" s="137"/>
      <c r="UVN70" s="137"/>
      <c r="UVO70" s="137"/>
      <c r="UVP70" s="137"/>
      <c r="UVQ70" s="137"/>
      <c r="UVR70" s="137"/>
      <c r="UVS70" s="137"/>
      <c r="UVT70" s="137"/>
      <c r="UVU70" s="137"/>
      <c r="UVV70" s="137"/>
      <c r="UVW70" s="137"/>
      <c r="UVX70" s="137"/>
      <c r="UVY70" s="137"/>
      <c r="UVZ70" s="137"/>
      <c r="UWA70" s="137"/>
      <c r="UWB70" s="137"/>
      <c r="UWC70" s="137"/>
      <c r="UWD70" s="137"/>
      <c r="UWE70" s="137"/>
      <c r="UWF70" s="137"/>
      <c r="UWG70" s="137"/>
      <c r="UWH70" s="137"/>
      <c r="UWI70" s="137"/>
      <c r="UWJ70" s="137"/>
      <c r="UWK70" s="137"/>
      <c r="UWL70" s="137"/>
      <c r="UWM70" s="137"/>
      <c r="UWN70" s="137"/>
      <c r="UWO70" s="137"/>
      <c r="UWP70" s="137"/>
      <c r="UWQ70" s="137"/>
      <c r="UWR70" s="137"/>
      <c r="UWS70" s="137"/>
      <c r="UWT70" s="137"/>
      <c r="UWU70" s="137"/>
      <c r="UWV70" s="137"/>
      <c r="UWW70" s="137"/>
      <c r="UWX70" s="137"/>
      <c r="UWY70" s="137"/>
      <c r="UWZ70" s="137"/>
      <c r="UXA70" s="137"/>
      <c r="UXB70" s="137"/>
      <c r="UXC70" s="137"/>
      <c r="UXD70" s="137"/>
      <c r="UXE70" s="137"/>
      <c r="UXF70" s="137"/>
      <c r="UXG70" s="137"/>
      <c r="UXH70" s="137"/>
      <c r="UXI70" s="137"/>
      <c r="UXJ70" s="137"/>
      <c r="UXK70" s="137"/>
      <c r="UXL70" s="137"/>
      <c r="UXM70" s="137"/>
      <c r="UXN70" s="137"/>
      <c r="UXO70" s="137"/>
      <c r="UXP70" s="137"/>
      <c r="UXQ70" s="137"/>
      <c r="UXR70" s="137"/>
      <c r="UXS70" s="137"/>
      <c r="UXT70" s="137"/>
      <c r="UXU70" s="137"/>
      <c r="UXV70" s="137"/>
      <c r="UXW70" s="137"/>
      <c r="UXX70" s="137"/>
      <c r="UXY70" s="137"/>
      <c r="UXZ70" s="137"/>
      <c r="UYA70" s="137"/>
      <c r="UYB70" s="137"/>
      <c r="UYC70" s="137"/>
      <c r="UYD70" s="137"/>
      <c r="UYE70" s="137"/>
      <c r="UYF70" s="137"/>
      <c r="UYG70" s="137"/>
      <c r="UYH70" s="137"/>
      <c r="UYI70" s="137"/>
      <c r="UYJ70" s="137"/>
      <c r="UYK70" s="137"/>
      <c r="UYL70" s="137"/>
      <c r="UYM70" s="137"/>
      <c r="UYN70" s="137"/>
      <c r="UYO70" s="137"/>
      <c r="UYP70" s="137"/>
      <c r="UYQ70" s="137"/>
      <c r="UYR70" s="137"/>
      <c r="UYS70" s="137"/>
      <c r="UYT70" s="137"/>
      <c r="UYU70" s="137"/>
      <c r="UYV70" s="137"/>
      <c r="UYW70" s="137"/>
      <c r="UYX70" s="137"/>
      <c r="UYY70" s="137"/>
      <c r="UYZ70" s="137"/>
      <c r="UZA70" s="137"/>
      <c r="UZB70" s="137"/>
      <c r="UZC70" s="137"/>
      <c r="UZD70" s="137"/>
      <c r="UZE70" s="137"/>
      <c r="UZF70" s="137"/>
      <c r="UZG70" s="137"/>
      <c r="UZH70" s="137"/>
      <c r="UZI70" s="137"/>
      <c r="UZJ70" s="137"/>
      <c r="UZK70" s="137"/>
      <c r="UZL70" s="137"/>
      <c r="UZM70" s="137"/>
      <c r="UZN70" s="137"/>
      <c r="UZO70" s="137"/>
      <c r="UZP70" s="137"/>
      <c r="UZQ70" s="137"/>
      <c r="UZR70" s="137"/>
      <c r="UZS70" s="137"/>
      <c r="UZT70" s="137"/>
      <c r="UZU70" s="137"/>
      <c r="UZV70" s="137"/>
      <c r="UZW70" s="137"/>
      <c r="UZX70" s="137"/>
      <c r="UZY70" s="137"/>
      <c r="UZZ70" s="137"/>
      <c r="VAA70" s="137"/>
      <c r="VAB70" s="137"/>
      <c r="VAC70" s="137"/>
      <c r="VAD70" s="137"/>
      <c r="VAE70" s="137"/>
      <c r="VAF70" s="137"/>
      <c r="VAG70" s="137"/>
      <c r="VAH70" s="137"/>
      <c r="VAI70" s="137"/>
      <c r="VAJ70" s="137"/>
      <c r="VAK70" s="137"/>
      <c r="VAL70" s="137"/>
      <c r="VAM70" s="137"/>
      <c r="VAN70" s="137"/>
      <c r="VAO70" s="137"/>
      <c r="VAP70" s="137"/>
      <c r="VAQ70" s="137"/>
      <c r="VAR70" s="137"/>
      <c r="VAS70" s="137"/>
      <c r="VAT70" s="137"/>
      <c r="VAU70" s="137"/>
      <c r="VAV70" s="137"/>
      <c r="VAW70" s="137"/>
      <c r="VAX70" s="137"/>
      <c r="VAY70" s="137"/>
      <c r="VAZ70" s="137"/>
      <c r="VBA70" s="137"/>
      <c r="VBB70" s="137"/>
      <c r="VBC70" s="137"/>
      <c r="VBD70" s="137"/>
      <c r="VBE70" s="137"/>
      <c r="VBF70" s="137"/>
      <c r="VBG70" s="137"/>
      <c r="VBH70" s="137"/>
      <c r="VBI70" s="137"/>
      <c r="VBJ70" s="137"/>
      <c r="VBK70" s="137"/>
      <c r="VBL70" s="137"/>
      <c r="VBM70" s="137"/>
      <c r="VBN70" s="137"/>
      <c r="VBO70" s="137"/>
      <c r="VBP70" s="137"/>
      <c r="VBQ70" s="137"/>
      <c r="VBR70" s="137"/>
      <c r="VBS70" s="137"/>
      <c r="VBT70" s="137"/>
      <c r="VBU70" s="137"/>
      <c r="VBV70" s="137"/>
      <c r="VBW70" s="137"/>
      <c r="VBX70" s="137"/>
      <c r="VBY70" s="137"/>
      <c r="VBZ70" s="137"/>
      <c r="VCA70" s="137"/>
      <c r="VCB70" s="137"/>
      <c r="VCC70" s="137"/>
      <c r="VCD70" s="137"/>
      <c r="VCE70" s="137"/>
      <c r="VCF70" s="137"/>
      <c r="VCG70" s="137"/>
      <c r="VCH70" s="137"/>
      <c r="VCI70" s="137"/>
      <c r="VCJ70" s="137"/>
      <c r="VCK70" s="137"/>
      <c r="VCL70" s="137"/>
      <c r="VCM70" s="137"/>
      <c r="VCN70" s="137"/>
      <c r="VCO70" s="137"/>
      <c r="VCP70" s="137"/>
      <c r="VCQ70" s="137"/>
      <c r="VCR70" s="137"/>
      <c r="VCS70" s="137"/>
      <c r="VCT70" s="137"/>
      <c r="VCU70" s="137"/>
      <c r="VCV70" s="137"/>
      <c r="VCW70" s="137"/>
      <c r="VCX70" s="137"/>
      <c r="VCY70" s="137"/>
      <c r="VCZ70" s="137"/>
      <c r="VDA70" s="137"/>
      <c r="VDB70" s="137"/>
      <c r="VDC70" s="137"/>
      <c r="VDD70" s="137"/>
      <c r="VDE70" s="137"/>
      <c r="VDF70" s="137"/>
      <c r="VDG70" s="137"/>
      <c r="VDH70" s="137"/>
      <c r="VDI70" s="137"/>
      <c r="VDJ70" s="137"/>
      <c r="VDK70" s="137"/>
      <c r="VDL70" s="137"/>
      <c r="VDM70" s="137"/>
      <c r="VDN70" s="137"/>
      <c r="VDO70" s="137"/>
      <c r="VDP70" s="137"/>
      <c r="VDQ70" s="137"/>
      <c r="VDR70" s="137"/>
      <c r="VDS70" s="137"/>
      <c r="VDT70" s="137"/>
      <c r="VDU70" s="137"/>
      <c r="VDV70" s="137"/>
      <c r="VDW70" s="137"/>
      <c r="VDX70" s="137"/>
      <c r="VDY70" s="137"/>
      <c r="VDZ70" s="137"/>
      <c r="VEA70" s="137"/>
      <c r="VEB70" s="137"/>
      <c r="VEC70" s="137"/>
      <c r="VED70" s="137"/>
      <c r="VEE70" s="137"/>
      <c r="VEF70" s="137"/>
      <c r="VEG70" s="137"/>
      <c r="VEH70" s="137"/>
      <c r="VEI70" s="137"/>
      <c r="VEJ70" s="137"/>
      <c r="VEK70" s="137"/>
      <c r="VEL70" s="137"/>
      <c r="VEM70" s="137"/>
      <c r="VEN70" s="137"/>
      <c r="VEO70" s="137"/>
      <c r="VEP70" s="137"/>
      <c r="VEQ70" s="137"/>
      <c r="VER70" s="137"/>
      <c r="VES70" s="137"/>
      <c r="VET70" s="137"/>
      <c r="VEU70" s="137"/>
      <c r="VEV70" s="137"/>
      <c r="VEW70" s="137"/>
      <c r="VEX70" s="137"/>
      <c r="VEY70" s="137"/>
      <c r="VEZ70" s="137"/>
      <c r="VFA70" s="137"/>
      <c r="VFB70" s="137"/>
      <c r="VFC70" s="137"/>
      <c r="VFD70" s="137"/>
      <c r="VFE70" s="137"/>
      <c r="VFF70" s="137"/>
      <c r="VFG70" s="137"/>
      <c r="VFH70" s="137"/>
      <c r="VFI70" s="137"/>
      <c r="VFJ70" s="137"/>
      <c r="VFK70" s="137"/>
      <c r="VFL70" s="137"/>
      <c r="VFM70" s="137"/>
      <c r="VFN70" s="137"/>
      <c r="VFO70" s="137"/>
      <c r="VFP70" s="137"/>
      <c r="VFQ70" s="137"/>
      <c r="VFR70" s="137"/>
      <c r="VFS70" s="137"/>
      <c r="VFT70" s="137"/>
      <c r="VFU70" s="137"/>
      <c r="VFV70" s="137"/>
      <c r="VFW70" s="137"/>
      <c r="VFX70" s="137"/>
      <c r="VFY70" s="137"/>
      <c r="VFZ70" s="137"/>
      <c r="VGA70" s="137"/>
      <c r="VGB70" s="137"/>
      <c r="VGC70" s="137"/>
      <c r="VGD70" s="137"/>
      <c r="VGE70" s="137"/>
      <c r="VGF70" s="137"/>
      <c r="VGG70" s="137"/>
      <c r="VGH70" s="137"/>
      <c r="VGI70" s="137"/>
      <c r="VGJ70" s="137"/>
      <c r="VGK70" s="137"/>
      <c r="VGL70" s="137"/>
      <c r="VGM70" s="137"/>
      <c r="VGN70" s="137"/>
      <c r="VGO70" s="137"/>
      <c r="VGP70" s="137"/>
      <c r="VGQ70" s="137"/>
      <c r="VGR70" s="137"/>
      <c r="VGS70" s="137"/>
      <c r="VGT70" s="137"/>
      <c r="VGU70" s="137"/>
      <c r="VGV70" s="137"/>
      <c r="VGW70" s="137"/>
      <c r="VGX70" s="137"/>
      <c r="VGY70" s="137"/>
      <c r="VGZ70" s="137"/>
      <c r="VHA70" s="137"/>
      <c r="VHB70" s="137"/>
      <c r="VHC70" s="137"/>
      <c r="VHD70" s="137"/>
      <c r="VHE70" s="137"/>
      <c r="VHF70" s="137"/>
      <c r="VHG70" s="137"/>
      <c r="VHH70" s="137"/>
      <c r="VHI70" s="137"/>
      <c r="VHJ70" s="137"/>
      <c r="VHK70" s="137"/>
      <c r="VHL70" s="137"/>
      <c r="VHM70" s="137"/>
      <c r="VHN70" s="137"/>
      <c r="VHO70" s="137"/>
      <c r="VHP70" s="137"/>
      <c r="VHQ70" s="137"/>
      <c r="VHR70" s="137"/>
      <c r="VHS70" s="137"/>
      <c r="VHT70" s="137"/>
      <c r="VHU70" s="137"/>
      <c r="VHV70" s="137"/>
      <c r="VHW70" s="137"/>
      <c r="VHX70" s="137"/>
      <c r="VHY70" s="137"/>
      <c r="VHZ70" s="137"/>
      <c r="VIA70" s="137"/>
      <c r="VIB70" s="137"/>
      <c r="VIC70" s="137"/>
      <c r="VID70" s="137"/>
      <c r="VIE70" s="137"/>
      <c r="VIF70" s="137"/>
      <c r="VIG70" s="137"/>
      <c r="VIH70" s="137"/>
      <c r="VII70" s="137"/>
      <c r="VIJ70" s="137"/>
      <c r="VIK70" s="137"/>
      <c r="VIL70" s="137"/>
      <c r="VIM70" s="137"/>
      <c r="VIN70" s="137"/>
      <c r="VIO70" s="137"/>
      <c r="VIP70" s="137"/>
      <c r="VIQ70" s="137"/>
      <c r="VIR70" s="137"/>
      <c r="VIS70" s="137"/>
      <c r="VIT70" s="137"/>
      <c r="VIU70" s="137"/>
      <c r="VIV70" s="137"/>
      <c r="VIW70" s="137"/>
      <c r="VIX70" s="137"/>
      <c r="VIY70" s="137"/>
      <c r="VIZ70" s="137"/>
      <c r="VJA70" s="137"/>
      <c r="VJB70" s="137"/>
      <c r="VJC70" s="137"/>
      <c r="VJD70" s="137"/>
      <c r="VJE70" s="137"/>
      <c r="VJF70" s="137"/>
      <c r="VJG70" s="137"/>
      <c r="VJH70" s="137"/>
      <c r="VJI70" s="137"/>
      <c r="VJJ70" s="137"/>
      <c r="VJK70" s="137"/>
      <c r="VJL70" s="137"/>
      <c r="VJM70" s="137"/>
      <c r="VJN70" s="137"/>
      <c r="VJO70" s="137"/>
      <c r="VJP70" s="137"/>
      <c r="VJQ70" s="137"/>
      <c r="VJR70" s="137"/>
      <c r="VJS70" s="137"/>
      <c r="VJT70" s="137"/>
      <c r="VJU70" s="137"/>
      <c r="VJV70" s="137"/>
      <c r="VJW70" s="137"/>
      <c r="VJX70" s="137"/>
      <c r="VJY70" s="137"/>
      <c r="VJZ70" s="137"/>
      <c r="VKA70" s="137"/>
      <c r="VKB70" s="137"/>
      <c r="VKC70" s="137"/>
      <c r="VKD70" s="137"/>
      <c r="VKE70" s="137"/>
      <c r="VKF70" s="137"/>
      <c r="VKG70" s="137"/>
      <c r="VKH70" s="137"/>
      <c r="VKI70" s="137"/>
      <c r="VKJ70" s="137"/>
      <c r="VKK70" s="137"/>
      <c r="VKL70" s="137"/>
      <c r="VKM70" s="137"/>
      <c r="VKN70" s="137"/>
      <c r="VKO70" s="137"/>
      <c r="VKP70" s="137"/>
      <c r="VKQ70" s="137"/>
      <c r="VKR70" s="137"/>
      <c r="VKS70" s="137"/>
      <c r="VKT70" s="137"/>
      <c r="VKU70" s="137"/>
      <c r="VKV70" s="137"/>
      <c r="VKW70" s="137"/>
      <c r="VKX70" s="137"/>
      <c r="VKY70" s="137"/>
      <c r="VKZ70" s="137"/>
      <c r="VLA70" s="137"/>
      <c r="VLB70" s="137"/>
      <c r="VLC70" s="137"/>
      <c r="VLD70" s="137"/>
      <c r="VLE70" s="137"/>
      <c r="VLF70" s="137"/>
      <c r="VLG70" s="137"/>
      <c r="VLH70" s="137"/>
      <c r="VLI70" s="137"/>
      <c r="VLJ70" s="137"/>
      <c r="VLK70" s="137"/>
      <c r="VLL70" s="137"/>
      <c r="VLM70" s="137"/>
      <c r="VLN70" s="137"/>
      <c r="VLO70" s="137"/>
      <c r="VLP70" s="137"/>
      <c r="VLQ70" s="137"/>
      <c r="VLR70" s="137"/>
      <c r="VLS70" s="137"/>
      <c r="VLT70" s="137"/>
      <c r="VLU70" s="137"/>
      <c r="VLV70" s="137"/>
      <c r="VLW70" s="137"/>
      <c r="VLX70" s="137"/>
      <c r="VLY70" s="137"/>
      <c r="VLZ70" s="137"/>
      <c r="VMA70" s="137"/>
      <c r="VMB70" s="137"/>
      <c r="VMC70" s="137"/>
      <c r="VMD70" s="137"/>
      <c r="VME70" s="137"/>
      <c r="VMF70" s="137"/>
      <c r="VMG70" s="137"/>
      <c r="VMH70" s="137"/>
      <c r="VMI70" s="137"/>
      <c r="VMJ70" s="137"/>
      <c r="VMK70" s="137"/>
      <c r="VML70" s="137"/>
      <c r="VMM70" s="137"/>
      <c r="VMN70" s="137"/>
      <c r="VMO70" s="137"/>
      <c r="VMP70" s="137"/>
      <c r="VMQ70" s="137"/>
      <c r="VMR70" s="137"/>
      <c r="VMS70" s="137"/>
      <c r="VMT70" s="137"/>
      <c r="VMU70" s="137"/>
      <c r="VMV70" s="137"/>
      <c r="VMW70" s="137"/>
      <c r="VMX70" s="137"/>
      <c r="VMY70" s="137"/>
      <c r="VMZ70" s="137"/>
      <c r="VNA70" s="137"/>
      <c r="VNB70" s="137"/>
      <c r="VNC70" s="137"/>
      <c r="VND70" s="137"/>
      <c r="VNE70" s="137"/>
      <c r="VNF70" s="137"/>
      <c r="VNG70" s="137"/>
      <c r="VNH70" s="137"/>
      <c r="VNI70" s="137"/>
      <c r="VNJ70" s="137"/>
      <c r="VNK70" s="137"/>
      <c r="VNL70" s="137"/>
      <c r="VNM70" s="137"/>
      <c r="VNN70" s="137"/>
      <c r="VNO70" s="137"/>
      <c r="VNP70" s="137"/>
      <c r="VNQ70" s="137"/>
      <c r="VNR70" s="137"/>
      <c r="VNS70" s="137"/>
      <c r="VNT70" s="137"/>
      <c r="VNU70" s="137"/>
      <c r="VNV70" s="137"/>
      <c r="VNW70" s="137"/>
      <c r="VNX70" s="137"/>
      <c r="VNY70" s="137"/>
      <c r="VNZ70" s="137"/>
      <c r="VOA70" s="137"/>
      <c r="VOB70" s="137"/>
      <c r="VOC70" s="137"/>
      <c r="VOD70" s="137"/>
      <c r="VOE70" s="137"/>
      <c r="VOF70" s="137"/>
      <c r="VOG70" s="137"/>
      <c r="VOH70" s="137"/>
      <c r="VOI70" s="137"/>
      <c r="VOJ70" s="137"/>
      <c r="VOK70" s="137"/>
      <c r="VOL70" s="137"/>
      <c r="VOM70" s="137"/>
      <c r="VON70" s="137"/>
      <c r="VOO70" s="137"/>
      <c r="VOP70" s="137"/>
      <c r="VOQ70" s="137"/>
      <c r="VOR70" s="137"/>
      <c r="VOS70" s="137"/>
      <c r="VOT70" s="137"/>
      <c r="VOU70" s="137"/>
      <c r="VOV70" s="137"/>
      <c r="VOW70" s="137"/>
      <c r="VOX70" s="137"/>
      <c r="VOY70" s="137"/>
      <c r="VOZ70" s="137"/>
      <c r="VPA70" s="137"/>
      <c r="VPB70" s="137"/>
      <c r="VPC70" s="137"/>
      <c r="VPD70" s="137"/>
      <c r="VPE70" s="137"/>
      <c r="VPF70" s="137"/>
      <c r="VPG70" s="137"/>
      <c r="VPH70" s="137"/>
      <c r="VPI70" s="137"/>
      <c r="VPJ70" s="137"/>
      <c r="VPK70" s="137"/>
      <c r="VPL70" s="137"/>
      <c r="VPM70" s="137"/>
      <c r="VPN70" s="137"/>
      <c r="VPO70" s="137"/>
      <c r="VPP70" s="137"/>
      <c r="VPQ70" s="137"/>
      <c r="VPR70" s="137"/>
      <c r="VPS70" s="137"/>
      <c r="VPT70" s="137"/>
      <c r="VPU70" s="137"/>
      <c r="VPV70" s="137"/>
      <c r="VPW70" s="137"/>
      <c r="VPX70" s="137"/>
      <c r="VPY70" s="137"/>
      <c r="VPZ70" s="137"/>
      <c r="VQA70" s="137"/>
      <c r="VQB70" s="137"/>
      <c r="VQC70" s="137"/>
      <c r="VQD70" s="137"/>
      <c r="VQE70" s="137"/>
      <c r="VQF70" s="137"/>
      <c r="VQG70" s="137"/>
      <c r="VQH70" s="137"/>
      <c r="VQI70" s="137"/>
      <c r="VQJ70" s="137"/>
      <c r="VQK70" s="137"/>
      <c r="VQL70" s="137"/>
      <c r="VQM70" s="137"/>
      <c r="VQN70" s="137"/>
      <c r="VQO70" s="137"/>
      <c r="VQP70" s="137"/>
      <c r="VQQ70" s="137"/>
      <c r="VQR70" s="137"/>
      <c r="VQS70" s="137"/>
      <c r="VQT70" s="137"/>
      <c r="VQU70" s="137"/>
      <c r="VQV70" s="137"/>
      <c r="VQW70" s="137"/>
      <c r="VQX70" s="137"/>
      <c r="VQY70" s="137"/>
      <c r="VQZ70" s="137"/>
      <c r="VRA70" s="137"/>
      <c r="VRB70" s="137"/>
      <c r="VRC70" s="137"/>
      <c r="VRD70" s="137"/>
      <c r="VRE70" s="137"/>
      <c r="VRF70" s="137"/>
      <c r="VRG70" s="137"/>
      <c r="VRH70" s="137"/>
      <c r="VRI70" s="137"/>
      <c r="VRJ70" s="137"/>
      <c r="VRK70" s="137"/>
      <c r="VRL70" s="137"/>
      <c r="VRM70" s="137"/>
      <c r="VRN70" s="137"/>
      <c r="VRO70" s="137"/>
      <c r="VRP70" s="137"/>
      <c r="VRQ70" s="137"/>
      <c r="VRR70" s="137"/>
      <c r="VRS70" s="137"/>
      <c r="VRT70" s="137"/>
      <c r="VRU70" s="137"/>
      <c r="VRV70" s="137"/>
      <c r="VRW70" s="137"/>
      <c r="VRX70" s="137"/>
      <c r="VRY70" s="137"/>
      <c r="VRZ70" s="137"/>
      <c r="VSA70" s="137"/>
      <c r="VSB70" s="137"/>
      <c r="VSC70" s="137"/>
      <c r="VSD70" s="137"/>
      <c r="VSE70" s="137"/>
      <c r="VSF70" s="137"/>
      <c r="VSG70" s="137"/>
      <c r="VSH70" s="137"/>
      <c r="VSI70" s="137"/>
      <c r="VSJ70" s="137"/>
      <c r="VSK70" s="137"/>
      <c r="VSL70" s="137"/>
      <c r="VSM70" s="137"/>
      <c r="VSN70" s="137"/>
      <c r="VSO70" s="137"/>
      <c r="VSP70" s="137"/>
      <c r="VSQ70" s="137"/>
      <c r="VSR70" s="137"/>
      <c r="VSS70" s="137"/>
      <c r="VST70" s="137"/>
      <c r="VSU70" s="137"/>
      <c r="VSV70" s="137"/>
      <c r="VSW70" s="137"/>
      <c r="VSX70" s="137"/>
      <c r="VSY70" s="137"/>
      <c r="VSZ70" s="137"/>
      <c r="VTA70" s="137"/>
      <c r="VTB70" s="137"/>
      <c r="VTC70" s="137"/>
      <c r="VTD70" s="137"/>
      <c r="VTE70" s="137"/>
      <c r="VTF70" s="137"/>
      <c r="VTG70" s="137"/>
      <c r="VTH70" s="137"/>
      <c r="VTI70" s="137"/>
      <c r="VTJ70" s="137"/>
      <c r="VTK70" s="137"/>
      <c r="VTL70" s="137"/>
      <c r="VTM70" s="137"/>
      <c r="VTN70" s="137"/>
      <c r="VTO70" s="137"/>
      <c r="VTP70" s="137"/>
      <c r="VTQ70" s="137"/>
      <c r="VTR70" s="137"/>
      <c r="VTS70" s="137"/>
      <c r="VTT70" s="137"/>
      <c r="VTU70" s="137"/>
      <c r="VTV70" s="137"/>
      <c r="VTW70" s="137"/>
      <c r="VTX70" s="137"/>
      <c r="VTY70" s="137"/>
      <c r="VTZ70" s="137"/>
      <c r="VUA70" s="137"/>
      <c r="VUB70" s="137"/>
      <c r="VUC70" s="137"/>
      <c r="VUD70" s="137"/>
      <c r="VUE70" s="137"/>
      <c r="VUF70" s="137"/>
      <c r="VUG70" s="137"/>
      <c r="VUH70" s="137"/>
      <c r="VUI70" s="137"/>
      <c r="VUJ70" s="137"/>
      <c r="VUK70" s="137"/>
      <c r="VUL70" s="137"/>
      <c r="VUM70" s="137"/>
      <c r="VUN70" s="137"/>
      <c r="VUO70" s="137"/>
      <c r="VUP70" s="137"/>
      <c r="VUQ70" s="137"/>
      <c r="VUR70" s="137"/>
      <c r="VUS70" s="137"/>
      <c r="VUT70" s="137"/>
      <c r="VUU70" s="137"/>
      <c r="VUV70" s="137"/>
      <c r="VUW70" s="137"/>
      <c r="VUX70" s="137"/>
      <c r="VUY70" s="137"/>
      <c r="VUZ70" s="137"/>
      <c r="VVA70" s="137"/>
      <c r="VVB70" s="137"/>
      <c r="VVC70" s="137"/>
      <c r="VVD70" s="137"/>
      <c r="VVE70" s="137"/>
      <c r="VVF70" s="137"/>
      <c r="VVG70" s="137"/>
      <c r="VVH70" s="137"/>
      <c r="VVI70" s="137"/>
      <c r="VVJ70" s="137"/>
      <c r="VVK70" s="137"/>
      <c r="VVL70" s="137"/>
      <c r="VVM70" s="137"/>
      <c r="VVN70" s="137"/>
      <c r="VVO70" s="137"/>
      <c r="VVP70" s="137"/>
      <c r="VVQ70" s="137"/>
      <c r="VVR70" s="137"/>
      <c r="VVS70" s="137"/>
      <c r="VVT70" s="137"/>
      <c r="VVU70" s="137"/>
      <c r="VVV70" s="137"/>
      <c r="VVW70" s="137"/>
      <c r="VVX70" s="137"/>
      <c r="VVY70" s="137"/>
      <c r="VVZ70" s="137"/>
      <c r="VWA70" s="137"/>
      <c r="VWB70" s="137"/>
      <c r="VWC70" s="137"/>
      <c r="VWD70" s="137"/>
      <c r="VWE70" s="137"/>
      <c r="VWF70" s="137"/>
      <c r="VWG70" s="137"/>
      <c r="VWH70" s="137"/>
      <c r="VWI70" s="137"/>
      <c r="VWJ70" s="137"/>
      <c r="VWK70" s="137"/>
      <c r="VWL70" s="137"/>
      <c r="VWM70" s="137"/>
      <c r="VWN70" s="137"/>
      <c r="VWO70" s="137"/>
      <c r="VWP70" s="137"/>
      <c r="VWQ70" s="137"/>
      <c r="VWR70" s="137"/>
      <c r="VWS70" s="137"/>
      <c r="VWT70" s="137"/>
      <c r="VWU70" s="137"/>
      <c r="VWV70" s="137"/>
      <c r="VWW70" s="137"/>
      <c r="VWX70" s="137"/>
      <c r="VWY70" s="137"/>
      <c r="VWZ70" s="137"/>
      <c r="VXA70" s="137"/>
      <c r="VXB70" s="137"/>
      <c r="VXC70" s="137"/>
      <c r="VXD70" s="137"/>
      <c r="VXE70" s="137"/>
      <c r="VXF70" s="137"/>
      <c r="VXG70" s="137"/>
      <c r="VXH70" s="137"/>
      <c r="VXI70" s="137"/>
      <c r="VXJ70" s="137"/>
      <c r="VXK70" s="137"/>
      <c r="VXL70" s="137"/>
      <c r="VXM70" s="137"/>
      <c r="VXN70" s="137"/>
      <c r="VXO70" s="137"/>
      <c r="VXP70" s="137"/>
      <c r="VXQ70" s="137"/>
      <c r="VXR70" s="137"/>
      <c r="VXS70" s="137"/>
      <c r="VXT70" s="137"/>
      <c r="VXU70" s="137"/>
      <c r="VXV70" s="137"/>
      <c r="VXW70" s="137"/>
      <c r="VXX70" s="137"/>
      <c r="VXY70" s="137"/>
      <c r="VXZ70" s="137"/>
      <c r="VYA70" s="137"/>
      <c r="VYB70" s="137"/>
      <c r="VYC70" s="137"/>
      <c r="VYD70" s="137"/>
      <c r="VYE70" s="137"/>
      <c r="VYF70" s="137"/>
      <c r="VYG70" s="137"/>
      <c r="VYH70" s="137"/>
      <c r="VYI70" s="137"/>
      <c r="VYJ70" s="137"/>
      <c r="VYK70" s="137"/>
      <c r="VYL70" s="137"/>
      <c r="VYM70" s="137"/>
      <c r="VYN70" s="137"/>
      <c r="VYO70" s="137"/>
      <c r="VYP70" s="137"/>
      <c r="VYQ70" s="137"/>
      <c r="VYR70" s="137"/>
      <c r="VYS70" s="137"/>
      <c r="VYT70" s="137"/>
      <c r="VYU70" s="137"/>
      <c r="VYV70" s="137"/>
      <c r="VYW70" s="137"/>
      <c r="VYX70" s="137"/>
      <c r="VYY70" s="137"/>
      <c r="VYZ70" s="137"/>
      <c r="VZA70" s="137"/>
      <c r="VZB70" s="137"/>
      <c r="VZC70" s="137"/>
      <c r="VZD70" s="137"/>
      <c r="VZE70" s="137"/>
      <c r="VZF70" s="137"/>
      <c r="VZG70" s="137"/>
      <c r="VZH70" s="137"/>
      <c r="VZI70" s="137"/>
      <c r="VZJ70" s="137"/>
      <c r="VZK70" s="137"/>
      <c r="VZL70" s="137"/>
      <c r="VZM70" s="137"/>
      <c r="VZN70" s="137"/>
      <c r="VZO70" s="137"/>
      <c r="VZP70" s="137"/>
      <c r="VZQ70" s="137"/>
      <c r="VZR70" s="137"/>
      <c r="VZS70" s="137"/>
      <c r="VZT70" s="137"/>
      <c r="VZU70" s="137"/>
      <c r="VZV70" s="137"/>
      <c r="VZW70" s="137"/>
      <c r="VZX70" s="137"/>
      <c r="VZY70" s="137"/>
      <c r="VZZ70" s="137"/>
      <c r="WAA70" s="137"/>
      <c r="WAB70" s="137"/>
      <c r="WAC70" s="137"/>
      <c r="WAD70" s="137"/>
      <c r="WAE70" s="137"/>
      <c r="WAF70" s="137"/>
      <c r="WAG70" s="137"/>
      <c r="WAH70" s="137"/>
      <c r="WAI70" s="137"/>
      <c r="WAJ70" s="137"/>
      <c r="WAK70" s="137"/>
      <c r="WAL70" s="137"/>
      <c r="WAM70" s="137"/>
      <c r="WAN70" s="137"/>
      <c r="WAO70" s="137"/>
      <c r="WAP70" s="137"/>
      <c r="WAQ70" s="137"/>
      <c r="WAR70" s="137"/>
      <c r="WAS70" s="137"/>
      <c r="WAT70" s="137"/>
      <c r="WAU70" s="137"/>
      <c r="WAV70" s="137"/>
      <c r="WAW70" s="137"/>
      <c r="WAX70" s="137"/>
      <c r="WAY70" s="137"/>
      <c r="WAZ70" s="137"/>
      <c r="WBA70" s="137"/>
      <c r="WBB70" s="137"/>
      <c r="WBC70" s="137"/>
      <c r="WBD70" s="137"/>
      <c r="WBE70" s="137"/>
      <c r="WBF70" s="137"/>
      <c r="WBG70" s="137"/>
      <c r="WBH70" s="137"/>
      <c r="WBI70" s="137"/>
      <c r="WBJ70" s="137"/>
      <c r="WBK70" s="137"/>
      <c r="WBL70" s="137"/>
      <c r="WBM70" s="137"/>
      <c r="WBN70" s="137"/>
      <c r="WBO70" s="137"/>
      <c r="WBP70" s="137"/>
      <c r="WBQ70" s="137"/>
      <c r="WBR70" s="137"/>
      <c r="WBS70" s="137"/>
      <c r="WBT70" s="137"/>
      <c r="WBU70" s="137"/>
      <c r="WBV70" s="137"/>
      <c r="WBW70" s="137"/>
      <c r="WBX70" s="137"/>
      <c r="WBY70" s="137"/>
      <c r="WBZ70" s="137"/>
      <c r="WCA70" s="137"/>
      <c r="WCB70" s="137"/>
      <c r="WCC70" s="137"/>
      <c r="WCD70" s="137"/>
      <c r="WCE70" s="137"/>
      <c r="WCF70" s="137"/>
      <c r="WCG70" s="137"/>
      <c r="WCH70" s="137"/>
      <c r="WCI70" s="137"/>
      <c r="WCJ70" s="137"/>
      <c r="WCK70" s="137"/>
      <c r="WCL70" s="137"/>
      <c r="WCM70" s="137"/>
      <c r="WCN70" s="137"/>
      <c r="WCO70" s="137"/>
      <c r="WCP70" s="137"/>
      <c r="WCQ70" s="137"/>
      <c r="WCR70" s="137"/>
      <c r="WCS70" s="137"/>
      <c r="WCT70" s="137"/>
      <c r="WCU70" s="137"/>
      <c r="WCV70" s="137"/>
      <c r="WCW70" s="137"/>
      <c r="WCX70" s="137"/>
      <c r="WCY70" s="137"/>
      <c r="WCZ70" s="137"/>
      <c r="WDA70" s="137"/>
      <c r="WDB70" s="137"/>
      <c r="WDC70" s="137"/>
      <c r="WDD70" s="137"/>
      <c r="WDE70" s="137"/>
      <c r="WDF70" s="137"/>
      <c r="WDG70" s="137"/>
      <c r="WDH70" s="137"/>
      <c r="WDI70" s="137"/>
      <c r="WDJ70" s="137"/>
      <c r="WDK70" s="137"/>
      <c r="WDL70" s="137"/>
      <c r="WDM70" s="137"/>
      <c r="WDN70" s="137"/>
      <c r="WDO70" s="137"/>
      <c r="WDP70" s="137"/>
      <c r="WDQ70" s="137"/>
      <c r="WDR70" s="137"/>
      <c r="WDS70" s="137"/>
      <c r="WDT70" s="137"/>
      <c r="WDU70" s="137"/>
      <c r="WDV70" s="137"/>
      <c r="WDW70" s="137"/>
      <c r="WDX70" s="137"/>
      <c r="WDY70" s="137"/>
      <c r="WDZ70" s="137"/>
      <c r="WEA70" s="137"/>
      <c r="WEB70" s="137"/>
      <c r="WEC70" s="137"/>
      <c r="WED70" s="137"/>
      <c r="WEE70" s="137"/>
      <c r="WEF70" s="137"/>
      <c r="WEG70" s="137"/>
      <c r="WEH70" s="137"/>
      <c r="WEI70" s="137"/>
      <c r="WEJ70" s="137"/>
      <c r="WEK70" s="137"/>
      <c r="WEL70" s="137"/>
      <c r="WEM70" s="137"/>
      <c r="WEN70" s="137"/>
      <c r="WEO70" s="137"/>
      <c r="WEP70" s="137"/>
      <c r="WEQ70" s="137"/>
      <c r="WER70" s="137"/>
      <c r="WES70" s="137"/>
      <c r="WET70" s="137"/>
      <c r="WEU70" s="137"/>
      <c r="WEV70" s="137"/>
      <c r="WEW70" s="137"/>
      <c r="WEX70" s="137"/>
      <c r="WEY70" s="137"/>
      <c r="WEZ70" s="137"/>
      <c r="WFA70" s="137"/>
      <c r="WFB70" s="137"/>
      <c r="WFC70" s="137"/>
      <c r="WFD70" s="137"/>
      <c r="WFE70" s="137"/>
      <c r="WFF70" s="137"/>
      <c r="WFG70" s="137"/>
      <c r="WFH70" s="137"/>
      <c r="WFI70" s="137"/>
      <c r="WFJ70" s="137"/>
      <c r="WFK70" s="137"/>
      <c r="WFL70" s="137"/>
      <c r="WFM70" s="137"/>
      <c r="WFN70" s="137"/>
      <c r="WFO70" s="137"/>
      <c r="WFP70" s="137"/>
      <c r="WFQ70" s="137"/>
      <c r="WFR70" s="137"/>
      <c r="WFS70" s="137"/>
      <c r="WFT70" s="137"/>
      <c r="WFU70" s="137"/>
      <c r="WFV70" s="137"/>
      <c r="WFW70" s="137"/>
      <c r="WFX70" s="137"/>
      <c r="WFY70" s="137"/>
      <c r="WFZ70" s="137"/>
      <c r="WGA70" s="137"/>
      <c r="WGB70" s="137"/>
      <c r="WGC70" s="137"/>
      <c r="WGD70" s="137"/>
      <c r="WGE70" s="137"/>
      <c r="WGF70" s="137"/>
      <c r="WGG70" s="137"/>
      <c r="WGH70" s="137"/>
      <c r="WGI70" s="137"/>
      <c r="WGJ70" s="137"/>
      <c r="WGK70" s="137"/>
      <c r="WGL70" s="137"/>
      <c r="WGM70" s="137"/>
      <c r="WGN70" s="137"/>
      <c r="WGO70" s="137"/>
      <c r="WGP70" s="137"/>
      <c r="WGQ70" s="137"/>
      <c r="WGR70" s="137"/>
      <c r="WGS70" s="137"/>
      <c r="WGT70" s="137"/>
      <c r="WGU70" s="137"/>
      <c r="WGV70" s="137"/>
      <c r="WGW70" s="137"/>
      <c r="WGX70" s="137"/>
      <c r="WGY70" s="137"/>
      <c r="WGZ70" s="137"/>
      <c r="WHA70" s="137"/>
      <c r="WHB70" s="137"/>
      <c r="WHC70" s="137"/>
      <c r="WHD70" s="137"/>
      <c r="WHE70" s="137"/>
      <c r="WHF70" s="137"/>
      <c r="WHG70" s="137"/>
      <c r="WHH70" s="137"/>
      <c r="WHI70" s="137"/>
      <c r="WHJ70" s="137"/>
      <c r="WHK70" s="137"/>
      <c r="WHL70" s="137"/>
      <c r="WHM70" s="137"/>
      <c r="WHN70" s="137"/>
      <c r="WHO70" s="137"/>
      <c r="WHP70" s="137"/>
      <c r="WHQ70" s="137"/>
      <c r="WHR70" s="137"/>
      <c r="WHS70" s="137"/>
      <c r="WHT70" s="137"/>
      <c r="WHU70" s="137"/>
      <c r="WHV70" s="137"/>
      <c r="WHW70" s="137"/>
      <c r="WHX70" s="137"/>
      <c r="WHY70" s="137"/>
      <c r="WHZ70" s="137"/>
      <c r="WIA70" s="137"/>
      <c r="WIB70" s="137"/>
      <c r="WIC70" s="137"/>
      <c r="WID70" s="137"/>
      <c r="WIE70" s="137"/>
      <c r="WIF70" s="137"/>
      <c r="WIG70" s="137"/>
      <c r="WIH70" s="137"/>
      <c r="WII70" s="137"/>
      <c r="WIJ70" s="137"/>
      <c r="WIK70" s="137"/>
      <c r="WIL70" s="137"/>
      <c r="WIM70" s="137"/>
      <c r="WIN70" s="137"/>
      <c r="WIO70" s="137"/>
      <c r="WIP70" s="137"/>
      <c r="WIQ70" s="137"/>
      <c r="WIR70" s="137"/>
      <c r="WIS70" s="137"/>
      <c r="WIT70" s="137"/>
      <c r="WIU70" s="137"/>
      <c r="WIV70" s="137"/>
      <c r="WIW70" s="137"/>
      <c r="WIX70" s="137"/>
      <c r="WIY70" s="137"/>
      <c r="WIZ70" s="137"/>
      <c r="WJA70" s="137"/>
      <c r="WJB70" s="137"/>
      <c r="WJC70" s="137"/>
      <c r="WJD70" s="137"/>
      <c r="WJE70" s="137"/>
      <c r="WJF70" s="137"/>
      <c r="WJG70" s="137"/>
      <c r="WJH70" s="137"/>
      <c r="WJI70" s="137"/>
      <c r="WJJ70" s="137"/>
      <c r="WJK70" s="137"/>
      <c r="WJL70" s="137"/>
      <c r="WJM70" s="137"/>
      <c r="WJN70" s="137"/>
      <c r="WJO70" s="137"/>
      <c r="WJP70" s="137"/>
      <c r="WJQ70" s="137"/>
      <c r="WJR70" s="137"/>
      <c r="WJS70" s="137"/>
      <c r="WJT70" s="137"/>
      <c r="WJU70" s="137"/>
      <c r="WJV70" s="137"/>
      <c r="WJW70" s="137"/>
      <c r="WJX70" s="137"/>
      <c r="WJY70" s="137"/>
      <c r="WJZ70" s="137"/>
      <c r="WKA70" s="137"/>
      <c r="WKB70" s="137"/>
      <c r="WKC70" s="137"/>
      <c r="WKD70" s="137"/>
      <c r="WKE70" s="137"/>
      <c r="WKF70" s="137"/>
      <c r="WKG70" s="137"/>
      <c r="WKH70" s="137"/>
      <c r="WKI70" s="137"/>
      <c r="WKJ70" s="137"/>
      <c r="WKK70" s="137"/>
      <c r="WKL70" s="137"/>
      <c r="WKM70" s="137"/>
      <c r="WKN70" s="137"/>
      <c r="WKO70" s="137"/>
      <c r="WKP70" s="137"/>
      <c r="WKQ70" s="137"/>
      <c r="WKR70" s="137"/>
      <c r="WKS70" s="137"/>
      <c r="WKT70" s="137"/>
      <c r="WKU70" s="137"/>
      <c r="WKV70" s="137"/>
      <c r="WKW70" s="137"/>
      <c r="WKX70" s="137"/>
      <c r="WKY70" s="137"/>
      <c r="WKZ70" s="137"/>
      <c r="WLA70" s="137"/>
      <c r="WLB70" s="137"/>
      <c r="WLC70" s="137"/>
      <c r="WLD70" s="137"/>
      <c r="WLE70" s="137"/>
      <c r="WLF70" s="137"/>
      <c r="WLG70" s="137"/>
      <c r="WLH70" s="137"/>
      <c r="WLI70" s="137"/>
      <c r="WLJ70" s="137"/>
      <c r="WLK70" s="137"/>
      <c r="WLL70" s="137"/>
      <c r="WLM70" s="137"/>
      <c r="WLN70" s="137"/>
      <c r="WLO70" s="137"/>
      <c r="WLP70" s="137"/>
      <c r="WLQ70" s="137"/>
      <c r="WLR70" s="137"/>
      <c r="WLS70" s="137"/>
      <c r="WLT70" s="137"/>
      <c r="WLU70" s="137"/>
      <c r="WLV70" s="137"/>
      <c r="WLW70" s="137"/>
      <c r="WLX70" s="137"/>
      <c r="WLY70" s="137"/>
      <c r="WLZ70" s="137"/>
      <c r="WMA70" s="137"/>
      <c r="WMB70" s="137"/>
      <c r="WMC70" s="137"/>
      <c r="WMD70" s="137"/>
      <c r="WME70" s="137"/>
      <c r="WMF70" s="137"/>
      <c r="WMG70" s="137"/>
      <c r="WMH70" s="137"/>
      <c r="WMI70" s="137"/>
      <c r="WMJ70" s="137"/>
      <c r="WMK70" s="137"/>
      <c r="WML70" s="137"/>
      <c r="WMM70" s="137"/>
      <c r="WMN70" s="137"/>
      <c r="WMO70" s="137"/>
      <c r="WMP70" s="137"/>
      <c r="WMQ70" s="137"/>
      <c r="WMR70" s="137"/>
      <c r="WMS70" s="137"/>
      <c r="WMT70" s="137"/>
      <c r="WMU70" s="137"/>
      <c r="WMV70" s="137"/>
      <c r="WMW70" s="137"/>
      <c r="WMX70" s="137"/>
      <c r="WMY70" s="137"/>
      <c r="WMZ70" s="137"/>
      <c r="WNA70" s="137"/>
      <c r="WNB70" s="137"/>
      <c r="WNC70" s="137"/>
      <c r="WND70" s="137"/>
      <c r="WNE70" s="137"/>
      <c r="WNF70" s="137"/>
      <c r="WNG70" s="137"/>
      <c r="WNH70" s="137"/>
      <c r="WNI70" s="137"/>
      <c r="WNJ70" s="137"/>
      <c r="WNK70" s="137"/>
      <c r="WNL70" s="137"/>
      <c r="WNM70" s="137"/>
      <c r="WNN70" s="137"/>
      <c r="WNO70" s="137"/>
      <c r="WNP70" s="137"/>
      <c r="WNQ70" s="137"/>
      <c r="WNR70" s="137"/>
      <c r="WNS70" s="137"/>
      <c r="WNT70" s="137"/>
      <c r="WNU70" s="137"/>
      <c r="WNV70" s="137"/>
      <c r="WNW70" s="137"/>
      <c r="WNX70" s="137"/>
      <c r="WNY70" s="137"/>
      <c r="WNZ70" s="137"/>
      <c r="WOA70" s="137"/>
      <c r="WOB70" s="137"/>
      <c r="WOC70" s="137"/>
      <c r="WOD70" s="137"/>
      <c r="WOE70" s="137"/>
      <c r="WOF70" s="137"/>
      <c r="WOG70" s="137"/>
      <c r="WOH70" s="137"/>
      <c r="WOI70" s="137"/>
      <c r="WOJ70" s="137"/>
      <c r="WOK70" s="137"/>
      <c r="WOL70" s="137"/>
      <c r="WOM70" s="137"/>
      <c r="WON70" s="137"/>
      <c r="WOO70" s="137"/>
      <c r="WOP70" s="137"/>
      <c r="WOQ70" s="137"/>
      <c r="WOR70" s="137"/>
      <c r="WOS70" s="137"/>
      <c r="WOT70" s="137"/>
      <c r="WOU70" s="137"/>
      <c r="WOV70" s="137"/>
      <c r="WOW70" s="137"/>
      <c r="WOX70" s="137"/>
      <c r="WOY70" s="137"/>
      <c r="WOZ70" s="137"/>
      <c r="WPA70" s="137"/>
      <c r="WPB70" s="137"/>
      <c r="WPC70" s="137"/>
      <c r="WPD70" s="137"/>
      <c r="WPE70" s="137"/>
      <c r="WPF70" s="137"/>
      <c r="WPG70" s="137"/>
      <c r="WPH70" s="137"/>
      <c r="WPI70" s="137"/>
      <c r="WPJ70" s="137"/>
      <c r="WPK70" s="137"/>
      <c r="WPL70" s="137"/>
      <c r="WPM70" s="137"/>
      <c r="WPN70" s="137"/>
      <c r="WPO70" s="137"/>
      <c r="WPP70" s="137"/>
      <c r="WPQ70" s="137"/>
      <c r="WPR70" s="137"/>
      <c r="WPS70" s="137"/>
      <c r="WPT70" s="137"/>
      <c r="WPU70" s="137"/>
      <c r="WPV70" s="137"/>
      <c r="WPW70" s="137"/>
      <c r="WPX70" s="137"/>
      <c r="WPY70" s="137"/>
      <c r="WPZ70" s="137"/>
      <c r="WQA70" s="137"/>
      <c r="WQB70" s="137"/>
      <c r="WQC70" s="137"/>
      <c r="WQD70" s="137"/>
      <c r="WQE70" s="137"/>
      <c r="WQF70" s="137"/>
      <c r="WQG70" s="137"/>
      <c r="WQH70" s="137"/>
      <c r="WQI70" s="137"/>
      <c r="WQJ70" s="137"/>
      <c r="WQK70" s="137"/>
      <c r="WQL70" s="137"/>
      <c r="WQM70" s="137"/>
      <c r="WQN70" s="137"/>
      <c r="WQO70" s="137"/>
      <c r="WQP70" s="137"/>
      <c r="WQQ70" s="137"/>
      <c r="WQR70" s="137"/>
      <c r="WQS70" s="137"/>
      <c r="WQT70" s="137"/>
      <c r="WQU70" s="137"/>
      <c r="WQV70" s="137"/>
      <c r="WQW70" s="137"/>
      <c r="WQX70" s="137"/>
      <c r="WQY70" s="137"/>
      <c r="WQZ70" s="137"/>
      <c r="WRA70" s="137"/>
      <c r="WRB70" s="137"/>
      <c r="WRC70" s="137"/>
      <c r="WRD70" s="137"/>
      <c r="WRE70" s="137"/>
      <c r="WRF70" s="137"/>
      <c r="WRG70" s="137"/>
      <c r="WRH70" s="137"/>
      <c r="WRI70" s="137"/>
      <c r="WRJ70" s="137"/>
      <c r="WRK70" s="137"/>
      <c r="WRL70" s="137"/>
      <c r="WRM70" s="137"/>
      <c r="WRN70" s="137"/>
      <c r="WRO70" s="137"/>
      <c r="WRP70" s="137"/>
      <c r="WRQ70" s="137"/>
      <c r="WRR70" s="137"/>
      <c r="WRS70" s="137"/>
      <c r="WRT70" s="137"/>
      <c r="WRU70" s="137"/>
      <c r="WRV70" s="137"/>
      <c r="WRW70" s="137"/>
      <c r="WRX70" s="137"/>
      <c r="WRY70" s="137"/>
      <c r="WRZ70" s="137"/>
      <c r="WSA70" s="137"/>
      <c r="WSB70" s="137"/>
      <c r="WSC70" s="137"/>
      <c r="WSD70" s="137"/>
      <c r="WSE70" s="137"/>
      <c r="WSF70" s="137"/>
      <c r="WSG70" s="137"/>
      <c r="WSH70" s="137"/>
      <c r="WSI70" s="137"/>
      <c r="WSJ70" s="137"/>
      <c r="WSK70" s="137"/>
      <c r="WSL70" s="137"/>
      <c r="WSM70" s="137"/>
      <c r="WSN70" s="137"/>
      <c r="WSO70" s="137"/>
      <c r="WSP70" s="137"/>
      <c r="WSQ70" s="137"/>
      <c r="WSR70" s="137"/>
      <c r="WSS70" s="137"/>
      <c r="WST70" s="137"/>
      <c r="WSU70" s="137"/>
      <c r="WSV70" s="137"/>
      <c r="WSW70" s="137"/>
      <c r="WSX70" s="137"/>
      <c r="WSY70" s="137"/>
      <c r="WSZ70" s="137"/>
      <c r="WTA70" s="137"/>
      <c r="WTB70" s="137"/>
      <c r="WTC70" s="137"/>
      <c r="WTD70" s="137"/>
      <c r="WTE70" s="137"/>
      <c r="WTF70" s="137"/>
      <c r="WTG70" s="137"/>
      <c r="WTH70" s="137"/>
      <c r="WTI70" s="137"/>
      <c r="WTJ70" s="137"/>
      <c r="WTK70" s="137"/>
      <c r="WTL70" s="137"/>
      <c r="WTM70" s="137"/>
      <c r="WTN70" s="137"/>
      <c r="WTO70" s="137"/>
      <c r="WTP70" s="137"/>
      <c r="WTQ70" s="137"/>
      <c r="WTR70" s="137"/>
      <c r="WTS70" s="137"/>
      <c r="WTT70" s="137"/>
      <c r="WTU70" s="137"/>
      <c r="WTV70" s="137"/>
      <c r="WTW70" s="137"/>
      <c r="WTX70" s="137"/>
      <c r="WTY70" s="137"/>
      <c r="WTZ70" s="137"/>
      <c r="WUA70" s="137"/>
      <c r="WUB70" s="137"/>
      <c r="WUC70" s="137"/>
      <c r="WUD70" s="137"/>
      <c r="WUE70" s="137"/>
      <c r="WUF70" s="137"/>
      <c r="WUG70" s="137"/>
      <c r="WUH70" s="137"/>
      <c r="WUI70" s="137"/>
      <c r="WUJ70" s="137"/>
      <c r="WUK70" s="137"/>
      <c r="WUL70" s="137"/>
    </row>
    <row r="79" spans="1:16106" ht="14.25" customHeight="1" x14ac:dyDescent="0.2"/>
    <row r="80" spans="1:16106" ht="14.25" customHeight="1" x14ac:dyDescent="0.2"/>
    <row r="81" spans="2:7" ht="14.25" customHeight="1" x14ac:dyDescent="0.2"/>
    <row r="83" spans="2:7" ht="14.25" customHeight="1" x14ac:dyDescent="0.2"/>
    <row r="84" spans="2:7" ht="14.25" customHeight="1" x14ac:dyDescent="0.2"/>
    <row r="85" spans="2:7" ht="14.25" customHeight="1" x14ac:dyDescent="0.2"/>
    <row r="86" spans="2:7" ht="14.25" customHeight="1" x14ac:dyDescent="0.2"/>
    <row r="87" spans="2:7" ht="14.25" customHeight="1" x14ac:dyDescent="0.2"/>
    <row r="88" spans="2:7" ht="14.25" customHeight="1" x14ac:dyDescent="0.2">
      <c r="B88" s="716"/>
      <c r="C88" s="716"/>
      <c r="D88" s="716"/>
      <c r="E88" s="716"/>
      <c r="F88" s="716"/>
      <c r="G88" s="716"/>
    </row>
    <row r="89" spans="2:7" ht="14.25" customHeight="1" x14ac:dyDescent="0.2">
      <c r="B89" s="716"/>
      <c r="C89" s="716"/>
      <c r="D89" s="716"/>
      <c r="E89" s="716"/>
      <c r="F89" s="716"/>
      <c r="G89" s="716"/>
    </row>
    <row r="90" spans="2:7" ht="14.25" customHeight="1" x14ac:dyDescent="0.2">
      <c r="B90" s="716"/>
      <c r="C90" s="716"/>
      <c r="D90" s="716"/>
      <c r="E90" s="716"/>
      <c r="F90" s="716"/>
      <c r="G90" s="716"/>
    </row>
    <row r="91" spans="2:7" ht="14.25" customHeight="1" x14ac:dyDescent="0.2"/>
    <row r="92" spans="2:7" ht="14.25" customHeight="1" x14ac:dyDescent="0.2"/>
    <row r="93" spans="2:7" ht="14.25" customHeight="1" x14ac:dyDescent="0.2"/>
    <row r="94" spans="2:7" ht="14.25" customHeight="1" x14ac:dyDescent="0.2"/>
    <row r="95" spans="2:7" ht="14.25" customHeight="1" x14ac:dyDescent="0.2"/>
    <row r="96" spans="2:7" ht="14.25" customHeight="1" x14ac:dyDescent="0.2"/>
  </sheetData>
  <mergeCells count="7">
    <mergeCell ref="B90:G90"/>
    <mergeCell ref="B2:G2"/>
    <mergeCell ref="B3:G3"/>
    <mergeCell ref="B4:G4"/>
    <mergeCell ref="B5:G5"/>
    <mergeCell ref="B88:G88"/>
    <mergeCell ref="B89:G89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91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R131"/>
  <sheetViews>
    <sheetView showGridLines="0" zoomScale="84" zoomScaleNormal="84" workbookViewId="0">
      <pane xSplit="3" ySplit="6" topLeftCell="F76" activePane="bottomRight" state="frozen"/>
      <selection activeCell="F36" sqref="F36"/>
      <selection pane="topRight" activeCell="F36" sqref="F36"/>
      <selection pane="bottomLeft" activeCell="F36" sqref="F36"/>
      <selection pane="bottomRight" activeCell="P20" sqref="P20"/>
    </sheetView>
  </sheetViews>
  <sheetFormatPr defaultColWidth="9.140625" defaultRowHeight="17.25" x14ac:dyDescent="0.3"/>
  <cols>
    <col min="1" max="1" width="50.85546875" style="480" customWidth="1"/>
    <col min="2" max="2" width="38.85546875" style="480" customWidth="1"/>
    <col min="3" max="3" width="39.42578125" style="480" customWidth="1"/>
    <col min="4" max="4" width="18.28515625" style="628" customWidth="1"/>
    <col min="5" max="5" width="20.28515625" style="628" customWidth="1"/>
    <col min="6" max="6" width="18.28515625" style="480" customWidth="1"/>
    <col min="7" max="7" width="19.5703125" style="480" hidden="1" customWidth="1"/>
    <col min="8" max="8" width="19.140625" style="480" hidden="1" customWidth="1"/>
    <col min="9" max="9" width="17.5703125" style="480" hidden="1" customWidth="1"/>
    <col min="10" max="11" width="18.28515625" style="480" hidden="1" customWidth="1"/>
    <col min="12" max="13" width="19.5703125" style="480" hidden="1" customWidth="1"/>
    <col min="14" max="15" width="19.42578125" style="480" hidden="1" customWidth="1"/>
    <col min="16" max="16" width="15.85546875" style="482" bestFit="1" customWidth="1"/>
    <col min="17" max="17" width="15.140625" style="480" bestFit="1" customWidth="1"/>
    <col min="18" max="18" width="18.140625" style="480" bestFit="1" customWidth="1"/>
    <col min="19" max="16384" width="9.140625" style="480"/>
  </cols>
  <sheetData>
    <row r="1" spans="1:16" s="474" customFormat="1" x14ac:dyDescent="0.3">
      <c r="D1" s="475"/>
      <c r="E1" s="475"/>
      <c r="P1" s="476"/>
    </row>
    <row r="2" spans="1:16" s="474" customFormat="1" ht="20.25" x14ac:dyDescent="0.3">
      <c r="B2" s="477" t="s">
        <v>4679</v>
      </c>
      <c r="D2" s="477"/>
      <c r="E2" s="478">
        <f>+E94+E36</f>
        <v>579989.30795200018</v>
      </c>
      <c r="P2" s="476"/>
    </row>
    <row r="3" spans="1:16" s="474" customFormat="1" ht="20.25" x14ac:dyDescent="0.3">
      <c r="B3" s="479" t="s">
        <v>4680</v>
      </c>
      <c r="D3" s="479"/>
      <c r="E3" s="479"/>
      <c r="P3" s="476"/>
    </row>
    <row r="4" spans="1:16" ht="20.25" x14ac:dyDescent="0.3">
      <c r="B4" s="481" t="s">
        <v>4681</v>
      </c>
      <c r="D4" s="481"/>
      <c r="E4" s="481"/>
    </row>
    <row r="5" spans="1:16" ht="20.25" x14ac:dyDescent="0.3">
      <c r="B5" s="481"/>
      <c r="D5" s="481">
        <v>1</v>
      </c>
      <c r="E5" s="481">
        <v>2</v>
      </c>
      <c r="F5" s="480">
        <v>3</v>
      </c>
      <c r="G5" s="481">
        <v>4</v>
      </c>
      <c r="H5" s="481">
        <v>5</v>
      </c>
      <c r="I5" s="480">
        <v>6</v>
      </c>
      <c r="J5" s="481">
        <v>7</v>
      </c>
      <c r="K5" s="481">
        <v>8</v>
      </c>
      <c r="L5" s="480">
        <v>9</v>
      </c>
      <c r="M5" s="481">
        <v>10</v>
      </c>
      <c r="N5" s="481">
        <v>11</v>
      </c>
      <c r="O5" s="480">
        <v>12</v>
      </c>
    </row>
    <row r="6" spans="1:16" s="487" customFormat="1" ht="33" customHeight="1" x14ac:dyDescent="0.3">
      <c r="A6" s="736" t="s">
        <v>4682</v>
      </c>
      <c r="B6" s="483" t="s">
        <v>4683</v>
      </c>
      <c r="C6" s="484" t="s">
        <v>281</v>
      </c>
      <c r="D6" s="485" t="s">
        <v>4684</v>
      </c>
      <c r="E6" s="485" t="s">
        <v>4685</v>
      </c>
      <c r="F6" s="485" t="s">
        <v>4686</v>
      </c>
      <c r="G6" s="485" t="s">
        <v>4687</v>
      </c>
      <c r="H6" s="485" t="s">
        <v>4688</v>
      </c>
      <c r="I6" s="485" t="s">
        <v>4689</v>
      </c>
      <c r="J6" s="485" t="s">
        <v>4690</v>
      </c>
      <c r="K6" s="485" t="s">
        <v>4691</v>
      </c>
      <c r="L6" s="485" t="s">
        <v>4692</v>
      </c>
      <c r="M6" s="485" t="s">
        <v>4693</v>
      </c>
      <c r="N6" s="485" t="s">
        <v>4694</v>
      </c>
      <c r="O6" s="485" t="s">
        <v>4695</v>
      </c>
      <c r="P6" s="486"/>
    </row>
    <row r="7" spans="1:16" s="495" customFormat="1" x14ac:dyDescent="0.3">
      <c r="A7" s="737"/>
      <c r="B7" s="488">
        <v>3</v>
      </c>
      <c r="C7" s="489" t="s">
        <v>56</v>
      </c>
      <c r="D7" s="490">
        <f>-'[2]01.2022'!G1348</f>
        <v>9473052.0600000005</v>
      </c>
      <c r="E7" s="490">
        <f>-'[2]02.2022'!G1355</f>
        <v>19581925.629999999</v>
      </c>
      <c r="F7" s="490">
        <f>-'[2]03.2022'!G1357</f>
        <v>26107789.34</v>
      </c>
      <c r="G7" s="491">
        <f>-'[2]04.2022'!G1361</f>
        <v>39850436.390000001</v>
      </c>
      <c r="H7" s="491">
        <f>'[2]05.2022'!G1366</f>
        <v>47289761.380000003</v>
      </c>
      <c r="I7" s="491">
        <f>'[2]06.2022'!G203</f>
        <v>58270033.719999999</v>
      </c>
      <c r="J7" s="491">
        <f>'[2]07.2022'!G185</f>
        <v>68508548.799999997</v>
      </c>
      <c r="K7" s="492">
        <f>'[2]08.2022'!G189</f>
        <v>77878509.329999998</v>
      </c>
      <c r="L7" s="493">
        <f>'[2]09.2022'!G188</f>
        <v>86966560.060000002</v>
      </c>
      <c r="M7" s="493">
        <f>'[2]10.2022'!G196</f>
        <v>97854416.489999995</v>
      </c>
      <c r="N7" s="492">
        <f>'[2]11.2022'!G205</f>
        <v>106433883.59999999</v>
      </c>
      <c r="O7" s="491">
        <f>'[2]12.2022'!H221</f>
        <v>119101212.62</v>
      </c>
      <c r="P7" s="494"/>
    </row>
    <row r="8" spans="1:16" s="495" customFormat="1" ht="35.25" thickBot="1" x14ac:dyDescent="0.35">
      <c r="A8" s="496" t="s">
        <v>4696</v>
      </c>
      <c r="B8" s="497">
        <v>4</v>
      </c>
      <c r="C8" s="498" t="s">
        <v>204</v>
      </c>
      <c r="D8" s="499">
        <f>'[2]01.2022'!G1427</f>
        <v>8384058.8799999999</v>
      </c>
      <c r="E8" s="499">
        <f>'[2]02.2022'!G1434</f>
        <v>17552573.829999998</v>
      </c>
      <c r="F8" s="490">
        <v>27162894.309999999</v>
      </c>
      <c r="G8" s="491">
        <f>'[2]04.2022'!G1440</f>
        <v>36816461.890000001</v>
      </c>
      <c r="H8" s="491">
        <f>'[2]05.2022'!G1445</f>
        <v>45993774.890000001</v>
      </c>
      <c r="I8" s="491">
        <f>'[2]06.2022'!G225</f>
        <v>58268983.640000001</v>
      </c>
      <c r="J8" s="491">
        <v>67932268.450000003</v>
      </c>
      <c r="K8" s="492">
        <f>'[2]08.2022'!G211</f>
        <v>77641537.030000001</v>
      </c>
      <c r="L8" s="491">
        <f>'[2]09.2022'!G210</f>
        <v>86955557.159999996</v>
      </c>
      <c r="M8" s="492">
        <f>'[2]10.2022'!G216</f>
        <v>97018241.620000005</v>
      </c>
      <c r="N8" s="492">
        <f>'[2]11.2022'!G225</f>
        <v>108768856.34</v>
      </c>
      <c r="O8" s="491">
        <f>'[2]12.2022'!H244</f>
        <v>121552714.43000001</v>
      </c>
      <c r="P8" s="494"/>
    </row>
    <row r="9" spans="1:16" s="495" customFormat="1" ht="18" thickBot="1" x14ac:dyDescent="0.35">
      <c r="A9" s="755" t="s">
        <v>4697</v>
      </c>
      <c r="B9" s="756"/>
      <c r="C9" s="757"/>
      <c r="D9" s="500">
        <f t="shared" ref="D9" si="0">D7-D8</f>
        <v>1088993.1800000006</v>
      </c>
      <c r="E9" s="501">
        <f>E7-E8</f>
        <v>2029351.8000000007</v>
      </c>
      <c r="F9" s="502">
        <f>F7-F8</f>
        <v>-1055104.9699999988</v>
      </c>
      <c r="G9" s="500">
        <f>G7-G8</f>
        <v>3033974.5</v>
      </c>
      <c r="H9" s="503">
        <f>H7-H8</f>
        <v>1295986.4900000021</v>
      </c>
      <c r="I9" s="503">
        <f>I7-I8</f>
        <v>1050.0799999982119</v>
      </c>
      <c r="J9" s="500">
        <f t="shared" ref="J9" si="1">J7-J8</f>
        <v>576280.34999999404</v>
      </c>
      <c r="K9" s="500">
        <f>K7-K8</f>
        <v>236972.29999999702</v>
      </c>
      <c r="L9" s="500">
        <f>L7-L8</f>
        <v>11002.90000000596</v>
      </c>
      <c r="M9" s="500">
        <f t="shared" ref="M9" si="2">M7-M8</f>
        <v>836174.86999998987</v>
      </c>
      <c r="N9" s="500">
        <f>N7-N8</f>
        <v>-2334972.7400000095</v>
      </c>
      <c r="O9" s="500">
        <f t="shared" ref="O9" si="3">O7-O8</f>
        <v>-2451501.8100000024</v>
      </c>
      <c r="P9" s="494"/>
    </row>
    <row r="10" spans="1:16" s="495" customFormat="1" ht="18" thickBot="1" x14ac:dyDescent="0.35">
      <c r="A10" s="504"/>
      <c r="B10" s="505" t="s">
        <v>4698</v>
      </c>
      <c r="C10" s="506" t="s">
        <v>4699</v>
      </c>
      <c r="D10" s="507">
        <v>0</v>
      </c>
      <c r="E10" s="507">
        <f>'[2]02.2022'!G1671+'[2]02.2022'!G1674</f>
        <v>287520.53999999998</v>
      </c>
      <c r="F10" s="491">
        <f>'[2]03.2022'!G668+'[2]03.2022'!G1671</f>
        <v>579989.31000000006</v>
      </c>
      <c r="G10" s="491">
        <f>'[2]04.2022'!G1676+'[2]04.2022'!G1679</f>
        <v>579989.31000000006</v>
      </c>
      <c r="H10" s="491">
        <f>'[2]05.2022'!G1681+'[2]05.2022'!G1684</f>
        <v>935173.29</v>
      </c>
      <c r="I10" s="491">
        <f>'[2]06.2022'!G331+'[2]06.2022'!G333</f>
        <v>135998.71</v>
      </c>
      <c r="J10" s="491">
        <f>I10</f>
        <v>135998.71</v>
      </c>
      <c r="K10" s="491">
        <f>'[2]08.2022'!G316+'[2]08.2022'!G318</f>
        <v>323361.78000000003</v>
      </c>
      <c r="L10" s="491">
        <f>'[2]09.2022'!G315+'[2]09.2022'!G317</f>
        <v>230065.94</v>
      </c>
      <c r="M10" s="491">
        <f>'[2]10.2022'!G321+'[2]10.2022'!G323</f>
        <v>206354.61</v>
      </c>
      <c r="N10" s="491">
        <f>'[2]11.2022'!G331+'[2]11.2022'!G333</f>
        <v>426362.01</v>
      </c>
      <c r="O10" s="491">
        <v>0</v>
      </c>
      <c r="P10" s="494"/>
    </row>
    <row r="11" spans="1:16" s="495" customFormat="1" ht="18" thickBot="1" x14ac:dyDescent="0.35">
      <c r="A11" s="730" t="s">
        <v>4700</v>
      </c>
      <c r="B11" s="731"/>
      <c r="C11" s="732"/>
      <c r="D11" s="508">
        <f t="shared" ref="D11:K11" si="4">D9+D10</f>
        <v>1088993.1800000006</v>
      </c>
      <c r="E11" s="508">
        <f t="shared" si="4"/>
        <v>2316872.3400000008</v>
      </c>
      <c r="F11" s="509">
        <f t="shared" si="4"/>
        <v>-475115.65999999875</v>
      </c>
      <c r="G11" s="508">
        <f t="shared" si="4"/>
        <v>3613963.81</v>
      </c>
      <c r="H11" s="510">
        <f t="shared" si="4"/>
        <v>2231159.7800000021</v>
      </c>
      <c r="I11" s="510">
        <f t="shared" si="4"/>
        <v>137048.7899999982</v>
      </c>
      <c r="J11" s="508">
        <f t="shared" si="4"/>
        <v>712279.059999994</v>
      </c>
      <c r="K11" s="508">
        <f t="shared" si="4"/>
        <v>560334.07999999705</v>
      </c>
      <c r="L11" s="508">
        <f>L9+L10</f>
        <v>241068.84000000596</v>
      </c>
      <c r="M11" s="508">
        <f>M9+M10</f>
        <v>1042529.4799999899</v>
      </c>
      <c r="N11" s="508">
        <f>N9+N10</f>
        <v>-1908610.7300000095</v>
      </c>
      <c r="O11" s="508">
        <f>O9+O10</f>
        <v>-2451501.8100000024</v>
      </c>
      <c r="P11" s="494"/>
    </row>
    <row r="12" spans="1:16" s="513" customFormat="1" ht="18" thickBot="1" x14ac:dyDescent="0.3">
      <c r="A12" s="741" t="s">
        <v>4701</v>
      </c>
      <c r="B12" s="742"/>
      <c r="C12" s="743"/>
      <c r="D12" s="511"/>
      <c r="E12" s="511"/>
      <c r="F12" s="511"/>
      <c r="G12" s="511"/>
      <c r="H12" s="511"/>
      <c r="I12" s="511"/>
      <c r="J12" s="511"/>
      <c r="K12" s="511"/>
      <c r="L12" s="511"/>
      <c r="M12" s="511"/>
      <c r="N12" s="511"/>
      <c r="O12" s="511"/>
      <c r="P12" s="512"/>
    </row>
    <row r="13" spans="1:16" s="517" customFormat="1" x14ac:dyDescent="0.3">
      <c r="A13" s="758" t="s">
        <v>4702</v>
      </c>
      <c r="B13" s="514">
        <v>411111</v>
      </c>
      <c r="C13" s="515" t="s">
        <v>4703</v>
      </c>
      <c r="D13" s="490">
        <f>'[2]01.2022'!G1441</f>
        <v>0</v>
      </c>
      <c r="E13" s="490">
        <f>'[2]02.2022'!G1448</f>
        <v>0</v>
      </c>
      <c r="F13" s="685">
        <f>'[2]03.2022'!G1449</f>
        <v>0</v>
      </c>
      <c r="G13" s="490">
        <f>'[2]04.2022'!G1454</f>
        <v>22161.22</v>
      </c>
      <c r="H13" s="490">
        <f>'[2]05.2022'!G1459</f>
        <v>46696.86</v>
      </c>
      <c r="I13" s="491">
        <f>'[2]06.2022'!G233</f>
        <v>47574.65</v>
      </c>
      <c r="J13" s="491">
        <f>'[2]07.2022'!G215</f>
        <v>47574.65</v>
      </c>
      <c r="K13" s="492">
        <f>'[2]08.2022'!G219</f>
        <v>47574.65</v>
      </c>
      <c r="L13" s="491">
        <f>'[2]09.2022'!G218</f>
        <v>47574.65</v>
      </c>
      <c r="M13" s="492">
        <f>'[2]10.2022'!G224</f>
        <v>47574.65</v>
      </c>
      <c r="N13" s="492">
        <f>'[2]11.2022'!G233</f>
        <v>47574.65</v>
      </c>
      <c r="O13" s="491">
        <f>'[2]12.2022'!H252</f>
        <v>47574.65</v>
      </c>
      <c r="P13" s="516">
        <f>F13*34%</f>
        <v>0</v>
      </c>
    </row>
    <row r="14" spans="1:16" s="517" customFormat="1" x14ac:dyDescent="0.3">
      <c r="A14" s="744"/>
      <c r="B14" s="514">
        <v>411113</v>
      </c>
      <c r="C14" s="515" t="s">
        <v>897</v>
      </c>
      <c r="D14" s="490">
        <f>'[2]01.2022'!G1442</f>
        <v>2089.2199999999998</v>
      </c>
      <c r="E14" s="490">
        <f>'[2]02.2022'!G1449</f>
        <v>16283.03</v>
      </c>
      <c r="F14" s="685">
        <f>'[2]03.2022'!G1451</f>
        <v>16283.03</v>
      </c>
      <c r="G14" s="490">
        <f>'[2]04.2022'!G1455</f>
        <v>24525.7</v>
      </c>
      <c r="H14" s="490">
        <f>'[2]05.2022'!G1460</f>
        <v>24525.7</v>
      </c>
      <c r="I14" s="491">
        <f>'[2]06.2022'!G234</f>
        <v>25354.66</v>
      </c>
      <c r="J14" s="491">
        <f>'[2]07.2022'!G216</f>
        <v>25354.66</v>
      </c>
      <c r="K14" s="492">
        <f>'[2]08.2022'!G220</f>
        <v>25354.66</v>
      </c>
      <c r="L14" s="491">
        <f>'[2]09.2022'!G219</f>
        <v>25354.66</v>
      </c>
      <c r="M14" s="492">
        <f>'[2]10.2022'!G225</f>
        <v>31553.68</v>
      </c>
      <c r="N14" s="492">
        <f>'[2]11.2022'!G234</f>
        <v>31553.68</v>
      </c>
      <c r="O14" s="491">
        <f>'[2]12.2022'!H253</f>
        <v>31857.77</v>
      </c>
      <c r="P14" s="516">
        <f>F14*34%</f>
        <v>5536.2302000000009</v>
      </c>
    </row>
    <row r="15" spans="1:16" s="517" customFormat="1" x14ac:dyDescent="0.3">
      <c r="A15" s="744"/>
      <c r="B15" s="514">
        <v>411310</v>
      </c>
      <c r="C15" s="515" t="s">
        <v>215</v>
      </c>
      <c r="D15" s="490">
        <f>'[2]01.2022'!G1463</f>
        <v>438</v>
      </c>
      <c r="E15" s="490">
        <f>'[2]02.2022'!G1470</f>
        <v>876</v>
      </c>
      <c r="F15" s="490">
        <f>'[2]03.2022'!G1472</f>
        <v>1314</v>
      </c>
      <c r="G15" s="490">
        <f>'[2]04.2022'!G1476</f>
        <v>1752</v>
      </c>
      <c r="H15" s="490">
        <f>'[2]05.2022'!G1481</f>
        <v>2190</v>
      </c>
      <c r="I15" s="491">
        <f>'[2]06.2022'!G248</f>
        <v>2580</v>
      </c>
      <c r="J15" s="491">
        <f>'[2]07.2022'!G230</f>
        <v>2996</v>
      </c>
      <c r="K15" s="492">
        <f>'[2]08.2022'!G234</f>
        <v>3412</v>
      </c>
      <c r="L15" s="491">
        <f>'[2]09.2022'!G233</f>
        <v>3828</v>
      </c>
      <c r="M15" s="492">
        <f>'[2]10.2022'!G239</f>
        <v>4244</v>
      </c>
      <c r="N15" s="492">
        <f>'[2]11.2022'!G248</f>
        <v>4660</v>
      </c>
      <c r="O15" s="491">
        <f>'[2]12.2022'!H267</f>
        <v>4880</v>
      </c>
      <c r="P15" s="516"/>
    </row>
    <row r="16" spans="1:16" s="517" customFormat="1" x14ac:dyDescent="0.3">
      <c r="A16" s="744"/>
      <c r="B16" s="514">
        <v>416211</v>
      </c>
      <c r="C16" s="515" t="s">
        <v>4704</v>
      </c>
      <c r="D16" s="490">
        <f>'[2]01.2022'!G1557</f>
        <v>0</v>
      </c>
      <c r="E16" s="490">
        <f>'[2]02.2022'!G1564</f>
        <v>0</v>
      </c>
      <c r="F16" s="490">
        <f>'[2]03.2022'!G1566</f>
        <v>0</v>
      </c>
      <c r="G16" s="491">
        <f>'[2]04.2022'!G1570</f>
        <v>0</v>
      </c>
      <c r="H16" s="491">
        <f>'[2]05.2022'!G1575</f>
        <v>0</v>
      </c>
      <c r="I16" s="491">
        <v>0</v>
      </c>
      <c r="J16" s="491">
        <v>0</v>
      </c>
      <c r="K16" s="491">
        <v>0</v>
      </c>
      <c r="L16" s="491">
        <v>0</v>
      </c>
      <c r="M16" s="491">
        <v>0</v>
      </c>
      <c r="N16" s="491">
        <v>0</v>
      </c>
      <c r="O16" s="491">
        <v>0</v>
      </c>
      <c r="P16" s="516"/>
    </row>
    <row r="17" spans="1:18" s="495" customFormat="1" x14ac:dyDescent="0.3">
      <c r="A17" s="744"/>
      <c r="B17" s="514">
        <v>421110</v>
      </c>
      <c r="C17" s="515" t="s">
        <v>4703</v>
      </c>
      <c r="D17" s="490">
        <f>'[2]01.2022'!G1580</f>
        <v>0</v>
      </c>
      <c r="E17" s="490">
        <f>'[2]02.2022'!G1587</f>
        <v>0</v>
      </c>
      <c r="F17" s="685">
        <f>'[2]03.2022'!G1589</f>
        <v>0</v>
      </c>
      <c r="G17" s="491">
        <f>'[2]04.2022'!G1593</f>
        <v>0</v>
      </c>
      <c r="H17" s="490">
        <f>'[2]05.2022'!G1598</f>
        <v>6193.88</v>
      </c>
      <c r="I17" s="491">
        <f>'[2]06.2022'!G288</f>
        <v>20913.98</v>
      </c>
      <c r="J17" s="491">
        <f>'[2]07.2022'!G270</f>
        <v>57368.88</v>
      </c>
      <c r="K17" s="492">
        <f>'[2]08.2022'!G273</f>
        <v>84127.62</v>
      </c>
      <c r="L17" s="491">
        <f>'[2]09.2022'!G272</f>
        <v>84127.62</v>
      </c>
      <c r="M17" s="492">
        <f>'[2]10.2022'!G278</f>
        <v>84127.62</v>
      </c>
      <c r="N17" s="492">
        <f>'[2]11.2022'!G287</f>
        <v>84127.62</v>
      </c>
      <c r="O17" s="491">
        <f>'[2]12.2022'!H308</f>
        <v>96358.92</v>
      </c>
      <c r="P17" s="494">
        <f>F17*34%</f>
        <v>0</v>
      </c>
    </row>
    <row r="18" spans="1:18" s="495" customFormat="1" x14ac:dyDescent="0.3">
      <c r="A18" s="744"/>
      <c r="B18" s="514">
        <v>421112</v>
      </c>
      <c r="C18" s="515" t="s">
        <v>897</v>
      </c>
      <c r="D18" s="490">
        <f>'[2]01.2022'!G1581</f>
        <v>0</v>
      </c>
      <c r="E18" s="490">
        <f>'[2]02.2022'!G1588</f>
        <v>0</v>
      </c>
      <c r="F18" s="685">
        <f>'[2]03.2022'!G1590</f>
        <v>0</v>
      </c>
      <c r="G18" s="491">
        <f>'[2]04.2022'!G1594</f>
        <v>0</v>
      </c>
      <c r="H18" s="491">
        <f>'[2]05.2022'!G1599</f>
        <v>0</v>
      </c>
      <c r="I18" s="491">
        <v>0</v>
      </c>
      <c r="J18" s="491">
        <v>0</v>
      </c>
      <c r="K18" s="491">
        <v>0</v>
      </c>
      <c r="L18" s="491">
        <v>0</v>
      </c>
      <c r="M18" s="491">
        <v>0</v>
      </c>
      <c r="N18" s="491">
        <v>0</v>
      </c>
      <c r="O18" s="491">
        <v>0</v>
      </c>
      <c r="P18" s="494">
        <f>F18*34%</f>
        <v>0</v>
      </c>
    </row>
    <row r="19" spans="1:18" s="495" customFormat="1" x14ac:dyDescent="0.3">
      <c r="A19" s="744"/>
      <c r="B19" s="514">
        <v>421310</v>
      </c>
      <c r="C19" s="515" t="s">
        <v>215</v>
      </c>
      <c r="D19" s="490">
        <f>'[2]01.2022'!G1603</f>
        <v>663</v>
      </c>
      <c r="E19" s="490">
        <f>'[2]02.2022'!G1610</f>
        <v>1326</v>
      </c>
      <c r="F19" s="490">
        <f>'[2]03.2022'!G1612</f>
        <v>1989</v>
      </c>
      <c r="G19" s="490">
        <f>'[2]04.2022'!G1616</f>
        <v>2652</v>
      </c>
      <c r="H19" s="490">
        <f>'[2]05.2022'!G1621</f>
        <v>3315</v>
      </c>
      <c r="I19" s="491">
        <f>'[2]06.2022'!G303</f>
        <v>3964</v>
      </c>
      <c r="J19" s="491">
        <f>'[2]07.2022'!G285</f>
        <v>4582</v>
      </c>
      <c r="K19" s="492">
        <f>'[2]08.2022'!G288</f>
        <v>5200</v>
      </c>
      <c r="L19" s="491">
        <f>'[2]09.2022'!G287</f>
        <v>5818</v>
      </c>
      <c r="M19" s="492">
        <f>'[2]10.2022'!G293</f>
        <v>6436</v>
      </c>
      <c r="N19" s="492">
        <f>'[2]11.2022'!G302</f>
        <v>7054</v>
      </c>
      <c r="O19" s="491">
        <f>'[2]12.2022'!H323</f>
        <v>7588</v>
      </c>
      <c r="P19" s="494"/>
    </row>
    <row r="20" spans="1:18" s="495" customFormat="1" x14ac:dyDescent="0.3">
      <c r="A20" s="744"/>
      <c r="B20" s="514">
        <v>42541</v>
      </c>
      <c r="C20" s="489" t="s">
        <v>4705</v>
      </c>
      <c r="D20" s="490">
        <f>'[2]01.2022'!G1673</f>
        <v>0</v>
      </c>
      <c r="E20" s="490">
        <f>'[2]02.2022'!G1680</f>
        <v>0</v>
      </c>
      <c r="F20" s="490">
        <v>178512.66</v>
      </c>
      <c r="G20" s="490">
        <f>'[2]04.2022'!G1686</f>
        <v>178512.66</v>
      </c>
      <c r="H20" s="490">
        <f>'[2]05.2022'!G1691</f>
        <v>178512.66</v>
      </c>
      <c r="I20" s="491">
        <f>'[2]06.2022'!G335</f>
        <v>178512.66</v>
      </c>
      <c r="J20" s="491">
        <f>'[2]07.2022'!G317</f>
        <v>178512.66</v>
      </c>
      <c r="K20" s="492">
        <f>'[2]08.2022'!G320</f>
        <v>178512.66</v>
      </c>
      <c r="L20" s="491">
        <f>'[2]09.2022'!G319</f>
        <v>228883.71</v>
      </c>
      <c r="M20" s="492">
        <f>'[2]10.2022'!G325</f>
        <v>228883.71</v>
      </c>
      <c r="N20" s="492">
        <f>'[2]11.2022'!G335</f>
        <v>228883.71</v>
      </c>
      <c r="O20" s="491">
        <f>'[2]12.2022'!H352</f>
        <v>228883.71</v>
      </c>
      <c r="P20" s="494">
        <f>F20*34%</f>
        <v>60694.304400000008</v>
      </c>
    </row>
    <row r="21" spans="1:18" s="495" customFormat="1" x14ac:dyDescent="0.3">
      <c r="A21" s="744"/>
      <c r="B21" s="514">
        <v>42542</v>
      </c>
      <c r="C21" s="515" t="s">
        <v>4706</v>
      </c>
      <c r="D21" s="490">
        <f>'[2]01.2022'!G1674</f>
        <v>0</v>
      </c>
      <c r="E21" s="490">
        <f>'[2]02.2022'!G1681</f>
        <v>0</v>
      </c>
      <c r="F21" s="490">
        <f>'[2]03.2022'!G1683</f>
        <v>0</v>
      </c>
      <c r="G21" s="491">
        <f>'[2]04.2022'!G1687</f>
        <v>0</v>
      </c>
      <c r="H21" s="491">
        <f>'[2]05.2022'!G1692</f>
        <v>0</v>
      </c>
      <c r="I21" s="491">
        <v>0</v>
      </c>
      <c r="J21" s="491">
        <v>0</v>
      </c>
      <c r="K21" s="491">
        <v>0</v>
      </c>
      <c r="L21" s="491">
        <v>0</v>
      </c>
      <c r="M21" s="491">
        <v>0</v>
      </c>
      <c r="N21" s="491">
        <v>0</v>
      </c>
      <c r="O21" s="491">
        <v>0</v>
      </c>
      <c r="P21" s="494"/>
    </row>
    <row r="22" spans="1:18" s="495" customFormat="1" x14ac:dyDescent="0.3">
      <c r="A22" s="744"/>
      <c r="B22" s="514">
        <v>42543</v>
      </c>
      <c r="C22" s="489" t="s">
        <v>912</v>
      </c>
      <c r="D22" s="490">
        <f>'[2]01.2022'!G1675</f>
        <v>0</v>
      </c>
      <c r="E22" s="490">
        <f>'[2]02.2022'!G1682</f>
        <v>0</v>
      </c>
      <c r="F22" s="490">
        <f>'[2]03.2022'!G1684</f>
        <v>0</v>
      </c>
      <c r="G22" s="491">
        <f>'[2]04.2022'!G1688</f>
        <v>0</v>
      </c>
      <c r="H22" s="491">
        <f>'[2]05.2022'!G1693</f>
        <v>0</v>
      </c>
      <c r="I22" s="491">
        <v>0</v>
      </c>
      <c r="J22" s="491">
        <v>0</v>
      </c>
      <c r="K22" s="491">
        <v>0</v>
      </c>
      <c r="L22" s="491">
        <f>'[2]09.2022'!G320</f>
        <v>5067.3599999999997</v>
      </c>
      <c r="M22" s="492">
        <f>'[2]10.2022'!G326</f>
        <v>5067.3599999999997</v>
      </c>
      <c r="N22" s="492">
        <f>'[2]11.2022'!G336</f>
        <v>5067.3599999999997</v>
      </c>
      <c r="O22" s="491">
        <f>'[2]12.2022'!H353</f>
        <v>5067.3599999999997</v>
      </c>
      <c r="P22" s="494"/>
      <c r="R22" s="518"/>
    </row>
    <row r="23" spans="1:18" s="495" customFormat="1" x14ac:dyDescent="0.3">
      <c r="A23" s="744"/>
      <c r="B23" s="514">
        <v>42544</v>
      </c>
      <c r="C23" s="489" t="s">
        <v>4707</v>
      </c>
      <c r="D23" s="490"/>
      <c r="E23" s="490"/>
      <c r="F23" s="490"/>
      <c r="G23" s="491"/>
      <c r="H23" s="491"/>
      <c r="I23" s="491">
        <v>0</v>
      </c>
      <c r="J23" s="491">
        <v>0</v>
      </c>
      <c r="K23" s="491">
        <v>0</v>
      </c>
      <c r="L23" s="491">
        <f>'[2]09.2022'!G321</f>
        <v>2346.3000000000002</v>
      </c>
      <c r="M23" s="492">
        <f>'[2]10.2022'!G327</f>
        <v>2346.3000000000002</v>
      </c>
      <c r="N23" s="492">
        <f>'[2]11.2022'!G337</f>
        <v>2346.3000000000002</v>
      </c>
      <c r="O23" s="491">
        <f>'[2]12.2022'!H354</f>
        <v>2346.3000000000002</v>
      </c>
      <c r="P23" s="494"/>
    </row>
    <row r="24" spans="1:18" s="495" customFormat="1" x14ac:dyDescent="0.3">
      <c r="A24" s="744"/>
      <c r="B24" s="514">
        <v>42720</v>
      </c>
      <c r="C24" s="489" t="s">
        <v>4708</v>
      </c>
      <c r="D24" s="490">
        <f>'[2]01.2022'!G1728</f>
        <v>134429.18</v>
      </c>
      <c r="E24" s="490">
        <f>'[2]02.2022'!G1735</f>
        <v>268858.34999999998</v>
      </c>
      <c r="F24" s="490">
        <f>'[2]03.2022'!G1738</f>
        <v>283988.84000000003</v>
      </c>
      <c r="G24" s="490">
        <f>'[2]04.2022'!G1742</f>
        <v>373608.29</v>
      </c>
      <c r="H24" s="490">
        <f>'[2]05.2022'!G1747</f>
        <v>463227.74</v>
      </c>
      <c r="I24" s="491">
        <f>'[2]06.2022'!G364</f>
        <v>601833.38</v>
      </c>
      <c r="J24" s="491">
        <f>'[2]07.2022'!G347</f>
        <v>648082.22</v>
      </c>
      <c r="K24" s="492">
        <f>'[2]08.2022'!G350</f>
        <v>694331.06</v>
      </c>
      <c r="L24" s="491">
        <f>'[2]09.2022'!G351</f>
        <v>800824.15</v>
      </c>
      <c r="M24" s="492">
        <f>'[2]10.2022'!G358</f>
        <v>867155.11</v>
      </c>
      <c r="N24" s="492">
        <f>'[2]11.2022'!G367</f>
        <v>933486.07</v>
      </c>
      <c r="O24" s="491">
        <f>'[2]12.2022'!H384</f>
        <v>946011.8</v>
      </c>
      <c r="P24" s="494"/>
    </row>
    <row r="25" spans="1:18" s="495" customFormat="1" x14ac:dyDescent="0.3">
      <c r="A25" s="744"/>
      <c r="B25" s="514">
        <v>426213</v>
      </c>
      <c r="C25" s="515" t="s">
        <v>4704</v>
      </c>
      <c r="D25" s="490">
        <f>'[2]01.2022'!G1711</f>
        <v>20649</v>
      </c>
      <c r="E25" s="490">
        <f>'[2]02.2022'!G1718</f>
        <v>20649</v>
      </c>
      <c r="F25" s="490">
        <f>'[2]03.2022'!G1720</f>
        <v>31031.3</v>
      </c>
      <c r="G25" s="490">
        <f>'[2]04.2022'!G1724</f>
        <v>39560.300000000003</v>
      </c>
      <c r="H25" s="490">
        <f>'[2]05.2022'!G1729</f>
        <v>39560.300000000003</v>
      </c>
      <c r="I25" s="491">
        <f>'[2]06.2022'!G358</f>
        <v>39560.300000000003</v>
      </c>
      <c r="J25" s="491">
        <f>'[2]07.2022'!G340</f>
        <v>39560.300000000003</v>
      </c>
      <c r="K25" s="492">
        <f>'[2]08.2022'!G343</f>
        <v>40550.300000000003</v>
      </c>
      <c r="L25" s="491">
        <f>'[2]09.2022'!G344</f>
        <v>40550.300000000003</v>
      </c>
      <c r="M25" s="492">
        <f>'[2]10.2022'!G350</f>
        <v>40550.300000000003</v>
      </c>
      <c r="N25" s="492">
        <f>'[2]11.2022'!G360</f>
        <v>40550.300000000003</v>
      </c>
      <c r="O25" s="491">
        <f>'[2]12.2022'!H377</f>
        <v>45767.3</v>
      </c>
      <c r="P25" s="494"/>
    </row>
    <row r="26" spans="1:18" s="495" customFormat="1" ht="18" thickBot="1" x14ac:dyDescent="0.35">
      <c r="A26" s="744"/>
      <c r="B26" s="514">
        <v>427121</v>
      </c>
      <c r="C26" s="489" t="s">
        <v>4516</v>
      </c>
      <c r="D26" s="490">
        <f>'[2]01.2022'!G1729</f>
        <v>0</v>
      </c>
      <c r="E26" s="490">
        <f>'[2]02.2022'!G1736</f>
        <v>0</v>
      </c>
      <c r="F26" s="490">
        <f>'[2]03.2022'!G1739</f>
        <v>0</v>
      </c>
      <c r="G26" s="491">
        <f>'[2]04.2022'!G1743</f>
        <v>0</v>
      </c>
      <c r="H26" s="491">
        <f>'[2]05.2022'!G1748</f>
        <v>0</v>
      </c>
      <c r="I26" s="491">
        <v>0</v>
      </c>
      <c r="J26" s="491">
        <v>0</v>
      </c>
      <c r="K26" s="491">
        <v>0</v>
      </c>
      <c r="L26" s="491">
        <v>0</v>
      </c>
      <c r="M26" s="491">
        <v>0</v>
      </c>
      <c r="N26" s="491">
        <v>0</v>
      </c>
      <c r="O26" s="491">
        <v>0</v>
      </c>
      <c r="P26" s="494"/>
    </row>
    <row r="27" spans="1:18" s="513" customFormat="1" ht="18" thickBot="1" x14ac:dyDescent="0.3">
      <c r="A27" s="741" t="s">
        <v>4709</v>
      </c>
      <c r="B27" s="742"/>
      <c r="C27" s="743"/>
      <c r="D27" s="519">
        <f t="shared" ref="D27:N27" si="5">SUM(D13:D26)</f>
        <v>158268.4</v>
      </c>
      <c r="E27" s="519">
        <f t="shared" si="5"/>
        <v>307992.38</v>
      </c>
      <c r="F27" s="519">
        <f t="shared" si="5"/>
        <v>513118.83</v>
      </c>
      <c r="G27" s="519">
        <f t="shared" si="5"/>
        <v>642772.17000000004</v>
      </c>
      <c r="H27" s="519">
        <f t="shared" si="5"/>
        <v>764222.14</v>
      </c>
      <c r="I27" s="519">
        <f t="shared" si="5"/>
        <v>920293.63000000012</v>
      </c>
      <c r="J27" s="519">
        <f t="shared" si="5"/>
        <v>1004031.37</v>
      </c>
      <c r="K27" s="519">
        <f t="shared" si="5"/>
        <v>1079062.95</v>
      </c>
      <c r="L27" s="519">
        <f t="shared" si="5"/>
        <v>1244374.75</v>
      </c>
      <c r="M27" s="519">
        <f t="shared" si="5"/>
        <v>1317938.73</v>
      </c>
      <c r="N27" s="519">
        <f t="shared" si="5"/>
        <v>1385303.69</v>
      </c>
      <c r="O27" s="519">
        <f>SUM(O13:O26)</f>
        <v>1416335.81</v>
      </c>
      <c r="P27" s="512"/>
      <c r="Q27" s="520"/>
    </row>
    <row r="28" spans="1:18" s="513" customFormat="1" ht="18" thickBot="1" x14ac:dyDescent="0.3">
      <c r="A28" s="745" t="s">
        <v>4710</v>
      </c>
      <c r="B28" s="746"/>
      <c r="C28" s="747"/>
      <c r="D28" s="521"/>
      <c r="E28" s="521"/>
      <c r="F28" s="521"/>
      <c r="G28" s="522"/>
      <c r="H28" s="522"/>
      <c r="I28" s="521"/>
      <c r="J28" s="521"/>
      <c r="K28" s="521"/>
      <c r="L28" s="521"/>
      <c r="M28" s="521"/>
      <c r="N28" s="521"/>
      <c r="O28" s="521"/>
      <c r="P28" s="512"/>
    </row>
    <row r="29" spans="1:18" s="529" customFormat="1" ht="15.75" customHeight="1" x14ac:dyDescent="0.3">
      <c r="A29" s="759" t="s">
        <v>4711</v>
      </c>
      <c r="B29" s="523">
        <v>33611</v>
      </c>
      <c r="C29" s="524" t="s">
        <v>4235</v>
      </c>
      <c r="D29" s="525">
        <f>'[2]01.2022'!G1398</f>
        <v>0</v>
      </c>
      <c r="E29" s="525">
        <f>'[2]02.2022'!G1405</f>
        <v>0</v>
      </c>
      <c r="F29" s="526">
        <f>'[2]03.2022'!G1407</f>
        <v>0</v>
      </c>
      <c r="G29" s="527">
        <f>'[2]04.2022'!G1411</f>
        <v>0</v>
      </c>
      <c r="H29" s="527">
        <f>'[2]05.2022'!G1416</f>
        <v>0</v>
      </c>
      <c r="I29" s="527">
        <v>0</v>
      </c>
      <c r="J29" s="527">
        <v>0</v>
      </c>
      <c r="K29" s="527">
        <v>0</v>
      </c>
      <c r="L29" s="527">
        <v>0</v>
      </c>
      <c r="M29" s="527">
        <v>0</v>
      </c>
      <c r="N29" s="527">
        <v>0</v>
      </c>
      <c r="O29" s="527">
        <f>'[2]12.2021'!G210</f>
        <v>0</v>
      </c>
      <c r="P29" s="528"/>
    </row>
    <row r="30" spans="1:18" s="529" customFormat="1" ht="18" customHeight="1" x14ac:dyDescent="0.3">
      <c r="A30" s="760"/>
      <c r="B30" s="530">
        <v>33612</v>
      </c>
      <c r="C30" s="531" t="s">
        <v>201</v>
      </c>
      <c r="D30" s="532">
        <f>'[2]01.2022'!G1399</f>
        <v>0</v>
      </c>
      <c r="E30" s="532">
        <f>'[2]02.2022'!G1406</f>
        <v>0</v>
      </c>
      <c r="F30" s="533">
        <f>-'[2]03.2022'!G1408</f>
        <v>22945.54</v>
      </c>
      <c r="G30" s="534">
        <f>-'[2]04.2022'!G1412</f>
        <v>22945.54</v>
      </c>
      <c r="H30" s="534">
        <f>'[2]05.2022'!G1417</f>
        <v>22945.54</v>
      </c>
      <c r="I30" s="534">
        <f>'[2]06.2022'!G219</f>
        <v>22945.54</v>
      </c>
      <c r="J30" s="532">
        <f>'[2]07.2022'!G201</f>
        <v>22945.54</v>
      </c>
      <c r="K30" s="532">
        <f>'[2]08.2022'!G205</f>
        <v>22945.54</v>
      </c>
      <c r="L30" s="532">
        <f>'[2]09.2022'!G203</f>
        <v>22976.05</v>
      </c>
      <c r="M30" s="535">
        <f>'[2]10.2022'!G212</f>
        <v>22976.05</v>
      </c>
      <c r="N30" s="536">
        <f>'[2]11.2022'!G221</f>
        <v>22976.05</v>
      </c>
      <c r="O30" s="537">
        <f>'[2]12.2022'!H237</f>
        <v>24169.200000000001</v>
      </c>
      <c r="P30" s="528"/>
    </row>
    <row r="31" spans="1:18" s="529" customFormat="1" ht="18" customHeight="1" thickBot="1" x14ac:dyDescent="0.35">
      <c r="A31" s="538"/>
      <c r="B31" s="530">
        <v>33613</v>
      </c>
      <c r="C31" s="531" t="s">
        <v>886</v>
      </c>
      <c r="D31" s="532">
        <f>'[2]01.2022'!G1400</f>
        <v>0</v>
      </c>
      <c r="E31" s="532">
        <f>'[2]02.2022'!G1407</f>
        <v>0</v>
      </c>
      <c r="F31" s="533">
        <f>-'[2]03.2022'!G1409</f>
        <v>0</v>
      </c>
      <c r="G31" s="534">
        <f>'[2]04.2022'!G1413</f>
        <v>0</v>
      </c>
      <c r="H31" s="534">
        <f>'[2]05.2022'!G1418</f>
        <v>0</v>
      </c>
      <c r="I31" s="534">
        <v>0</v>
      </c>
      <c r="J31" s="534">
        <v>0</v>
      </c>
      <c r="K31" s="534">
        <v>0</v>
      </c>
      <c r="L31" s="534">
        <v>0</v>
      </c>
      <c r="M31" s="534">
        <v>0</v>
      </c>
      <c r="N31" s="534">
        <v>0</v>
      </c>
      <c r="O31" s="534">
        <f>'[2]12.2022'!H238</f>
        <v>49681.23</v>
      </c>
      <c r="P31" s="528"/>
    </row>
    <row r="32" spans="1:18" s="513" customFormat="1" ht="18" thickBot="1" x14ac:dyDescent="0.35">
      <c r="A32" s="749" t="s">
        <v>4712</v>
      </c>
      <c r="B32" s="750"/>
      <c r="C32" s="751"/>
      <c r="D32" s="539">
        <f>D29</f>
        <v>0</v>
      </c>
      <c r="E32" s="539">
        <f>E29</f>
        <v>0</v>
      </c>
      <c r="F32" s="540">
        <f>SUM(F29:F31)</f>
        <v>22945.54</v>
      </c>
      <c r="G32" s="541">
        <f>SUM(G29:G31)</f>
        <v>22945.54</v>
      </c>
      <c r="H32" s="542">
        <f t="shared" ref="H32" si="6">SUM(H29:H30)</f>
        <v>22945.54</v>
      </c>
      <c r="I32" s="543">
        <f>SUM(I29:I30)</f>
        <v>22945.54</v>
      </c>
      <c r="J32" s="543">
        <f>SUM(J29:J30)</f>
        <v>22945.54</v>
      </c>
      <c r="K32" s="544">
        <f>SUM(K29:K30)</f>
        <v>22945.54</v>
      </c>
      <c r="L32" s="543">
        <f t="shared" ref="L32:M32" si="7">SUM(L29:L30)</f>
        <v>22976.05</v>
      </c>
      <c r="M32" s="543">
        <f t="shared" si="7"/>
        <v>22976.05</v>
      </c>
      <c r="N32" s="544">
        <f>SUM(N29:N31)</f>
        <v>22976.05</v>
      </c>
      <c r="O32" s="544">
        <f>SUM(O29:O31)</f>
        <v>73850.430000000008</v>
      </c>
      <c r="P32" s="512"/>
    </row>
    <row r="33" spans="1:18" x14ac:dyDescent="0.3">
      <c r="A33" s="545" t="s">
        <v>4713</v>
      </c>
      <c r="B33" s="546"/>
      <c r="C33" s="546"/>
      <c r="D33" s="547">
        <f t="shared" ref="D33:M33" si="8">D11+D27-D32</f>
        <v>1247261.5800000005</v>
      </c>
      <c r="E33" s="547">
        <f t="shared" si="8"/>
        <v>2624864.7200000007</v>
      </c>
      <c r="F33" s="548">
        <f t="shared" si="8"/>
        <v>15057.630000001263</v>
      </c>
      <c r="G33" s="549">
        <f t="shared" si="8"/>
        <v>4233790.4400000004</v>
      </c>
      <c r="H33" s="550">
        <f t="shared" si="8"/>
        <v>2972436.3800000022</v>
      </c>
      <c r="I33" s="551">
        <f t="shared" si="8"/>
        <v>1034396.8799999983</v>
      </c>
      <c r="J33" s="547">
        <f t="shared" si="8"/>
        <v>1693364.8899999941</v>
      </c>
      <c r="K33" s="547">
        <f t="shared" si="8"/>
        <v>1616451.489999997</v>
      </c>
      <c r="L33" s="551">
        <f t="shared" si="8"/>
        <v>1462467.5400000059</v>
      </c>
      <c r="M33" s="547">
        <f t="shared" si="8"/>
        <v>2337492.1599999899</v>
      </c>
      <c r="N33" s="547">
        <f>N11+N27-N32</f>
        <v>-546283.09000000963</v>
      </c>
      <c r="O33" s="552">
        <f>O11+O27-O32</f>
        <v>-1109016.4300000023</v>
      </c>
    </row>
    <row r="34" spans="1:18" ht="18" thickBot="1" x14ac:dyDescent="0.35">
      <c r="A34" s="524" t="s">
        <v>4714</v>
      </c>
      <c r="B34" s="524"/>
      <c r="C34" s="524"/>
      <c r="D34" s="553">
        <f t="shared" ref="D34:M34" si="9">-D33*30%</f>
        <v>-374178.47400000016</v>
      </c>
      <c r="E34" s="553">
        <f t="shared" si="9"/>
        <v>-787459.4160000002</v>
      </c>
      <c r="F34" s="554">
        <f t="shared" si="9"/>
        <v>-4517.289000000379</v>
      </c>
      <c r="G34" s="553">
        <f t="shared" si="9"/>
        <v>-1270137.132</v>
      </c>
      <c r="H34" s="555">
        <f t="shared" si="9"/>
        <v>-891730.91400000069</v>
      </c>
      <c r="I34" s="553">
        <f t="shared" si="9"/>
        <v>-310319.06399999949</v>
      </c>
      <c r="J34" s="553">
        <f t="shared" si="9"/>
        <v>-508009.4669999982</v>
      </c>
      <c r="K34" s="553">
        <f t="shared" si="9"/>
        <v>-484935.44699999905</v>
      </c>
      <c r="L34" s="553">
        <f t="shared" si="9"/>
        <v>-438740.26200000173</v>
      </c>
      <c r="M34" s="553">
        <f t="shared" si="9"/>
        <v>-701247.6479999969</v>
      </c>
      <c r="N34" s="553">
        <v>0</v>
      </c>
      <c r="O34" s="553">
        <v>0</v>
      </c>
      <c r="P34" s="556"/>
    </row>
    <row r="35" spans="1:18" ht="18" thickBot="1" x14ac:dyDescent="0.35">
      <c r="A35" s="726" t="s">
        <v>4715</v>
      </c>
      <c r="B35" s="727"/>
      <c r="C35" s="728"/>
      <c r="D35" s="557">
        <f t="shared" ref="D35:M35" si="10">D33+D34</f>
        <v>873083.10600000038</v>
      </c>
      <c r="E35" s="557">
        <f t="shared" si="10"/>
        <v>1837405.3040000005</v>
      </c>
      <c r="F35" s="558">
        <f t="shared" si="10"/>
        <v>10540.341000000884</v>
      </c>
      <c r="G35" s="557">
        <f t="shared" si="10"/>
        <v>2963653.3080000002</v>
      </c>
      <c r="H35" s="559">
        <f t="shared" si="10"/>
        <v>2080705.4660000014</v>
      </c>
      <c r="I35" s="559">
        <f t="shared" si="10"/>
        <v>724077.81599999871</v>
      </c>
      <c r="J35" s="557">
        <f t="shared" si="10"/>
        <v>1185355.4229999958</v>
      </c>
      <c r="K35" s="557">
        <f t="shared" si="10"/>
        <v>1131516.042999998</v>
      </c>
      <c r="L35" s="559">
        <f t="shared" si="10"/>
        <v>1023727.2780000041</v>
      </c>
      <c r="M35" s="557">
        <f t="shared" si="10"/>
        <v>1636244.5119999931</v>
      </c>
      <c r="N35" s="557">
        <f>N33+N34</f>
        <v>-546283.09000000963</v>
      </c>
      <c r="O35" s="557">
        <f>O33+O34</f>
        <v>-1109016.4300000023</v>
      </c>
    </row>
    <row r="36" spans="1:18" s="495" customFormat="1" ht="18" thickBot="1" x14ac:dyDescent="0.35">
      <c r="A36" s="730" t="s">
        <v>4716</v>
      </c>
      <c r="B36" s="731"/>
      <c r="C36" s="732">
        <f t="shared" ref="C36" si="11">IF(C34&gt;0,C34*9%,0)</f>
        <v>0</v>
      </c>
      <c r="D36" s="508">
        <f>IF(D35&gt;0,D35*0.09,0)</f>
        <v>78577.479540000029</v>
      </c>
      <c r="E36" s="508">
        <f>IF(E35&gt;0,E35*0.09,0)</f>
        <v>165366.47736000005</v>
      </c>
      <c r="F36" s="560">
        <f>IF(F35&gt;0,F35*0.09,0)</f>
        <v>948.63069000007954</v>
      </c>
      <c r="G36" s="561">
        <f>IF(G35&gt;0,G35*0.09,0)</f>
        <v>266728.79772000003</v>
      </c>
      <c r="H36" s="562">
        <f>IF(H35&gt;0,H33*0.09,0)</f>
        <v>267519.27420000022</v>
      </c>
      <c r="I36" s="561">
        <f>IF(I35&gt;0,I35*0.09,0)</f>
        <v>65167.003439999884</v>
      </c>
      <c r="J36" s="508">
        <f t="shared" ref="J36:M36" si="12">IF(J33&gt;0,J33*0.09,0)</f>
        <v>152402.84009999945</v>
      </c>
      <c r="K36" s="508">
        <f>IF(K33&gt;0,K33*0.09,0)</f>
        <v>145480.63409999973</v>
      </c>
      <c r="L36" s="508">
        <f>IF(L33&gt;0,L33*0.09,0)</f>
        <v>131622.07860000053</v>
      </c>
      <c r="M36" s="508">
        <f t="shared" si="12"/>
        <v>210374.29439999908</v>
      </c>
      <c r="N36" s="508">
        <f>IF(N33&gt;0,N33*0.09,0)</f>
        <v>0</v>
      </c>
      <c r="O36" s="508">
        <f>IF(O33&gt;0,O33*0.09,0)</f>
        <v>0</v>
      </c>
      <c r="P36" s="563"/>
      <c r="R36" s="518"/>
    </row>
    <row r="37" spans="1:18" x14ac:dyDescent="0.3">
      <c r="A37" s="524"/>
      <c r="B37" s="564"/>
      <c r="C37" s="564"/>
      <c r="D37" s="565"/>
      <c r="E37" s="565"/>
      <c r="F37" s="566"/>
      <c r="G37" s="565"/>
      <c r="H37" s="567"/>
      <c r="I37" s="565"/>
      <c r="J37" s="565"/>
      <c r="K37" s="565"/>
      <c r="L37" s="565"/>
      <c r="M37" s="565"/>
      <c r="N37" s="565"/>
      <c r="O37" s="565"/>
    </row>
    <row r="38" spans="1:18" x14ac:dyDescent="0.3">
      <c r="A38" s="752" t="s">
        <v>4717</v>
      </c>
      <c r="B38" s="753"/>
      <c r="C38" s="754"/>
      <c r="D38" s="565"/>
      <c r="E38" s="565"/>
      <c r="F38" s="565"/>
      <c r="G38" s="565"/>
      <c r="H38" s="565"/>
      <c r="I38" s="565"/>
      <c r="J38" s="565"/>
      <c r="K38" s="565"/>
      <c r="L38" s="565"/>
      <c r="M38" s="565"/>
      <c r="N38" s="565"/>
      <c r="O38" s="565"/>
    </row>
    <row r="39" spans="1:18" x14ac:dyDescent="0.3">
      <c r="A39" s="524" t="s">
        <v>4718</v>
      </c>
      <c r="B39" s="564"/>
      <c r="C39" s="564">
        <v>0</v>
      </c>
      <c r="D39" s="532">
        <f>C44</f>
        <v>0</v>
      </c>
      <c r="E39" s="532">
        <f>D44</f>
        <v>78577.479540000029</v>
      </c>
      <c r="F39" s="532">
        <f>E42+E44</f>
        <v>165366.47736000005</v>
      </c>
      <c r="G39" s="532">
        <f>F42</f>
        <v>165366.47736000005</v>
      </c>
      <c r="H39" s="532">
        <f>G42+G44</f>
        <v>266728.79772000003</v>
      </c>
      <c r="I39" s="532">
        <f>H42+H44</f>
        <v>267519.27420000022</v>
      </c>
      <c r="J39" s="532">
        <f>I42</f>
        <v>267519.27420000022</v>
      </c>
      <c r="K39" s="532">
        <f>J42</f>
        <v>267519.27420000022</v>
      </c>
      <c r="L39" s="532">
        <f>K42</f>
        <v>267519.27420000022</v>
      </c>
      <c r="M39" s="532">
        <f>L42</f>
        <v>267519.27420000022</v>
      </c>
      <c r="N39" s="532">
        <f>M42</f>
        <v>267519.27420000022</v>
      </c>
      <c r="O39" s="532">
        <f t="shared" ref="O39" si="13">N42</f>
        <v>267519.27420000022</v>
      </c>
    </row>
    <row r="40" spans="1:18" x14ac:dyDescent="0.3">
      <c r="A40" s="489" t="s">
        <v>4719</v>
      </c>
      <c r="B40" s="564"/>
      <c r="C40" s="564">
        <v>0</v>
      </c>
      <c r="D40" s="565">
        <v>0</v>
      </c>
      <c r="E40" s="565">
        <v>0</v>
      </c>
      <c r="F40" s="565">
        <v>0</v>
      </c>
      <c r="G40" s="565">
        <v>0</v>
      </c>
      <c r="H40" s="565">
        <v>0</v>
      </c>
      <c r="I40" s="565">
        <v>0</v>
      </c>
      <c r="J40" s="565">
        <v>0</v>
      </c>
      <c r="K40" s="565">
        <v>0</v>
      </c>
      <c r="L40" s="565">
        <v>0</v>
      </c>
      <c r="M40" s="565">
        <v>0</v>
      </c>
      <c r="N40" s="565">
        <v>0</v>
      </c>
      <c r="O40" s="565">
        <v>0</v>
      </c>
    </row>
    <row r="41" spans="1:18" ht="18" thickBot="1" x14ac:dyDescent="0.35">
      <c r="A41" s="524"/>
      <c r="B41" s="564"/>
      <c r="C41" s="564"/>
      <c r="D41" s="565"/>
      <c r="E41" s="565"/>
      <c r="F41" s="565"/>
      <c r="G41" s="565"/>
      <c r="H41" s="565"/>
      <c r="I41" s="565"/>
      <c r="J41" s="565"/>
      <c r="K41" s="565"/>
      <c r="L41" s="565"/>
      <c r="M41" s="565"/>
      <c r="N41" s="565"/>
      <c r="O41" s="565"/>
    </row>
    <row r="42" spans="1:18" s="495" customFormat="1" ht="18" thickBot="1" x14ac:dyDescent="0.35">
      <c r="A42" s="730" t="s">
        <v>4720</v>
      </c>
      <c r="B42" s="731">
        <v>0</v>
      </c>
      <c r="C42" s="732">
        <f t="shared" ref="C42:E42" si="14">SUM(C39:C41)</f>
        <v>0</v>
      </c>
      <c r="D42" s="508">
        <f t="shared" si="14"/>
        <v>0</v>
      </c>
      <c r="E42" s="508">
        <f t="shared" si="14"/>
        <v>78577.479540000029</v>
      </c>
      <c r="F42" s="508">
        <f>SUM(F39:F41)</f>
        <v>165366.47736000005</v>
      </c>
      <c r="G42" s="508">
        <f>SUM(G39:G41)</f>
        <v>165366.47736000005</v>
      </c>
      <c r="H42" s="508">
        <f>SUM(H39:H41)</f>
        <v>266728.79772000003</v>
      </c>
      <c r="I42" s="508">
        <f>SUM(I39:I41)</f>
        <v>267519.27420000022</v>
      </c>
      <c r="J42" s="508">
        <f t="shared" ref="J42:M42" si="15">SUM(J39:J41)</f>
        <v>267519.27420000022</v>
      </c>
      <c r="K42" s="508">
        <f>SUM(K39:K41)</f>
        <v>267519.27420000022</v>
      </c>
      <c r="L42" s="508">
        <f t="shared" si="15"/>
        <v>267519.27420000022</v>
      </c>
      <c r="M42" s="508">
        <f t="shared" si="15"/>
        <v>267519.27420000022</v>
      </c>
      <c r="N42" s="508">
        <f>SUM(N39:N41)</f>
        <v>267519.27420000022</v>
      </c>
      <c r="O42" s="508">
        <f>SUM(O39:O41)</f>
        <v>267519.27420000022</v>
      </c>
      <c r="P42" s="494"/>
    </row>
    <row r="43" spans="1:18" ht="18" thickBot="1" x14ac:dyDescent="0.35">
      <c r="A43" s="531"/>
      <c r="B43" s="568"/>
      <c r="C43" s="568"/>
      <c r="D43" s="565"/>
      <c r="E43" s="565"/>
      <c r="F43" s="565"/>
      <c r="G43" s="565"/>
      <c r="H43" s="565"/>
      <c r="I43" s="565"/>
      <c r="J43" s="565"/>
      <c r="K43" s="565"/>
      <c r="L43" s="565"/>
      <c r="M43" s="565"/>
      <c r="N43" s="565"/>
      <c r="O43" s="565"/>
    </row>
    <row r="44" spans="1:18" s="495" customFormat="1" ht="21" thickBot="1" x14ac:dyDescent="0.35">
      <c r="A44" s="733" t="s">
        <v>4721</v>
      </c>
      <c r="B44" s="734"/>
      <c r="C44" s="735"/>
      <c r="D44" s="508">
        <f t="shared" ref="D44" si="16">D36-D42</f>
        <v>78577.479540000029</v>
      </c>
      <c r="E44" s="508">
        <f>E36-E42</f>
        <v>86788.997820000019</v>
      </c>
      <c r="F44" s="508">
        <f>F36-F42</f>
        <v>-164417.84666999997</v>
      </c>
      <c r="G44" s="508">
        <f>G36-G42</f>
        <v>101362.32035999998</v>
      </c>
      <c r="H44" s="508">
        <f>H36-H42</f>
        <v>790.47648000018671</v>
      </c>
      <c r="I44" s="508">
        <f>I36-I42</f>
        <v>-202352.27076000033</v>
      </c>
      <c r="J44" s="508">
        <f t="shared" ref="J44" si="17">J36-J42</f>
        <v>-115116.43410000077</v>
      </c>
      <c r="K44" s="508">
        <f>K36-K42</f>
        <v>-122038.64010000048</v>
      </c>
      <c r="L44" s="508">
        <f>L36-L42</f>
        <v>-135897.19559999969</v>
      </c>
      <c r="M44" s="508">
        <f>M36-M42</f>
        <v>-57144.979800001136</v>
      </c>
      <c r="N44" s="508">
        <f>N36-N42</f>
        <v>-267519.27420000022</v>
      </c>
      <c r="O44" s="508">
        <f>O36-O42</f>
        <v>-267519.27420000022</v>
      </c>
      <c r="P44" s="494"/>
    </row>
    <row r="45" spans="1:18" s="495" customFormat="1" x14ac:dyDescent="0.3">
      <c r="P45" s="494"/>
    </row>
    <row r="46" spans="1:18" s="495" customFormat="1" x14ac:dyDescent="0.3">
      <c r="A46" s="569"/>
      <c r="B46" s="570"/>
      <c r="C46" s="570"/>
      <c r="D46" s="571"/>
      <c r="E46" s="571"/>
      <c r="F46" s="571"/>
      <c r="G46" s="571"/>
      <c r="H46" s="571"/>
      <c r="I46" s="571"/>
      <c r="J46" s="571"/>
      <c r="K46" s="571"/>
      <c r="L46" s="571"/>
      <c r="M46" s="571"/>
      <c r="N46" s="571"/>
      <c r="O46" s="571"/>
      <c r="P46" s="494"/>
    </row>
    <row r="47" spans="1:18" s="495" customFormat="1" x14ac:dyDescent="0.3">
      <c r="A47" s="572"/>
      <c r="B47" s="573"/>
      <c r="C47" s="573"/>
      <c r="D47" s="574"/>
      <c r="E47" s="574"/>
      <c r="F47" s="574"/>
      <c r="G47" s="574"/>
      <c r="H47" s="574"/>
      <c r="I47" s="574"/>
      <c r="J47" s="574"/>
      <c r="K47" s="574"/>
      <c r="L47" s="574"/>
      <c r="M47" s="574"/>
      <c r="N47" s="574"/>
      <c r="O47" s="574"/>
      <c r="P47" s="494"/>
    </row>
    <row r="48" spans="1:18" s="495" customFormat="1" x14ac:dyDescent="0.3">
      <c r="P48" s="494"/>
    </row>
    <row r="49" spans="1:16" x14ac:dyDescent="0.3">
      <c r="A49" s="736" t="s">
        <v>4722</v>
      </c>
      <c r="B49" s="483" t="s">
        <v>4683</v>
      </c>
      <c r="C49" s="484" t="s">
        <v>281</v>
      </c>
      <c r="D49" s="485" t="s">
        <v>4684</v>
      </c>
      <c r="E49" s="485" t="s">
        <v>4685</v>
      </c>
      <c r="F49" s="485" t="s">
        <v>4686</v>
      </c>
      <c r="G49" s="485" t="s">
        <v>4687</v>
      </c>
      <c r="H49" s="485" t="s">
        <v>4688</v>
      </c>
      <c r="I49" s="485" t="s">
        <v>4689</v>
      </c>
      <c r="J49" s="485" t="s">
        <v>4690</v>
      </c>
      <c r="K49" s="485" t="s">
        <v>4691</v>
      </c>
      <c r="L49" s="485" t="s">
        <v>4692</v>
      </c>
      <c r="M49" s="485" t="s">
        <v>4693</v>
      </c>
      <c r="N49" s="485" t="s">
        <v>4694</v>
      </c>
      <c r="O49" s="485" t="s">
        <v>4695</v>
      </c>
    </row>
    <row r="50" spans="1:16" x14ac:dyDescent="0.3">
      <c r="A50" s="737"/>
      <c r="B50" s="488">
        <v>3</v>
      </c>
      <c r="C50" s="489" t="s">
        <v>56</v>
      </c>
      <c r="D50" s="492">
        <f t="shared" ref="D50:N51" si="18">D7</f>
        <v>9473052.0600000005</v>
      </c>
      <c r="E50" s="490">
        <f t="shared" si="18"/>
        <v>19581925.629999999</v>
      </c>
      <c r="F50" s="492">
        <f t="shared" si="18"/>
        <v>26107789.34</v>
      </c>
      <c r="G50" s="492">
        <f t="shared" si="18"/>
        <v>39850436.390000001</v>
      </c>
      <c r="H50" s="491">
        <f t="shared" si="18"/>
        <v>47289761.380000003</v>
      </c>
      <c r="I50" s="492">
        <f t="shared" si="18"/>
        <v>58270033.719999999</v>
      </c>
      <c r="J50" s="492">
        <f t="shared" si="18"/>
        <v>68508548.799999997</v>
      </c>
      <c r="K50" s="492">
        <f t="shared" si="18"/>
        <v>77878509.329999998</v>
      </c>
      <c r="L50" s="492">
        <f t="shared" si="18"/>
        <v>86966560.060000002</v>
      </c>
      <c r="M50" s="492">
        <f>M7</f>
        <v>97854416.489999995</v>
      </c>
      <c r="N50" s="492">
        <f>N7</f>
        <v>106433883.59999999</v>
      </c>
      <c r="O50" s="491">
        <f>O7</f>
        <v>119101212.62</v>
      </c>
    </row>
    <row r="51" spans="1:16" x14ac:dyDescent="0.3">
      <c r="A51" s="575"/>
      <c r="B51" s="497">
        <v>4</v>
      </c>
      <c r="C51" s="498" t="s">
        <v>204</v>
      </c>
      <c r="D51" s="576">
        <f t="shared" si="18"/>
        <v>8384058.8799999999</v>
      </c>
      <c r="E51" s="499">
        <f t="shared" si="18"/>
        <v>17552573.829999998</v>
      </c>
      <c r="F51" s="492">
        <f t="shared" si="18"/>
        <v>27162894.309999999</v>
      </c>
      <c r="G51" s="492">
        <f t="shared" si="18"/>
        <v>36816461.890000001</v>
      </c>
      <c r="H51" s="491">
        <f t="shared" si="18"/>
        <v>45993774.890000001</v>
      </c>
      <c r="I51" s="492">
        <f t="shared" si="18"/>
        <v>58268983.640000001</v>
      </c>
      <c r="J51" s="492">
        <f t="shared" si="18"/>
        <v>67932268.450000003</v>
      </c>
      <c r="K51" s="492">
        <f t="shared" si="18"/>
        <v>77641537.030000001</v>
      </c>
      <c r="L51" s="492">
        <f t="shared" si="18"/>
        <v>86955557.159999996</v>
      </c>
      <c r="M51" s="492">
        <f>M8</f>
        <v>97018241.620000005</v>
      </c>
      <c r="N51" s="492">
        <f t="shared" si="18"/>
        <v>108768856.34</v>
      </c>
      <c r="O51" s="491">
        <f>O8</f>
        <v>121552714.43000001</v>
      </c>
    </row>
    <row r="52" spans="1:16" ht="23.25" customHeight="1" x14ac:dyDescent="0.3">
      <c r="A52" s="738" t="s">
        <v>4723</v>
      </c>
      <c r="B52" s="739"/>
      <c r="C52" s="740"/>
      <c r="D52" s="577">
        <f t="shared" ref="D52:E52" si="19">D50-D51</f>
        <v>1088993.1800000006</v>
      </c>
      <c r="E52" s="577">
        <f t="shared" si="19"/>
        <v>2029351.8000000007</v>
      </c>
      <c r="F52" s="577">
        <f>F50-F51</f>
        <v>-1055104.9699999988</v>
      </c>
      <c r="G52" s="577">
        <f>G50-G51</f>
        <v>3033974.5</v>
      </c>
      <c r="H52" s="578">
        <f>H50-H51</f>
        <v>1295986.4900000021</v>
      </c>
      <c r="I52" s="577">
        <f t="shared" ref="I52:O52" si="20">I50-I51</f>
        <v>1050.0799999982119</v>
      </c>
      <c r="J52" s="577">
        <f t="shared" si="20"/>
        <v>576280.34999999404</v>
      </c>
      <c r="K52" s="577">
        <f t="shared" si="20"/>
        <v>236972.29999999702</v>
      </c>
      <c r="L52" s="577">
        <f t="shared" si="20"/>
        <v>11002.90000000596</v>
      </c>
      <c r="M52" s="579">
        <f t="shared" si="20"/>
        <v>836174.86999998987</v>
      </c>
      <c r="N52" s="577">
        <f t="shared" si="20"/>
        <v>-2334972.7400000095</v>
      </c>
      <c r="O52" s="578">
        <f t="shared" si="20"/>
        <v>-2451501.8100000024</v>
      </c>
    </row>
    <row r="53" spans="1:16" ht="18" thickBot="1" x14ac:dyDescent="0.35">
      <c r="A53" s="496" t="s">
        <v>4724</v>
      </c>
      <c r="B53" s="580" t="s">
        <v>4698</v>
      </c>
      <c r="C53" s="581" t="s">
        <v>4699</v>
      </c>
      <c r="D53" s="582">
        <f>D10</f>
        <v>0</v>
      </c>
      <c r="E53" s="583">
        <f>'[2]02.2022'!G1671</f>
        <v>208943.06</v>
      </c>
      <c r="F53" s="583">
        <f t="shared" ref="F53:L53" si="21">F10</f>
        <v>579989.31000000006</v>
      </c>
      <c r="G53" s="584">
        <f t="shared" si="21"/>
        <v>579989.31000000006</v>
      </c>
      <c r="H53" s="584">
        <f t="shared" si="21"/>
        <v>935173.29</v>
      </c>
      <c r="I53" s="584">
        <f t="shared" si="21"/>
        <v>135998.71</v>
      </c>
      <c r="J53" s="583">
        <f t="shared" si="21"/>
        <v>135998.71</v>
      </c>
      <c r="K53" s="584">
        <f t="shared" si="21"/>
        <v>323361.78000000003</v>
      </c>
      <c r="L53" s="583">
        <f t="shared" si="21"/>
        <v>230065.94</v>
      </c>
      <c r="M53" s="583">
        <f>M10</f>
        <v>206354.61</v>
      </c>
      <c r="N53" s="583">
        <f>N10</f>
        <v>426362.01</v>
      </c>
      <c r="O53" s="583">
        <f>O10</f>
        <v>0</v>
      </c>
      <c r="P53" s="556"/>
    </row>
    <row r="54" spans="1:16" s="495" customFormat="1" ht="18" thickBot="1" x14ac:dyDescent="0.35">
      <c r="A54" s="730" t="s">
        <v>4725</v>
      </c>
      <c r="B54" s="731"/>
      <c r="C54" s="732"/>
      <c r="D54" s="508">
        <f>D52+D53</f>
        <v>1088993.1800000006</v>
      </c>
      <c r="E54" s="508">
        <f>E52+E53</f>
        <v>2238294.8600000008</v>
      </c>
      <c r="F54" s="508">
        <f>F52+F53</f>
        <v>-475115.65999999875</v>
      </c>
      <c r="G54" s="508">
        <f>G52+G53</f>
        <v>3613963.81</v>
      </c>
      <c r="H54" s="508">
        <f t="shared" ref="H54:I54" si="22">H52+H53</f>
        <v>2231159.7800000021</v>
      </c>
      <c r="I54" s="508">
        <f t="shared" si="22"/>
        <v>137048.7899999982</v>
      </c>
      <c r="J54" s="508">
        <f>J52+J53</f>
        <v>712279.059999994</v>
      </c>
      <c r="K54" s="508">
        <f t="shared" ref="K54" si="23">K52+K53</f>
        <v>560334.07999999705</v>
      </c>
      <c r="L54" s="508">
        <f>L52+L53</f>
        <v>241068.84000000596</v>
      </c>
      <c r="M54" s="585">
        <f>M52+M53</f>
        <v>1042529.4799999899</v>
      </c>
      <c r="N54" s="508">
        <f t="shared" ref="N54" si="24">N52+N53</f>
        <v>-1908610.7300000095</v>
      </c>
      <c r="O54" s="508">
        <f>O52+O53</f>
        <v>-2451501.8100000024</v>
      </c>
      <c r="P54" s="586"/>
    </row>
    <row r="55" spans="1:16" s="513" customFormat="1" ht="18" thickBot="1" x14ac:dyDescent="0.3">
      <c r="A55" s="741" t="s">
        <v>4701</v>
      </c>
      <c r="B55" s="742"/>
      <c r="C55" s="743"/>
      <c r="D55" s="511"/>
      <c r="E55" s="511"/>
      <c r="F55" s="511"/>
      <c r="G55" s="511"/>
      <c r="H55" s="511"/>
      <c r="I55" s="511"/>
      <c r="J55" s="511"/>
      <c r="K55" s="511"/>
      <c r="L55" s="511"/>
      <c r="M55" s="511"/>
      <c r="N55" s="511"/>
      <c r="O55" s="511"/>
      <c r="P55" s="512"/>
    </row>
    <row r="56" spans="1:16" x14ac:dyDescent="0.3">
      <c r="A56" s="744" t="s">
        <v>4702</v>
      </c>
      <c r="B56" s="587">
        <v>411111</v>
      </c>
      <c r="C56" s="588" t="s">
        <v>4703</v>
      </c>
      <c r="D56" s="589">
        <f t="shared" ref="D56:O65" si="25">D13</f>
        <v>0</v>
      </c>
      <c r="E56" s="589">
        <f t="shared" si="25"/>
        <v>0</v>
      </c>
      <c r="F56" s="589">
        <f t="shared" si="25"/>
        <v>0</v>
      </c>
      <c r="G56" s="589">
        <f t="shared" si="25"/>
        <v>22161.22</v>
      </c>
      <c r="H56" s="589">
        <f t="shared" si="25"/>
        <v>46696.86</v>
      </c>
      <c r="I56" s="589">
        <f t="shared" si="25"/>
        <v>47574.65</v>
      </c>
      <c r="J56" s="589">
        <f t="shared" si="25"/>
        <v>47574.65</v>
      </c>
      <c r="K56" s="589">
        <f t="shared" si="25"/>
        <v>47574.65</v>
      </c>
      <c r="L56" s="589">
        <f t="shared" si="25"/>
        <v>47574.65</v>
      </c>
      <c r="M56" s="589">
        <f>M13</f>
        <v>47574.65</v>
      </c>
      <c r="N56" s="589">
        <f t="shared" si="25"/>
        <v>47574.65</v>
      </c>
      <c r="O56" s="589">
        <f>O13</f>
        <v>47574.65</v>
      </c>
      <c r="P56" s="556"/>
    </row>
    <row r="57" spans="1:16" x14ac:dyDescent="0.3">
      <c r="A57" s="744"/>
      <c r="B57" s="523">
        <v>411113</v>
      </c>
      <c r="C57" s="515" t="s">
        <v>897</v>
      </c>
      <c r="D57" s="553">
        <f t="shared" si="25"/>
        <v>2089.2199999999998</v>
      </c>
      <c r="E57" s="589">
        <f t="shared" si="25"/>
        <v>16283.03</v>
      </c>
      <c r="F57" s="589">
        <f t="shared" si="25"/>
        <v>16283.03</v>
      </c>
      <c r="G57" s="589">
        <f t="shared" si="25"/>
        <v>24525.7</v>
      </c>
      <c r="H57" s="589">
        <f t="shared" si="25"/>
        <v>24525.7</v>
      </c>
      <c r="I57" s="589">
        <f t="shared" si="25"/>
        <v>25354.66</v>
      </c>
      <c r="J57" s="589">
        <f t="shared" si="25"/>
        <v>25354.66</v>
      </c>
      <c r="K57" s="589">
        <f t="shared" si="25"/>
        <v>25354.66</v>
      </c>
      <c r="L57" s="589">
        <f t="shared" si="25"/>
        <v>25354.66</v>
      </c>
      <c r="M57" s="589">
        <f t="shared" si="25"/>
        <v>31553.68</v>
      </c>
      <c r="N57" s="589">
        <f t="shared" si="25"/>
        <v>31553.68</v>
      </c>
      <c r="O57" s="589">
        <f>O14</f>
        <v>31857.77</v>
      </c>
      <c r="P57" s="556"/>
    </row>
    <row r="58" spans="1:16" x14ac:dyDescent="0.3">
      <c r="A58" s="744"/>
      <c r="B58" s="523">
        <v>411310</v>
      </c>
      <c r="C58" s="515" t="s">
        <v>215</v>
      </c>
      <c r="D58" s="553">
        <f t="shared" si="25"/>
        <v>438</v>
      </c>
      <c r="E58" s="589">
        <f t="shared" si="25"/>
        <v>876</v>
      </c>
      <c r="F58" s="589">
        <f t="shared" si="25"/>
        <v>1314</v>
      </c>
      <c r="G58" s="589">
        <f t="shared" si="25"/>
        <v>1752</v>
      </c>
      <c r="H58" s="589">
        <f t="shared" si="25"/>
        <v>2190</v>
      </c>
      <c r="I58" s="589">
        <f t="shared" si="25"/>
        <v>2580</v>
      </c>
      <c r="J58" s="589">
        <f t="shared" si="25"/>
        <v>2996</v>
      </c>
      <c r="K58" s="589">
        <f t="shared" si="25"/>
        <v>3412</v>
      </c>
      <c r="L58" s="589">
        <f t="shared" si="25"/>
        <v>3828</v>
      </c>
      <c r="M58" s="589">
        <f t="shared" si="25"/>
        <v>4244</v>
      </c>
      <c r="N58" s="589">
        <f t="shared" si="25"/>
        <v>4660</v>
      </c>
      <c r="O58" s="589">
        <f>O15</f>
        <v>4880</v>
      </c>
    </row>
    <row r="59" spans="1:16" x14ac:dyDescent="0.3">
      <c r="A59" s="744"/>
      <c r="B59" s="523">
        <v>416211</v>
      </c>
      <c r="C59" s="515" t="s">
        <v>4704</v>
      </c>
      <c r="D59" s="553">
        <f t="shared" si="25"/>
        <v>0</v>
      </c>
      <c r="E59" s="589">
        <f t="shared" si="25"/>
        <v>0</v>
      </c>
      <c r="F59" s="589">
        <f t="shared" si="25"/>
        <v>0</v>
      </c>
      <c r="G59" s="589">
        <f t="shared" si="25"/>
        <v>0</v>
      </c>
      <c r="H59" s="590">
        <f t="shared" si="25"/>
        <v>0</v>
      </c>
      <c r="I59" s="590">
        <f t="shared" si="25"/>
        <v>0</v>
      </c>
      <c r="J59" s="590">
        <f t="shared" si="25"/>
        <v>0</v>
      </c>
      <c r="K59" s="590">
        <f t="shared" si="25"/>
        <v>0</v>
      </c>
      <c r="L59" s="590">
        <f t="shared" si="25"/>
        <v>0</v>
      </c>
      <c r="M59" s="590">
        <f t="shared" si="25"/>
        <v>0</v>
      </c>
      <c r="N59" s="590">
        <f t="shared" si="25"/>
        <v>0</v>
      </c>
      <c r="O59" s="590">
        <f t="shared" si="25"/>
        <v>0</v>
      </c>
    </row>
    <row r="60" spans="1:16" x14ac:dyDescent="0.3">
      <c r="A60" s="744"/>
      <c r="B60" s="523">
        <v>421110</v>
      </c>
      <c r="C60" s="515" t="s">
        <v>4703</v>
      </c>
      <c r="D60" s="553">
        <f t="shared" si="25"/>
        <v>0</v>
      </c>
      <c r="E60" s="589">
        <f t="shared" si="25"/>
        <v>0</v>
      </c>
      <c r="F60" s="589">
        <f t="shared" si="25"/>
        <v>0</v>
      </c>
      <c r="G60" s="589">
        <f t="shared" si="25"/>
        <v>0</v>
      </c>
      <c r="H60" s="589">
        <f t="shared" si="25"/>
        <v>6193.88</v>
      </c>
      <c r="I60" s="589">
        <f t="shared" si="25"/>
        <v>20913.98</v>
      </c>
      <c r="J60" s="589">
        <f t="shared" si="25"/>
        <v>57368.88</v>
      </c>
      <c r="K60" s="589">
        <f t="shared" si="25"/>
        <v>84127.62</v>
      </c>
      <c r="L60" s="589">
        <f t="shared" si="25"/>
        <v>84127.62</v>
      </c>
      <c r="M60" s="589">
        <f t="shared" si="25"/>
        <v>84127.62</v>
      </c>
      <c r="N60" s="589">
        <f t="shared" si="25"/>
        <v>84127.62</v>
      </c>
      <c r="O60" s="589">
        <f>O17</f>
        <v>96358.92</v>
      </c>
    </row>
    <row r="61" spans="1:16" x14ac:dyDescent="0.3">
      <c r="A61" s="744"/>
      <c r="B61" s="523">
        <v>421112</v>
      </c>
      <c r="C61" s="515" t="s">
        <v>897</v>
      </c>
      <c r="D61" s="553">
        <f t="shared" si="25"/>
        <v>0</v>
      </c>
      <c r="E61" s="589">
        <f t="shared" si="25"/>
        <v>0</v>
      </c>
      <c r="F61" s="589">
        <f t="shared" si="25"/>
        <v>0</v>
      </c>
      <c r="G61" s="589">
        <f t="shared" si="25"/>
        <v>0</v>
      </c>
      <c r="H61" s="590">
        <f t="shared" si="25"/>
        <v>0</v>
      </c>
      <c r="I61" s="590">
        <f t="shared" si="25"/>
        <v>0</v>
      </c>
      <c r="J61" s="590">
        <f t="shared" si="25"/>
        <v>0</v>
      </c>
      <c r="K61" s="590">
        <f t="shared" si="25"/>
        <v>0</v>
      </c>
      <c r="L61" s="590">
        <f t="shared" si="25"/>
        <v>0</v>
      </c>
      <c r="M61" s="590">
        <f t="shared" si="25"/>
        <v>0</v>
      </c>
      <c r="N61" s="590">
        <f t="shared" si="25"/>
        <v>0</v>
      </c>
      <c r="O61" s="591">
        <f t="shared" si="25"/>
        <v>0</v>
      </c>
    </row>
    <row r="62" spans="1:16" x14ac:dyDescent="0.3">
      <c r="A62" s="744"/>
      <c r="B62" s="523">
        <v>421310</v>
      </c>
      <c r="C62" s="515" t="s">
        <v>215</v>
      </c>
      <c r="D62" s="553">
        <f t="shared" si="25"/>
        <v>663</v>
      </c>
      <c r="E62" s="589">
        <f t="shared" si="25"/>
        <v>1326</v>
      </c>
      <c r="F62" s="589">
        <f t="shared" si="25"/>
        <v>1989</v>
      </c>
      <c r="G62" s="589">
        <f t="shared" si="25"/>
        <v>2652</v>
      </c>
      <c r="H62" s="589">
        <f t="shared" si="25"/>
        <v>3315</v>
      </c>
      <c r="I62" s="589">
        <f t="shared" si="25"/>
        <v>3964</v>
      </c>
      <c r="J62" s="589">
        <f t="shared" si="25"/>
        <v>4582</v>
      </c>
      <c r="K62" s="589">
        <f t="shared" si="25"/>
        <v>5200</v>
      </c>
      <c r="L62" s="589">
        <f t="shared" si="25"/>
        <v>5818</v>
      </c>
      <c r="M62" s="589">
        <f t="shared" si="25"/>
        <v>6436</v>
      </c>
      <c r="N62" s="589">
        <f t="shared" si="25"/>
        <v>7054</v>
      </c>
      <c r="O62" s="589">
        <f>O19</f>
        <v>7588</v>
      </c>
    </row>
    <row r="63" spans="1:16" x14ac:dyDescent="0.3">
      <c r="A63" s="744"/>
      <c r="B63" s="523">
        <v>42541</v>
      </c>
      <c r="C63" s="524" t="s">
        <v>4705</v>
      </c>
      <c r="D63" s="553">
        <f t="shared" si="25"/>
        <v>0</v>
      </c>
      <c r="E63" s="589">
        <f t="shared" si="25"/>
        <v>0</v>
      </c>
      <c r="F63" s="589">
        <f t="shared" si="25"/>
        <v>178512.66</v>
      </c>
      <c r="G63" s="589">
        <f t="shared" si="25"/>
        <v>178512.66</v>
      </c>
      <c r="H63" s="589">
        <f t="shared" si="25"/>
        <v>178512.66</v>
      </c>
      <c r="I63" s="589">
        <f t="shared" si="25"/>
        <v>178512.66</v>
      </c>
      <c r="J63" s="589">
        <f t="shared" si="25"/>
        <v>178512.66</v>
      </c>
      <c r="K63" s="589">
        <f t="shared" si="25"/>
        <v>178512.66</v>
      </c>
      <c r="L63" s="589">
        <f t="shared" si="25"/>
        <v>228883.71</v>
      </c>
      <c r="M63" s="589">
        <f t="shared" si="25"/>
        <v>228883.71</v>
      </c>
      <c r="N63" s="589">
        <f t="shared" si="25"/>
        <v>228883.71</v>
      </c>
      <c r="O63" s="589">
        <f>O20</f>
        <v>228883.71</v>
      </c>
    </row>
    <row r="64" spans="1:16" x14ac:dyDescent="0.3">
      <c r="A64" s="744"/>
      <c r="B64" s="523">
        <v>42542</v>
      </c>
      <c r="C64" s="515" t="s">
        <v>4706</v>
      </c>
      <c r="D64" s="553">
        <f t="shared" si="25"/>
        <v>0</v>
      </c>
      <c r="E64" s="589">
        <f t="shared" si="25"/>
        <v>0</v>
      </c>
      <c r="F64" s="589">
        <f t="shared" si="25"/>
        <v>0</v>
      </c>
      <c r="G64" s="590">
        <f t="shared" si="25"/>
        <v>0</v>
      </c>
      <c r="H64" s="590">
        <f t="shared" si="25"/>
        <v>0</v>
      </c>
      <c r="I64" s="590">
        <f t="shared" si="25"/>
        <v>0</v>
      </c>
      <c r="J64" s="590">
        <f t="shared" si="25"/>
        <v>0</v>
      </c>
      <c r="K64" s="590">
        <f t="shared" si="25"/>
        <v>0</v>
      </c>
      <c r="L64" s="590">
        <f t="shared" si="25"/>
        <v>0</v>
      </c>
      <c r="M64" s="590">
        <f t="shared" si="25"/>
        <v>0</v>
      </c>
      <c r="N64" s="590">
        <f t="shared" si="25"/>
        <v>0</v>
      </c>
      <c r="O64" s="590">
        <f t="shared" si="25"/>
        <v>0</v>
      </c>
    </row>
    <row r="65" spans="1:18" x14ac:dyDescent="0.3">
      <c r="A65" s="744"/>
      <c r="B65" s="523">
        <v>42543</v>
      </c>
      <c r="C65" s="524" t="s">
        <v>912</v>
      </c>
      <c r="D65" s="553">
        <f t="shared" si="25"/>
        <v>0</v>
      </c>
      <c r="E65" s="589">
        <f t="shared" si="25"/>
        <v>0</v>
      </c>
      <c r="F65" s="589">
        <f t="shared" si="25"/>
        <v>0</v>
      </c>
      <c r="G65" s="590">
        <f t="shared" si="25"/>
        <v>0</v>
      </c>
      <c r="H65" s="590">
        <f t="shared" si="25"/>
        <v>0</v>
      </c>
      <c r="I65" s="590">
        <f t="shared" si="25"/>
        <v>0</v>
      </c>
      <c r="J65" s="590">
        <f t="shared" si="25"/>
        <v>0</v>
      </c>
      <c r="K65" s="590">
        <f t="shared" si="25"/>
        <v>0</v>
      </c>
      <c r="L65" s="589">
        <f t="shared" si="25"/>
        <v>5067.3599999999997</v>
      </c>
      <c r="M65" s="589">
        <f t="shared" si="25"/>
        <v>5067.3599999999997</v>
      </c>
      <c r="N65" s="589">
        <f t="shared" si="25"/>
        <v>5067.3599999999997</v>
      </c>
      <c r="O65" s="589">
        <f t="shared" si="25"/>
        <v>5067.3599999999997</v>
      </c>
    </row>
    <row r="66" spans="1:18" x14ac:dyDescent="0.3">
      <c r="A66" s="744"/>
      <c r="B66" s="523">
        <v>42544</v>
      </c>
      <c r="C66" s="524" t="s">
        <v>4726</v>
      </c>
      <c r="D66" s="553"/>
      <c r="E66" s="589"/>
      <c r="F66" s="589"/>
      <c r="G66" s="592"/>
      <c r="H66" s="592"/>
      <c r="I66" s="592"/>
      <c r="J66" s="592">
        <v>0</v>
      </c>
      <c r="K66" s="592">
        <v>0</v>
      </c>
      <c r="L66" s="589">
        <f>L23</f>
        <v>2346.3000000000002</v>
      </c>
      <c r="M66" s="589">
        <f>M23</f>
        <v>2346.3000000000002</v>
      </c>
      <c r="N66" s="589">
        <f>N23</f>
        <v>2346.3000000000002</v>
      </c>
      <c r="O66" s="589">
        <f>O23</f>
        <v>2346.3000000000002</v>
      </c>
    </row>
    <row r="67" spans="1:18" x14ac:dyDescent="0.3">
      <c r="A67" s="744"/>
      <c r="B67" s="523">
        <v>42720</v>
      </c>
      <c r="C67" s="524" t="s">
        <v>4708</v>
      </c>
      <c r="D67" s="553">
        <f t="shared" ref="D67:M69" si="26">D24</f>
        <v>134429.18</v>
      </c>
      <c r="E67" s="589">
        <f t="shared" si="26"/>
        <v>268858.34999999998</v>
      </c>
      <c r="F67" s="589">
        <f t="shared" si="26"/>
        <v>283988.84000000003</v>
      </c>
      <c r="G67" s="589">
        <f t="shared" si="26"/>
        <v>373608.29</v>
      </c>
      <c r="H67" s="589">
        <f t="shared" si="26"/>
        <v>463227.74</v>
      </c>
      <c r="I67" s="589">
        <f t="shared" si="26"/>
        <v>601833.38</v>
      </c>
      <c r="J67" s="589">
        <f t="shared" si="26"/>
        <v>648082.22</v>
      </c>
      <c r="K67" s="589">
        <f t="shared" si="26"/>
        <v>694331.06</v>
      </c>
      <c r="L67" s="589">
        <f>L24</f>
        <v>800824.15</v>
      </c>
      <c r="M67" s="589">
        <f t="shared" ref="M67:O69" si="27">M24</f>
        <v>867155.11</v>
      </c>
      <c r="N67" s="589">
        <f t="shared" si="27"/>
        <v>933486.07</v>
      </c>
      <c r="O67" s="589">
        <f t="shared" si="27"/>
        <v>946011.8</v>
      </c>
      <c r="P67" s="556"/>
    </row>
    <row r="68" spans="1:18" x14ac:dyDescent="0.3">
      <c r="A68" s="744"/>
      <c r="B68" s="523">
        <v>426213</v>
      </c>
      <c r="C68" s="515" t="s">
        <v>4704</v>
      </c>
      <c r="D68" s="553">
        <f t="shared" si="26"/>
        <v>20649</v>
      </c>
      <c r="E68" s="589">
        <f t="shared" si="26"/>
        <v>20649</v>
      </c>
      <c r="F68" s="589">
        <f t="shared" si="26"/>
        <v>31031.3</v>
      </c>
      <c r="G68" s="589">
        <f t="shared" si="26"/>
        <v>39560.300000000003</v>
      </c>
      <c r="H68" s="589">
        <f t="shared" si="26"/>
        <v>39560.300000000003</v>
      </c>
      <c r="I68" s="589">
        <f t="shared" si="26"/>
        <v>39560.300000000003</v>
      </c>
      <c r="J68" s="589">
        <f t="shared" si="26"/>
        <v>39560.300000000003</v>
      </c>
      <c r="K68" s="589">
        <f t="shared" si="26"/>
        <v>40550.300000000003</v>
      </c>
      <c r="L68" s="589">
        <f>L25</f>
        <v>40550.300000000003</v>
      </c>
      <c r="M68" s="589">
        <f t="shared" si="27"/>
        <v>40550.300000000003</v>
      </c>
      <c r="N68" s="589">
        <f t="shared" si="27"/>
        <v>40550.300000000003</v>
      </c>
      <c r="O68" s="589">
        <f t="shared" si="27"/>
        <v>45767.3</v>
      </c>
    </row>
    <row r="69" spans="1:18" x14ac:dyDescent="0.3">
      <c r="A69" s="744"/>
      <c r="B69" s="530">
        <v>427121</v>
      </c>
      <c r="C69" s="531" t="s">
        <v>4516</v>
      </c>
      <c r="D69" s="553">
        <f t="shared" si="26"/>
        <v>0</v>
      </c>
      <c r="E69" s="589">
        <f t="shared" si="26"/>
        <v>0</v>
      </c>
      <c r="F69" s="589">
        <f t="shared" si="26"/>
        <v>0</v>
      </c>
      <c r="G69" s="590">
        <f t="shared" si="26"/>
        <v>0</v>
      </c>
      <c r="H69" s="590">
        <f t="shared" si="26"/>
        <v>0</v>
      </c>
      <c r="I69" s="590">
        <f t="shared" si="26"/>
        <v>0</v>
      </c>
      <c r="J69" s="590">
        <f t="shared" si="26"/>
        <v>0</v>
      </c>
      <c r="K69" s="590">
        <f t="shared" si="26"/>
        <v>0</v>
      </c>
      <c r="L69" s="590">
        <f t="shared" si="26"/>
        <v>0</v>
      </c>
      <c r="M69" s="590">
        <f t="shared" si="26"/>
        <v>0</v>
      </c>
      <c r="N69" s="590">
        <f t="shared" si="27"/>
        <v>0</v>
      </c>
      <c r="O69" s="590">
        <f t="shared" si="27"/>
        <v>0</v>
      </c>
    </row>
    <row r="70" spans="1:18" ht="18" thickBot="1" x14ac:dyDescent="0.35">
      <c r="A70" s="593"/>
      <c r="B70" s="594">
        <v>42521</v>
      </c>
      <c r="C70" s="595" t="s">
        <v>255</v>
      </c>
      <c r="D70" s="589">
        <v>0</v>
      </c>
      <c r="E70" s="589">
        <v>0</v>
      </c>
      <c r="F70" s="596">
        <v>0</v>
      </c>
      <c r="G70" s="589">
        <v>0</v>
      </c>
      <c r="H70" s="597">
        <v>0</v>
      </c>
      <c r="I70" s="598">
        <v>0</v>
      </c>
      <c r="J70" s="598">
        <v>0</v>
      </c>
      <c r="K70" s="590">
        <v>0</v>
      </c>
      <c r="L70" s="590">
        <v>0</v>
      </c>
      <c r="M70" s="590">
        <v>0</v>
      </c>
      <c r="N70" s="590">
        <f t="shared" ref="N70:O70" si="28">N36</f>
        <v>0</v>
      </c>
      <c r="O70" s="590">
        <f t="shared" si="28"/>
        <v>0</v>
      </c>
    </row>
    <row r="71" spans="1:18" s="513" customFormat="1" ht="18" thickBot="1" x14ac:dyDescent="0.35">
      <c r="A71" s="741" t="s">
        <v>4709</v>
      </c>
      <c r="B71" s="742"/>
      <c r="C71" s="743"/>
      <c r="D71" s="599">
        <f t="shared" ref="D71:O71" si="29">SUM(D56:D70)</f>
        <v>158268.4</v>
      </c>
      <c r="E71" s="599">
        <f t="shared" si="29"/>
        <v>307992.38</v>
      </c>
      <c r="F71" s="599">
        <f>SUM(F56:F70)</f>
        <v>513118.83</v>
      </c>
      <c r="G71" s="599">
        <f t="shared" si="29"/>
        <v>642772.17000000004</v>
      </c>
      <c r="H71" s="599">
        <f>SUM(H56:H70)</f>
        <v>764222.14</v>
      </c>
      <c r="I71" s="599">
        <f t="shared" si="29"/>
        <v>920293.63000000012</v>
      </c>
      <c r="J71" s="600">
        <f t="shared" si="29"/>
        <v>1004031.37</v>
      </c>
      <c r="K71" s="600">
        <f t="shared" si="29"/>
        <v>1079062.95</v>
      </c>
      <c r="L71" s="600">
        <f t="shared" si="29"/>
        <v>1244374.75</v>
      </c>
      <c r="M71" s="600">
        <f>SUM(M56:M70)</f>
        <v>1317938.73</v>
      </c>
      <c r="N71" s="600">
        <f>SUM(N56:N70)</f>
        <v>1385303.69</v>
      </c>
      <c r="O71" s="600">
        <f t="shared" si="29"/>
        <v>1416335.81</v>
      </c>
      <c r="P71" s="601"/>
      <c r="R71" s="602"/>
    </row>
    <row r="72" spans="1:18" s="513" customFormat="1" ht="18" thickBot="1" x14ac:dyDescent="0.3">
      <c r="A72" s="745" t="s">
        <v>4710</v>
      </c>
      <c r="B72" s="746"/>
      <c r="C72" s="747"/>
      <c r="D72" s="521"/>
      <c r="E72" s="521"/>
      <c r="F72" s="521"/>
      <c r="G72" s="603"/>
      <c r="H72" s="603"/>
      <c r="I72" s="521"/>
      <c r="J72" s="521"/>
      <c r="K72" s="521"/>
      <c r="L72" s="521"/>
      <c r="M72" s="521"/>
      <c r="N72" s="521"/>
      <c r="O72" s="521"/>
      <c r="P72" s="512"/>
      <c r="R72" s="512"/>
    </row>
    <row r="73" spans="1:18" x14ac:dyDescent="0.3">
      <c r="A73" s="748" t="s">
        <v>4711</v>
      </c>
      <c r="B73" s="604">
        <v>33611</v>
      </c>
      <c r="C73" s="605" t="s">
        <v>4235</v>
      </c>
      <c r="D73" s="553">
        <v>0</v>
      </c>
      <c r="E73" s="553">
        <v>0</v>
      </c>
      <c r="F73" s="553">
        <v>0</v>
      </c>
      <c r="G73" s="590">
        <f>G29</f>
        <v>0</v>
      </c>
      <c r="H73" s="590">
        <v>0</v>
      </c>
      <c r="I73" s="590">
        <v>0</v>
      </c>
      <c r="J73" s="590">
        <v>0</v>
      </c>
      <c r="K73" s="590">
        <v>0</v>
      </c>
      <c r="L73" s="590">
        <v>0</v>
      </c>
      <c r="M73" s="590">
        <v>0</v>
      </c>
      <c r="N73" s="590">
        <v>0</v>
      </c>
      <c r="O73" s="553">
        <f>O29</f>
        <v>0</v>
      </c>
    </row>
    <row r="74" spans="1:18" x14ac:dyDescent="0.3">
      <c r="A74" s="748"/>
      <c r="B74" s="606">
        <v>33612</v>
      </c>
      <c r="C74" s="607" t="s">
        <v>201</v>
      </c>
      <c r="D74" s="553">
        <v>0</v>
      </c>
      <c r="E74" s="553">
        <v>0</v>
      </c>
      <c r="F74" s="608">
        <f>F30</f>
        <v>22945.54</v>
      </c>
      <c r="G74" s="608">
        <f>G30</f>
        <v>22945.54</v>
      </c>
      <c r="H74" s="608">
        <f>H30</f>
        <v>22945.54</v>
      </c>
      <c r="I74" s="609">
        <f>I30</f>
        <v>22945.54</v>
      </c>
      <c r="J74" s="553">
        <f>J30</f>
        <v>22945.54</v>
      </c>
      <c r="K74" s="590">
        <f>'[2]08.2022'!G205</f>
        <v>22945.54</v>
      </c>
      <c r="L74" s="553">
        <f>L30</f>
        <v>22976.05</v>
      </c>
      <c r="M74" s="553">
        <f>M30</f>
        <v>22976.05</v>
      </c>
      <c r="N74" s="553">
        <f>N30</f>
        <v>22976.05</v>
      </c>
      <c r="O74" s="553">
        <f>O30</f>
        <v>24169.200000000001</v>
      </c>
    </row>
    <row r="75" spans="1:18" ht="18" thickBot="1" x14ac:dyDescent="0.35">
      <c r="A75" s="610"/>
      <c r="B75" s="530">
        <v>33613</v>
      </c>
      <c r="C75" s="531" t="s">
        <v>886</v>
      </c>
      <c r="D75" s="536">
        <f>'[2]01.2022'!G1443</f>
        <v>0</v>
      </c>
      <c r="E75" s="536">
        <f>'[2]02.2022'!G1450</f>
        <v>0</v>
      </c>
      <c r="F75" s="611">
        <f>F31</f>
        <v>0</v>
      </c>
      <c r="G75" s="590">
        <f>G31</f>
        <v>0</v>
      </c>
      <c r="H75" s="590">
        <v>0</v>
      </c>
      <c r="I75" s="590">
        <v>0</v>
      </c>
      <c r="J75" s="590">
        <v>0</v>
      </c>
      <c r="K75" s="590">
        <v>0</v>
      </c>
      <c r="L75" s="590">
        <v>0</v>
      </c>
      <c r="M75" s="590">
        <v>0</v>
      </c>
      <c r="N75" s="590">
        <v>0</v>
      </c>
      <c r="O75" s="590">
        <f>O31</f>
        <v>49681.23</v>
      </c>
    </row>
    <row r="76" spans="1:18" s="513" customFormat="1" ht="18" thickBot="1" x14ac:dyDescent="0.35">
      <c r="A76" s="749" t="s">
        <v>4712</v>
      </c>
      <c r="B76" s="750"/>
      <c r="C76" s="751"/>
      <c r="D76" s="612">
        <f t="shared" ref="D76:H76" si="30">D73+D74</f>
        <v>0</v>
      </c>
      <c r="E76" s="612">
        <f t="shared" si="30"/>
        <v>0</v>
      </c>
      <c r="F76" s="612">
        <f>F73+F74+F75</f>
        <v>22945.54</v>
      </c>
      <c r="G76" s="539">
        <f t="shared" si="30"/>
        <v>22945.54</v>
      </c>
      <c r="H76" s="539">
        <f t="shared" si="30"/>
        <v>22945.54</v>
      </c>
      <c r="I76" s="543">
        <f>I73+I74</f>
        <v>22945.54</v>
      </c>
      <c r="J76" s="543">
        <f t="shared" ref="J76" si="31">J73+J74</f>
        <v>22945.54</v>
      </c>
      <c r="K76" s="544">
        <f>K73+K74</f>
        <v>22945.54</v>
      </c>
      <c r="L76" s="543">
        <f t="shared" ref="L76:M76" si="32">L73+L74</f>
        <v>22976.05</v>
      </c>
      <c r="M76" s="613">
        <f t="shared" si="32"/>
        <v>22976.05</v>
      </c>
      <c r="N76" s="614">
        <f>N73+N74</f>
        <v>22976.05</v>
      </c>
      <c r="O76" s="613">
        <f>SUM(O73:O75)</f>
        <v>73850.430000000008</v>
      </c>
      <c r="P76" s="601"/>
    </row>
    <row r="77" spans="1:18" ht="18" thickBot="1" x14ac:dyDescent="0.35">
      <c r="A77" s="615"/>
      <c r="B77" s="616"/>
      <c r="C77" s="616"/>
      <c r="D77" s="565"/>
      <c r="E77" s="565"/>
      <c r="F77" s="565"/>
      <c r="G77" s="565"/>
      <c r="H77" s="565"/>
      <c r="I77" s="565"/>
      <c r="J77" s="565"/>
      <c r="K77" s="565"/>
      <c r="L77" s="565"/>
      <c r="M77" s="565"/>
      <c r="N77" s="565"/>
      <c r="O77" s="565"/>
    </row>
    <row r="78" spans="1:18" s="607" customFormat="1" ht="18" thickBot="1" x14ac:dyDescent="0.35">
      <c r="A78" s="726" t="s">
        <v>4727</v>
      </c>
      <c r="B78" s="727"/>
      <c r="C78" s="728"/>
      <c r="D78" s="617">
        <f t="shared" ref="D78:H78" si="33">D54+D71-D76</f>
        <v>1247261.5800000005</v>
      </c>
      <c r="E78" s="617">
        <f t="shared" si="33"/>
        <v>2546287.2400000007</v>
      </c>
      <c r="F78" s="617">
        <f t="shared" si="33"/>
        <v>15057.630000001263</v>
      </c>
      <c r="G78" s="617">
        <f t="shared" si="33"/>
        <v>4233790.4400000004</v>
      </c>
      <c r="H78" s="617">
        <f t="shared" si="33"/>
        <v>2972436.3800000022</v>
      </c>
      <c r="I78" s="617">
        <f>I54+I71-I76</f>
        <v>1034396.8799999983</v>
      </c>
      <c r="J78" s="617">
        <f>J54+J71-J76</f>
        <v>1693364.8899999941</v>
      </c>
      <c r="K78" s="617">
        <f t="shared" ref="K78" si="34">K54+K71-K76</f>
        <v>1616451.489999997</v>
      </c>
      <c r="L78" s="617">
        <f>L54+L71-L76</f>
        <v>1462467.5400000059</v>
      </c>
      <c r="M78" s="617">
        <f t="shared" ref="M78" si="35">M54+M71-M76</f>
        <v>2337492.1599999899</v>
      </c>
      <c r="N78" s="617">
        <f>N54+N71-N76</f>
        <v>-546283.09000000963</v>
      </c>
      <c r="O78" s="617">
        <f>O54+O71-O76</f>
        <v>-1109016.4300000023</v>
      </c>
      <c r="P78" s="618"/>
    </row>
    <row r="79" spans="1:18" ht="18" thickBot="1" x14ac:dyDescent="0.35">
      <c r="A79" s="619" t="s">
        <v>4728</v>
      </c>
      <c r="B79" s="620"/>
      <c r="C79" s="621"/>
      <c r="D79" s="622">
        <f t="shared" ref="D79:L79" si="36">D78*30%</f>
        <v>374178.47400000016</v>
      </c>
      <c r="E79" s="622">
        <f t="shared" si="36"/>
        <v>763886.17200000014</v>
      </c>
      <c r="F79" s="622">
        <f t="shared" si="36"/>
        <v>4517.289000000379</v>
      </c>
      <c r="G79" s="622">
        <f t="shared" si="36"/>
        <v>1270137.132</v>
      </c>
      <c r="H79" s="622">
        <f t="shared" si="36"/>
        <v>891730.91400000069</v>
      </c>
      <c r="I79" s="622">
        <f t="shared" si="36"/>
        <v>310319.06399999949</v>
      </c>
      <c r="J79" s="622">
        <f t="shared" si="36"/>
        <v>508009.4669999982</v>
      </c>
      <c r="K79" s="622">
        <f t="shared" si="36"/>
        <v>484935.44699999905</v>
      </c>
      <c r="L79" s="622">
        <f t="shared" si="36"/>
        <v>438740.26200000173</v>
      </c>
      <c r="M79" s="622">
        <f>M78*30%</f>
        <v>701247.6479999969</v>
      </c>
      <c r="N79" s="622">
        <v>0</v>
      </c>
      <c r="O79" s="622">
        <v>0</v>
      </c>
    </row>
    <row r="80" spans="1:18" s="607" customFormat="1" ht="18" thickBot="1" x14ac:dyDescent="0.35">
      <c r="A80" s="726" t="s">
        <v>4715</v>
      </c>
      <c r="B80" s="727"/>
      <c r="C80" s="728"/>
      <c r="D80" s="617">
        <f t="shared" ref="D80" si="37">D78-D79</f>
        <v>873083.10600000038</v>
      </c>
      <c r="E80" s="617">
        <f>E78-E79</f>
        <v>1782401.0680000004</v>
      </c>
      <c r="F80" s="617">
        <f>F78-F79</f>
        <v>10540.341000000884</v>
      </c>
      <c r="G80" s="617">
        <f t="shared" ref="G80:L80" si="38">G78-G79</f>
        <v>2963653.3080000002</v>
      </c>
      <c r="H80" s="617">
        <f t="shared" si="38"/>
        <v>2080705.4660000014</v>
      </c>
      <c r="I80" s="617">
        <f t="shared" si="38"/>
        <v>724077.81599999871</v>
      </c>
      <c r="J80" s="617">
        <f t="shared" si="38"/>
        <v>1185355.4229999958</v>
      </c>
      <c r="K80" s="617">
        <f t="shared" si="38"/>
        <v>1131516.042999998</v>
      </c>
      <c r="L80" s="617">
        <f t="shared" si="38"/>
        <v>1023727.2780000041</v>
      </c>
      <c r="M80" s="617">
        <f>M78-M79</f>
        <v>1636244.5119999931</v>
      </c>
      <c r="N80" s="617">
        <f>N78-N79</f>
        <v>-546283.09000000963</v>
      </c>
      <c r="O80" s="617">
        <f t="shared" ref="O80" si="39">O78-O79</f>
        <v>-1109016.4300000023</v>
      </c>
      <c r="P80" s="623"/>
    </row>
    <row r="81" spans="1:18" x14ac:dyDescent="0.3">
      <c r="A81" s="524" t="s">
        <v>4729</v>
      </c>
      <c r="B81" s="564"/>
      <c r="C81" s="564"/>
      <c r="D81" s="589">
        <f t="shared" ref="D81:L81" si="40">IF(D80&gt;0,D80*15%,0)</f>
        <v>130962.46590000005</v>
      </c>
      <c r="E81" s="553">
        <f t="shared" si="40"/>
        <v>267360.16020000004</v>
      </c>
      <c r="F81" s="553">
        <f>IF(F80&gt;0,F80*15%,0)</f>
        <v>1581.0511500001326</v>
      </c>
      <c r="G81" s="553">
        <f t="shared" si="40"/>
        <v>444547.99619999999</v>
      </c>
      <c r="H81" s="553">
        <f t="shared" si="40"/>
        <v>312105.81990000018</v>
      </c>
      <c r="I81" s="553">
        <f t="shared" si="40"/>
        <v>108611.67239999981</v>
      </c>
      <c r="J81" s="553">
        <f t="shared" si="40"/>
        <v>177803.31344999935</v>
      </c>
      <c r="K81" s="553">
        <f t="shared" si="40"/>
        <v>169727.40644999969</v>
      </c>
      <c r="L81" s="553">
        <f t="shared" si="40"/>
        <v>153559.0917000006</v>
      </c>
      <c r="M81" s="553">
        <f>IF(M80&gt;0,M80*15%,0)</f>
        <v>245436.67679999897</v>
      </c>
      <c r="N81" s="553">
        <f>IF(N80&gt;0,N80*15%,0)</f>
        <v>0</v>
      </c>
      <c r="O81" s="553">
        <f>IF(O80&gt;0,O80*15%,0)</f>
        <v>0</v>
      </c>
    </row>
    <row r="82" spans="1:18" ht="18" thickBot="1" x14ac:dyDescent="0.35">
      <c r="A82" s="531" t="s">
        <v>4730</v>
      </c>
      <c r="B82" s="568"/>
      <c r="C82" s="568"/>
      <c r="D82" s="553">
        <f>IF(D80&gt;D83,((D80-(D83*1))*0.1),0)</f>
        <v>85308.310600000041</v>
      </c>
      <c r="E82" s="553">
        <f>IF(E80&gt;E83,((E80-(E83*1))*0.1),0)</f>
        <v>174240.10680000007</v>
      </c>
      <c r="F82" s="553">
        <f t="shared" ref="F82:J82" si="41">IF(F80&gt;F83,((F80-(F83*1))*0.1),0)</f>
        <v>0</v>
      </c>
      <c r="G82" s="553">
        <f t="shared" si="41"/>
        <v>288365.33080000005</v>
      </c>
      <c r="H82" s="553">
        <f t="shared" si="41"/>
        <v>198070.54660000015</v>
      </c>
      <c r="I82" s="553">
        <f t="shared" si="41"/>
        <v>60407.781599999871</v>
      </c>
      <c r="J82" s="553">
        <f t="shared" si="41"/>
        <v>104535.54229999958</v>
      </c>
      <c r="K82" s="553">
        <f>IF(K80&gt;K83,((K80-(K83*1))*0.1),0)</f>
        <v>97151.604299999803</v>
      </c>
      <c r="L82" s="553">
        <f>IF(L80&gt;L83,((L80-(L83*1))*0.1),0)</f>
        <v>84372.727800000415</v>
      </c>
      <c r="M82" s="553">
        <f>IF(M80&gt;M83,((M80-(M83*1))*0.1),0)</f>
        <v>143624.45119999931</v>
      </c>
      <c r="N82" s="553">
        <f>IF(N80&gt;N83,((N80-(N83*1))*0.1),0)</f>
        <v>0</v>
      </c>
      <c r="O82" s="553">
        <f>IF(O80&gt;O83,((O80-(O83*1))*0.1),0)</f>
        <v>0</v>
      </c>
    </row>
    <row r="83" spans="1:18" ht="18" hidden="1" thickBot="1" x14ac:dyDescent="0.35">
      <c r="A83" s="624"/>
      <c r="B83" s="625"/>
      <c r="C83" s="625"/>
      <c r="D83" s="626">
        <f t="shared" ref="D83:O83" si="42">20000*D5</f>
        <v>20000</v>
      </c>
      <c r="E83" s="626">
        <f t="shared" si="42"/>
        <v>40000</v>
      </c>
      <c r="F83" s="626">
        <f t="shared" si="42"/>
        <v>60000</v>
      </c>
      <c r="G83" s="626">
        <f t="shared" si="42"/>
        <v>80000</v>
      </c>
      <c r="H83" s="626">
        <f t="shared" si="42"/>
        <v>100000</v>
      </c>
      <c r="I83" s="626">
        <f t="shared" si="42"/>
        <v>120000</v>
      </c>
      <c r="J83" s="626">
        <f t="shared" si="42"/>
        <v>140000</v>
      </c>
      <c r="K83" s="626">
        <f t="shared" si="42"/>
        <v>160000</v>
      </c>
      <c r="L83" s="626">
        <f t="shared" si="42"/>
        <v>180000</v>
      </c>
      <c r="M83" s="626">
        <f t="shared" si="42"/>
        <v>200000</v>
      </c>
      <c r="N83" s="626">
        <f t="shared" si="42"/>
        <v>220000</v>
      </c>
      <c r="O83" s="626">
        <f t="shared" si="42"/>
        <v>240000</v>
      </c>
    </row>
    <row r="84" spans="1:18" ht="18" thickBot="1" x14ac:dyDescent="0.35">
      <c r="A84" s="720" t="s">
        <v>4731</v>
      </c>
      <c r="B84" s="721"/>
      <c r="C84" s="729"/>
      <c r="D84" s="627">
        <f>D81+D82</f>
        <v>216270.77650000009</v>
      </c>
      <c r="E84" s="627">
        <f t="shared" ref="E84" si="43">E81+E82</f>
        <v>441600.26700000011</v>
      </c>
      <c r="F84" s="627">
        <f>F81+F82</f>
        <v>1581.0511500001326</v>
      </c>
      <c r="G84" s="627">
        <f>G81+G82</f>
        <v>732913.32700000005</v>
      </c>
      <c r="H84" s="627">
        <f>H81+H82</f>
        <v>510176.36650000035</v>
      </c>
      <c r="I84" s="627">
        <f>I81+I82</f>
        <v>169019.45399999968</v>
      </c>
      <c r="J84" s="627">
        <f>J81+J82</f>
        <v>282338.85574999894</v>
      </c>
      <c r="K84" s="627">
        <f t="shared" ref="K84" si="44">K81+K82</f>
        <v>266879.01074999949</v>
      </c>
      <c r="L84" s="627">
        <f>L81+L82</f>
        <v>237931.81950000103</v>
      </c>
      <c r="M84" s="627">
        <f t="shared" ref="M84" si="45">M81+M82</f>
        <v>389061.12799999828</v>
      </c>
      <c r="N84" s="627">
        <f>N81+N82</f>
        <v>0</v>
      </c>
      <c r="O84" s="627">
        <f>O81+O82</f>
        <v>0</v>
      </c>
      <c r="P84" s="556"/>
      <c r="R84" s="628"/>
    </row>
    <row r="85" spans="1:18" x14ac:dyDescent="0.3">
      <c r="A85" s="619"/>
      <c r="B85" s="620"/>
      <c r="C85" s="620"/>
      <c r="D85" s="565"/>
      <c r="E85" s="565"/>
      <c r="F85" s="565"/>
      <c r="G85" s="565"/>
      <c r="H85" s="565"/>
      <c r="I85" s="565"/>
      <c r="J85" s="565"/>
      <c r="K85" s="565"/>
      <c r="L85" s="565"/>
      <c r="M85" s="565"/>
      <c r="N85" s="565"/>
      <c r="O85" s="565"/>
      <c r="P85" s="629"/>
      <c r="R85" s="628"/>
    </row>
    <row r="86" spans="1:18" x14ac:dyDescent="0.3">
      <c r="A86" s="546" t="s">
        <v>4732</v>
      </c>
      <c r="B86" s="630"/>
      <c r="C86" s="564"/>
      <c r="D86" s="565"/>
      <c r="E86" s="565"/>
      <c r="F86" s="565"/>
      <c r="G86" s="565"/>
      <c r="H86" s="565"/>
      <c r="I86" s="565"/>
      <c r="J86" s="565"/>
      <c r="K86" s="565"/>
      <c r="L86" s="565"/>
      <c r="M86" s="565"/>
      <c r="N86" s="565"/>
      <c r="O86" s="565"/>
      <c r="P86" s="631"/>
      <c r="R86" s="628"/>
    </row>
    <row r="87" spans="1:18" x14ac:dyDescent="0.3">
      <c r="A87" s="632" t="s">
        <v>4733</v>
      </c>
      <c r="B87" s="564"/>
      <c r="C87" s="564">
        <f>C81*4%</f>
        <v>0</v>
      </c>
      <c r="D87" s="565">
        <f>D81*0.04</f>
        <v>5238.4986360000021</v>
      </c>
      <c r="E87" s="565">
        <f>E81*0.04</f>
        <v>10694.406408000003</v>
      </c>
      <c r="F87" s="565">
        <f>F81*0.04</f>
        <v>63.242046000005303</v>
      </c>
      <c r="G87" s="633">
        <f t="shared" ref="G87:J87" si="46">IF(G113&gt;G111,G111*-1,G113*-1)*-1</f>
        <v>17781.919848000001</v>
      </c>
      <c r="H87" s="633">
        <f t="shared" si="46"/>
        <v>12484.232796000008</v>
      </c>
      <c r="I87" s="633">
        <f>IF(I113&gt;I111,I111*-1,I113*-1)*-1</f>
        <v>4344.4668959999926</v>
      </c>
      <c r="J87" s="633">
        <f t="shared" si="46"/>
        <v>7112.1325379999744</v>
      </c>
      <c r="K87" s="633">
        <f>IF(K113&gt;K111,K111*-1,K113*-1)*-1</f>
        <v>6789.0962579999878</v>
      </c>
      <c r="L87" s="633">
        <f>IF(L113&gt;L111,L111*-1,L113*-1)*-1</f>
        <v>6142.3636680000245</v>
      </c>
      <c r="M87" s="633">
        <f>IF(M113&gt;M111,M111*-1,M113*-1)*-1</f>
        <v>9817.4670719999594</v>
      </c>
      <c r="N87" s="633">
        <f>IF(N113&gt;N111,N111*-1,N113*-1)*-1</f>
        <v>0</v>
      </c>
      <c r="O87" s="633">
        <f>IF(O113&gt;O111,O111*-1,O113*-1)*-1</f>
        <v>0</v>
      </c>
      <c r="P87" s="631"/>
    </row>
    <row r="88" spans="1:18" s="513" customFormat="1" x14ac:dyDescent="0.3">
      <c r="A88" s="515" t="s">
        <v>4703</v>
      </c>
      <c r="B88" s="523">
        <v>411111</v>
      </c>
      <c r="C88" s="515" t="str">
        <f>A88</f>
        <v>Salario Maternidade  - Prorrogação</v>
      </c>
      <c r="D88" s="565">
        <f t="shared" ref="D88:F89" si="47">D56</f>
        <v>0</v>
      </c>
      <c r="E88" s="634">
        <f t="shared" si="47"/>
        <v>0</v>
      </c>
      <c r="F88" s="492">
        <f t="shared" si="47"/>
        <v>0</v>
      </c>
      <c r="G88" s="490">
        <f>G13</f>
        <v>22161.22</v>
      </c>
      <c r="H88" s="492">
        <f>VLOOKUP(B88,'[2]05.2022'!B:G,6,0)</f>
        <v>46696.86</v>
      </c>
      <c r="I88" s="492">
        <f>VLOOKUP(B88,'[2]06.2022'!B:G,6,0)</f>
        <v>47574.65</v>
      </c>
      <c r="J88" s="492">
        <v>47574.65</v>
      </c>
      <c r="K88" s="492">
        <f>'[2]08.2022'!G219</f>
        <v>47574.65</v>
      </c>
      <c r="L88" s="491">
        <f>'[2]09.2022'!G218</f>
        <v>47574.65</v>
      </c>
      <c r="M88" s="492">
        <f>'[2]10.2022'!G224</f>
        <v>47574.65</v>
      </c>
      <c r="N88" s="492">
        <f>VLOOKUP(B88,'[2]11.2022'!B:G,6,0)</f>
        <v>47574.65</v>
      </c>
      <c r="O88" s="491">
        <f>'[2]12.2022'!H252</f>
        <v>47574.65</v>
      </c>
      <c r="P88" s="512"/>
    </row>
    <row r="89" spans="1:18" s="513" customFormat="1" x14ac:dyDescent="0.3">
      <c r="A89" s="515" t="s">
        <v>897</v>
      </c>
      <c r="B89" s="523">
        <v>411113</v>
      </c>
      <c r="C89" s="515" t="str">
        <f t="shared" ref="C89:C91" si="48">A89</f>
        <v>Licença Paternidade Prorrogação</v>
      </c>
      <c r="D89" s="565">
        <f t="shared" si="47"/>
        <v>2089.2199999999998</v>
      </c>
      <c r="E89" s="634">
        <f t="shared" si="47"/>
        <v>16283.03</v>
      </c>
      <c r="F89" s="492">
        <f t="shared" si="47"/>
        <v>16283.03</v>
      </c>
      <c r="G89" s="492">
        <f>G57</f>
        <v>24525.7</v>
      </c>
      <c r="H89" s="492">
        <f>VLOOKUP(B89,'[2]05.2022'!B:G,6,0)</f>
        <v>24525.7</v>
      </c>
      <c r="I89" s="492">
        <f>VLOOKUP(B89,'[2]06.2022'!B:G,6,0)</f>
        <v>25354.66</v>
      </c>
      <c r="J89" s="492">
        <v>25354.66</v>
      </c>
      <c r="K89" s="492">
        <f>'[2]08.2022'!G220</f>
        <v>25354.66</v>
      </c>
      <c r="L89" s="491">
        <f>'[2]09.2022'!G219</f>
        <v>25354.66</v>
      </c>
      <c r="M89" s="492">
        <f>'[2]10.2022'!G225</f>
        <v>31553.68</v>
      </c>
      <c r="N89" s="492">
        <f>VLOOKUP(B89,'[2]11.2022'!B:G,6,0)</f>
        <v>31553.68</v>
      </c>
      <c r="O89" s="491">
        <f>'[2]12.2022'!H253</f>
        <v>31857.77</v>
      </c>
      <c r="P89" s="512"/>
    </row>
    <row r="90" spans="1:18" s="513" customFormat="1" x14ac:dyDescent="0.3">
      <c r="A90" s="515" t="s">
        <v>4703</v>
      </c>
      <c r="B90" s="523">
        <v>421110</v>
      </c>
      <c r="C90" s="515" t="str">
        <f t="shared" si="48"/>
        <v>Salario Maternidade  - Prorrogação</v>
      </c>
      <c r="D90" s="565">
        <v>0</v>
      </c>
      <c r="E90" s="634">
        <v>0</v>
      </c>
      <c r="F90" s="492">
        <v>0</v>
      </c>
      <c r="G90" s="492">
        <f>G60</f>
        <v>0</v>
      </c>
      <c r="H90" s="492">
        <f>H60</f>
        <v>6193.88</v>
      </c>
      <c r="I90" s="492">
        <f>I60</f>
        <v>20913.98</v>
      </c>
      <c r="J90" s="492">
        <v>57368.88</v>
      </c>
      <c r="K90" s="492">
        <f>'[2]08.2022'!G273</f>
        <v>84127.62</v>
      </c>
      <c r="L90" s="491">
        <f>'[2]09.2022'!G272</f>
        <v>84127.62</v>
      </c>
      <c r="M90" s="492">
        <f>'[2]10.2022'!G278</f>
        <v>84127.62</v>
      </c>
      <c r="N90" s="492">
        <f>VLOOKUP(B90,'[2]11.2022'!B:G,6,0)</f>
        <v>84127.62</v>
      </c>
      <c r="O90" s="491">
        <f>'[2]12.2022'!H308</f>
        <v>96358.92</v>
      </c>
      <c r="P90" s="512"/>
    </row>
    <row r="91" spans="1:18" s="513" customFormat="1" ht="18" thickBot="1" x14ac:dyDescent="0.35">
      <c r="A91" s="515" t="s">
        <v>897</v>
      </c>
      <c r="B91" s="523">
        <v>421112</v>
      </c>
      <c r="C91" s="515" t="str">
        <f t="shared" si="48"/>
        <v>Licença Paternidade Prorrogação</v>
      </c>
      <c r="D91" s="565">
        <v>0</v>
      </c>
      <c r="E91" s="634">
        <f>E61</f>
        <v>0</v>
      </c>
      <c r="F91" s="565">
        <v>0</v>
      </c>
      <c r="G91" s="565">
        <f>G61</f>
        <v>0</v>
      </c>
      <c r="H91" s="590">
        <v>0</v>
      </c>
      <c r="I91" s="590">
        <f>I61</f>
        <v>0</v>
      </c>
      <c r="J91" s="590">
        <v>0</v>
      </c>
      <c r="K91" s="590">
        <v>0</v>
      </c>
      <c r="L91" s="590">
        <v>0</v>
      </c>
      <c r="M91" s="590">
        <v>0</v>
      </c>
      <c r="N91" s="590">
        <v>0</v>
      </c>
      <c r="O91" s="590">
        <v>0</v>
      </c>
      <c r="P91" s="512"/>
    </row>
    <row r="92" spans="1:18" ht="18" thickBot="1" x14ac:dyDescent="0.35">
      <c r="A92" s="720" t="s">
        <v>4734</v>
      </c>
      <c r="B92" s="721"/>
      <c r="C92" s="729">
        <f>SUM(C87:C90)</f>
        <v>0</v>
      </c>
      <c r="D92" s="627">
        <f>SUM(D87:D91)</f>
        <v>7327.7186360000014</v>
      </c>
      <c r="E92" s="627">
        <f t="shared" ref="E92:N92" si="49">SUM(E87:E90)</f>
        <v>26977.436408000001</v>
      </c>
      <c r="F92" s="627">
        <f t="shared" si="49"/>
        <v>16346.272046000006</v>
      </c>
      <c r="G92" s="635">
        <f>SUM(G87:G91)</f>
        <v>64468.839848000003</v>
      </c>
      <c r="H92" s="635">
        <f>SUM(H87:H90)</f>
        <v>89900.672796000013</v>
      </c>
      <c r="I92" s="635">
        <f>SUM(I87:I90)</f>
        <v>98187.756895999992</v>
      </c>
      <c r="J92" s="635">
        <f>SUM(J87:J91)</f>
        <v>137410.32253799998</v>
      </c>
      <c r="K92" s="635">
        <f>SUM(K87:K90)</f>
        <v>163846.026258</v>
      </c>
      <c r="L92" s="627">
        <f t="shared" si="49"/>
        <v>163199.29366800003</v>
      </c>
      <c r="M92" s="627">
        <f t="shared" si="49"/>
        <v>173073.41707199995</v>
      </c>
      <c r="N92" s="627">
        <f t="shared" si="49"/>
        <v>163255.95000000001</v>
      </c>
      <c r="O92" s="635">
        <f>SUM(O87:O90)</f>
        <v>175791.34</v>
      </c>
    </row>
    <row r="93" spans="1:18" ht="18" thickBot="1" x14ac:dyDescent="0.35">
      <c r="A93" s="524"/>
      <c r="B93" s="564"/>
      <c r="C93" s="564"/>
      <c r="D93" s="565"/>
      <c r="E93" s="565"/>
      <c r="F93" s="565"/>
      <c r="G93" s="565"/>
      <c r="H93" s="565"/>
      <c r="I93" s="565"/>
      <c r="J93" s="565"/>
      <c r="K93" s="565"/>
      <c r="L93" s="565"/>
      <c r="M93" s="565"/>
      <c r="N93" s="565"/>
      <c r="O93" s="565"/>
    </row>
    <row r="94" spans="1:18" ht="18" thickBot="1" x14ac:dyDescent="0.35">
      <c r="A94" s="720" t="s">
        <v>4735</v>
      </c>
      <c r="B94" s="721"/>
      <c r="C94" s="729">
        <f>C84-C92</f>
        <v>0</v>
      </c>
      <c r="D94" s="627">
        <f>D84-D92</f>
        <v>208943.05786400009</v>
      </c>
      <c r="E94" s="627">
        <f>E84-E92</f>
        <v>414622.8305920001</v>
      </c>
      <c r="F94" s="627">
        <v>0</v>
      </c>
      <c r="G94" s="627">
        <f>IF(G84-G92&gt;0,G84-G92,0)</f>
        <v>668444.48715200007</v>
      </c>
      <c r="H94" s="627">
        <f>IF(H84-H92&gt;0,H84-H92,0)</f>
        <v>420275.69370400032</v>
      </c>
      <c r="I94" s="627">
        <f>IF(I84-I92&gt;0,I84-I92,0)</f>
        <v>70831.697103999686</v>
      </c>
      <c r="J94" s="627">
        <f>IF(J84-J92&gt;0,J84-J92,0)</f>
        <v>144928.53321199896</v>
      </c>
      <c r="K94" s="627">
        <f t="shared" ref="K94:O94" si="50">IF(K84-K92&gt;0,K84-K92,0)</f>
        <v>103032.98449199949</v>
      </c>
      <c r="L94" s="627">
        <f t="shared" si="50"/>
        <v>74732.525832001003</v>
      </c>
      <c r="M94" s="627">
        <f t="shared" si="50"/>
        <v>215987.71092799833</v>
      </c>
      <c r="N94" s="627">
        <f>IF(N84-N92&gt;0,N84-N92,0)</f>
        <v>0</v>
      </c>
      <c r="O94" s="627">
        <f t="shared" si="50"/>
        <v>0</v>
      </c>
      <c r="P94" s="636"/>
    </row>
    <row r="95" spans="1:18" x14ac:dyDescent="0.3">
      <c r="A95" s="546" t="s">
        <v>4736</v>
      </c>
      <c r="B95" s="630"/>
      <c r="C95" s="564"/>
      <c r="D95" s="565"/>
      <c r="E95" s="565"/>
      <c r="F95" s="565"/>
      <c r="G95" s="565"/>
      <c r="H95" s="565"/>
      <c r="I95" s="565"/>
      <c r="J95" s="565"/>
      <c r="K95" s="565"/>
      <c r="L95" s="565"/>
      <c r="M95" s="565"/>
      <c r="N95" s="565"/>
      <c r="O95" s="565"/>
    </row>
    <row r="96" spans="1:18" x14ac:dyDescent="0.3">
      <c r="A96" s="524" t="s">
        <v>4737</v>
      </c>
      <c r="B96" s="637"/>
      <c r="C96" s="638">
        <v>0</v>
      </c>
      <c r="D96" s="532">
        <f>C100</f>
        <v>0</v>
      </c>
      <c r="E96" s="534">
        <f>E53</f>
        <v>208943.06</v>
      </c>
      <c r="F96" s="534">
        <f>E98+E100</f>
        <v>414622.8305920001</v>
      </c>
      <c r="G96" s="534">
        <f>F98</f>
        <v>414622.8305920001</v>
      </c>
      <c r="H96" s="534">
        <f>G98+G100</f>
        <v>668444.48715200007</v>
      </c>
      <c r="I96" s="534">
        <f>H98</f>
        <v>668444.48715200007</v>
      </c>
      <c r="J96" s="532">
        <f t="shared" ref="J96" si="51">I98</f>
        <v>668444.48715200007</v>
      </c>
      <c r="K96" s="532">
        <f>J98</f>
        <v>668444.48715200007</v>
      </c>
      <c r="L96" s="532">
        <f>K98</f>
        <v>668444.48715200007</v>
      </c>
      <c r="M96" s="532">
        <f>L98</f>
        <v>668444.48715200007</v>
      </c>
      <c r="N96" s="532">
        <f>M98</f>
        <v>668444.48715200007</v>
      </c>
      <c r="O96" s="532">
        <f>N98</f>
        <v>668444.48715200007</v>
      </c>
    </row>
    <row r="97" spans="1:17" ht="18" thickBot="1" x14ac:dyDescent="0.35">
      <c r="A97" s="489" t="s">
        <v>4738</v>
      </c>
      <c r="B97" s="564"/>
      <c r="C97" s="639"/>
      <c r="D97" s="640">
        <v>0</v>
      </c>
      <c r="E97" s="565">
        <v>0</v>
      </c>
      <c r="F97" s="565">
        <v>0</v>
      </c>
      <c r="G97" s="565">
        <v>0</v>
      </c>
      <c r="H97" s="565">
        <v>0</v>
      </c>
      <c r="I97" s="565">
        <v>0</v>
      </c>
      <c r="J97" s="565">
        <v>0</v>
      </c>
      <c r="K97" s="565">
        <v>0</v>
      </c>
      <c r="L97" s="565">
        <v>0</v>
      </c>
      <c r="M97" s="565">
        <v>0</v>
      </c>
      <c r="N97" s="565">
        <v>0</v>
      </c>
      <c r="O97" s="565">
        <v>0</v>
      </c>
      <c r="Q97" s="628"/>
    </row>
    <row r="98" spans="1:17" ht="18" thickBot="1" x14ac:dyDescent="0.35">
      <c r="A98" s="720" t="s">
        <v>4739</v>
      </c>
      <c r="B98" s="721">
        <v>0</v>
      </c>
      <c r="C98" s="729">
        <f t="shared" ref="C98:M98" si="52">SUM(C96:C97)</f>
        <v>0</v>
      </c>
      <c r="D98" s="627">
        <f t="shared" si="52"/>
        <v>0</v>
      </c>
      <c r="E98" s="641">
        <f>SUM(E96:E97)</f>
        <v>208943.06</v>
      </c>
      <c r="F98" s="641">
        <f>SUM(F96:F97)</f>
        <v>414622.8305920001</v>
      </c>
      <c r="G98" s="641">
        <f>SUM(G96:G97)</f>
        <v>414622.8305920001</v>
      </c>
      <c r="H98" s="641">
        <f>SUM(H96:H97)</f>
        <v>668444.48715200007</v>
      </c>
      <c r="I98" s="627">
        <f t="shared" si="52"/>
        <v>668444.48715200007</v>
      </c>
      <c r="J98" s="627">
        <f t="shared" si="52"/>
        <v>668444.48715200007</v>
      </c>
      <c r="K98" s="627">
        <f t="shared" si="52"/>
        <v>668444.48715200007</v>
      </c>
      <c r="L98" s="627">
        <f t="shared" si="52"/>
        <v>668444.48715200007</v>
      </c>
      <c r="M98" s="627">
        <f t="shared" si="52"/>
        <v>668444.48715200007</v>
      </c>
      <c r="N98" s="627">
        <f>SUM(N96:N97)</f>
        <v>668444.48715200007</v>
      </c>
      <c r="O98" s="627">
        <f>SUM(O96:O97)</f>
        <v>668444.48715200007</v>
      </c>
      <c r="Q98" s="628"/>
    </row>
    <row r="99" spans="1:17" s="624" customFormat="1" ht="18" thickBot="1" x14ac:dyDescent="0.35">
      <c r="A99" s="524"/>
      <c r="B99" s="564"/>
      <c r="C99" s="564"/>
      <c r="D99" s="642"/>
      <c r="E99" s="565"/>
      <c r="F99" s="565"/>
      <c r="G99" s="565"/>
      <c r="H99" s="565"/>
      <c r="I99" s="565"/>
      <c r="J99" s="565"/>
      <c r="K99" s="565"/>
      <c r="L99" s="565"/>
      <c r="M99" s="565"/>
      <c r="N99" s="565"/>
      <c r="O99" s="565"/>
      <c r="P99" s="625"/>
    </row>
    <row r="100" spans="1:17" ht="18" thickBot="1" x14ac:dyDescent="0.35">
      <c r="A100" s="720" t="s">
        <v>4740</v>
      </c>
      <c r="B100" s="721"/>
      <c r="C100" s="729">
        <f t="shared" ref="C100:L100" si="53">C94-C98</f>
        <v>0</v>
      </c>
      <c r="D100" s="627">
        <f t="shared" si="53"/>
        <v>208943.05786400009</v>
      </c>
      <c r="E100" s="627">
        <f t="shared" si="53"/>
        <v>205679.7705920001</v>
      </c>
      <c r="F100" s="627">
        <f t="shared" si="53"/>
        <v>-414622.8305920001</v>
      </c>
      <c r="G100" s="627">
        <f t="shared" si="53"/>
        <v>253821.65655999997</v>
      </c>
      <c r="H100" s="627">
        <f t="shared" si="53"/>
        <v>-248168.79344799975</v>
      </c>
      <c r="I100" s="627">
        <f t="shared" si="53"/>
        <v>-597612.7900480004</v>
      </c>
      <c r="J100" s="627">
        <f t="shared" si="53"/>
        <v>-523515.95394000108</v>
      </c>
      <c r="K100" s="627">
        <f>K94-K98</f>
        <v>-565411.50266000058</v>
      </c>
      <c r="L100" s="627">
        <f t="shared" si="53"/>
        <v>-593711.96131999907</v>
      </c>
      <c r="M100" s="627">
        <f>M94-M98</f>
        <v>-452456.77622400178</v>
      </c>
      <c r="N100" s="627">
        <f>N94-N98</f>
        <v>-668444.48715200007</v>
      </c>
      <c r="O100" s="627">
        <f>O94-O98</f>
        <v>-668444.48715200007</v>
      </c>
    </row>
    <row r="101" spans="1:17" ht="18" thickBot="1" x14ac:dyDescent="0.35"/>
    <row r="102" spans="1:17" ht="18" thickBot="1" x14ac:dyDescent="0.35">
      <c r="A102" s="720" t="s">
        <v>4741</v>
      </c>
      <c r="B102" s="721"/>
      <c r="C102" s="721"/>
      <c r="D102" s="643" t="s">
        <v>4684</v>
      </c>
      <c r="E102" s="643" t="s">
        <v>4685</v>
      </c>
      <c r="F102" s="643" t="s">
        <v>4686</v>
      </c>
      <c r="G102" s="643" t="s">
        <v>4687</v>
      </c>
      <c r="H102" s="643" t="s">
        <v>4688</v>
      </c>
      <c r="I102" s="643" t="s">
        <v>4689</v>
      </c>
      <c r="J102" s="643" t="s">
        <v>4690</v>
      </c>
      <c r="K102" s="643" t="s">
        <v>4691</v>
      </c>
      <c r="L102" s="643" t="s">
        <v>4692</v>
      </c>
      <c r="M102" s="643" t="s">
        <v>4693</v>
      </c>
      <c r="N102" s="643" t="s">
        <v>4694</v>
      </c>
      <c r="O102" s="643" t="s">
        <v>4695</v>
      </c>
    </row>
    <row r="103" spans="1:17" x14ac:dyDescent="0.3">
      <c r="A103" s="644" t="s">
        <v>4742</v>
      </c>
      <c r="B103" s="645"/>
      <c r="C103" s="645"/>
      <c r="D103" s="592">
        <f>-[2]Planilha1!C19</f>
        <v>3294139.71</v>
      </c>
      <c r="E103" s="592">
        <f t="shared" ref="E103:I103" si="54">D103</f>
        <v>3294139.71</v>
      </c>
      <c r="F103" s="553">
        <f t="shared" si="54"/>
        <v>3294139.71</v>
      </c>
      <c r="G103" s="553">
        <f t="shared" si="54"/>
        <v>3294139.71</v>
      </c>
      <c r="H103" s="553">
        <f t="shared" si="54"/>
        <v>3294139.71</v>
      </c>
      <c r="I103" s="553">
        <f t="shared" si="54"/>
        <v>3294139.71</v>
      </c>
      <c r="J103" s="553">
        <f>I103</f>
        <v>3294139.71</v>
      </c>
      <c r="K103" s="553">
        <f>J103</f>
        <v>3294139.71</v>
      </c>
      <c r="L103" s="553">
        <f>K103</f>
        <v>3294139.71</v>
      </c>
      <c r="M103" s="553">
        <f>L103</f>
        <v>3294139.71</v>
      </c>
      <c r="N103" s="553">
        <f t="shared" ref="N103:O104" si="55">M103</f>
        <v>3294139.71</v>
      </c>
      <c r="O103" s="553">
        <f t="shared" si="55"/>
        <v>3294139.71</v>
      </c>
    </row>
    <row r="104" spans="1:17" x14ac:dyDescent="0.3">
      <c r="A104" s="644" t="s">
        <v>4743</v>
      </c>
      <c r="B104" s="645"/>
      <c r="C104" s="645"/>
      <c r="D104" s="646">
        <f>D79</f>
        <v>374178.47400000016</v>
      </c>
      <c r="E104" s="646">
        <f>E79</f>
        <v>763886.17200000014</v>
      </c>
      <c r="F104" s="646">
        <f t="shared" ref="F104:L104" si="56">F79</f>
        <v>4517.289000000379</v>
      </c>
      <c r="G104" s="646">
        <f t="shared" si="56"/>
        <v>1270137.132</v>
      </c>
      <c r="H104" s="646">
        <f t="shared" si="56"/>
        <v>891730.91400000069</v>
      </c>
      <c r="I104" s="646">
        <f t="shared" si="56"/>
        <v>310319.06399999949</v>
      </c>
      <c r="J104" s="646">
        <f t="shared" si="56"/>
        <v>508009.4669999982</v>
      </c>
      <c r="K104" s="646">
        <f t="shared" si="56"/>
        <v>484935.44699999905</v>
      </c>
      <c r="L104" s="646">
        <f t="shared" si="56"/>
        <v>438740.26200000173</v>
      </c>
      <c r="M104" s="553">
        <f>L104</f>
        <v>438740.26200000173</v>
      </c>
      <c r="N104" s="553">
        <f t="shared" si="55"/>
        <v>438740.26200000173</v>
      </c>
      <c r="O104" s="553">
        <f t="shared" si="55"/>
        <v>438740.26200000173</v>
      </c>
    </row>
    <row r="105" spans="1:17" x14ac:dyDescent="0.3">
      <c r="A105" s="644" t="s">
        <v>4744</v>
      </c>
      <c r="B105" s="645"/>
      <c r="C105" s="645"/>
      <c r="D105" s="590">
        <f>D103-D104</f>
        <v>2919961.2359999996</v>
      </c>
      <c r="E105" s="590">
        <f t="shared" ref="E105" si="57">E103-E104</f>
        <v>2530253.5379999997</v>
      </c>
      <c r="F105" s="553">
        <f>F103-F104</f>
        <v>3289622.4209999996</v>
      </c>
      <c r="G105" s="553">
        <f>G103-G104</f>
        <v>2024002.578</v>
      </c>
      <c r="H105" s="553">
        <f t="shared" ref="H105:L105" si="58">H103-H104</f>
        <v>2402408.7959999992</v>
      </c>
      <c r="I105" s="553">
        <f t="shared" si="58"/>
        <v>2983820.6460000006</v>
      </c>
      <c r="J105" s="553">
        <f t="shared" si="58"/>
        <v>2786130.2430000016</v>
      </c>
      <c r="K105" s="553">
        <f t="shared" si="58"/>
        <v>2809204.2630000007</v>
      </c>
      <c r="L105" s="553">
        <f t="shared" si="58"/>
        <v>2855399.447999998</v>
      </c>
      <c r="M105" s="553">
        <f t="shared" ref="M105:O105" si="59">L105</f>
        <v>2855399.447999998</v>
      </c>
      <c r="N105" s="553">
        <f t="shared" si="59"/>
        <v>2855399.447999998</v>
      </c>
      <c r="O105" s="553">
        <f t="shared" si="59"/>
        <v>2855399.447999998</v>
      </c>
    </row>
    <row r="107" spans="1:17" ht="18" thickBot="1" x14ac:dyDescent="0.35">
      <c r="C107" s="647"/>
      <c r="D107" s="648"/>
      <c r="E107" s="648"/>
      <c r="F107" s="648"/>
      <c r="G107" s="648"/>
      <c r="H107" s="648"/>
      <c r="I107" s="648"/>
      <c r="J107" s="648"/>
      <c r="K107" s="648"/>
      <c r="L107" s="648"/>
      <c r="M107" s="648"/>
      <c r="N107" s="648"/>
      <c r="O107" s="648"/>
    </row>
    <row r="108" spans="1:17" ht="18" thickBot="1" x14ac:dyDescent="0.35">
      <c r="B108" s="649" t="s">
        <v>4745</v>
      </c>
      <c r="C108" s="650"/>
      <c r="D108" s="651" t="s">
        <v>4684</v>
      </c>
      <c r="E108" s="651" t="s">
        <v>4685</v>
      </c>
      <c r="F108" s="651" t="s">
        <v>4686</v>
      </c>
      <c r="G108" s="651" t="s">
        <v>4687</v>
      </c>
      <c r="H108" s="651" t="s">
        <v>4688</v>
      </c>
      <c r="I108" s="651" t="s">
        <v>4689</v>
      </c>
      <c r="J108" s="651" t="s">
        <v>4690</v>
      </c>
      <c r="K108" s="651" t="s">
        <v>4691</v>
      </c>
      <c r="L108" s="651" t="s">
        <v>4692</v>
      </c>
      <c r="M108" s="651" t="s">
        <v>4693</v>
      </c>
      <c r="N108" s="651" t="s">
        <v>4694</v>
      </c>
      <c r="O108" s="651" t="s">
        <v>4695</v>
      </c>
    </row>
    <row r="109" spans="1:17" x14ac:dyDescent="0.3">
      <c r="B109" s="652" t="s">
        <v>4746</v>
      </c>
      <c r="C109" s="653">
        <v>41132</v>
      </c>
      <c r="D109" s="654">
        <f>'[2]01.2022'!G1455</f>
        <v>149383.69</v>
      </c>
      <c r="E109" s="654">
        <f>'[2]02.2022'!G1462</f>
        <v>297940.8</v>
      </c>
      <c r="F109" s="654">
        <f>'[2]03.2022'!G1462</f>
        <v>1449325.63</v>
      </c>
      <c r="G109" s="655">
        <f>'[2]04.2022'!G1468</f>
        <v>590849.68999999994</v>
      </c>
      <c r="H109" s="655">
        <f>'[2]05.2022'!G1473</f>
        <v>736100.53</v>
      </c>
      <c r="I109" s="655">
        <f>'[2]06.2022'!G217</f>
        <v>22945.54</v>
      </c>
      <c r="J109" s="655">
        <f>'[2]07.2022'!G226</f>
        <v>1028255.44</v>
      </c>
      <c r="K109" s="655">
        <f>'[2]08.2022'!G230</f>
        <v>1172894.6299999999</v>
      </c>
      <c r="L109" s="655">
        <f>'[2]09.2022'!G229</f>
        <v>1317533.83</v>
      </c>
      <c r="M109" s="655">
        <f>'[2]10.2022'!G235</f>
        <v>1461175.56</v>
      </c>
      <c r="N109" s="655">
        <f>VLOOKUP(C109,'[2]11.2022'!B:G,6,0)</f>
        <v>1603684.86</v>
      </c>
      <c r="O109" s="655">
        <f>'[2]12.2022'!H263</f>
        <v>1886772.51</v>
      </c>
    </row>
    <row r="110" spans="1:17" ht="18" thickBot="1" x14ac:dyDescent="0.35">
      <c r="B110" s="656" t="s">
        <v>4746</v>
      </c>
      <c r="C110" s="657">
        <v>42132</v>
      </c>
      <c r="D110" s="654">
        <f>'[2]01.2022'!G1595</f>
        <v>67552.81</v>
      </c>
      <c r="E110" s="654">
        <f>'[2]02.2022'!G1602</f>
        <v>135105.62</v>
      </c>
      <c r="F110" s="654">
        <f>'[2]03.2022'!G1601</f>
        <v>0</v>
      </c>
      <c r="G110" s="655">
        <f>'[2]04.2022'!G1608</f>
        <v>270211.86</v>
      </c>
      <c r="H110" s="655">
        <f>'[2]05.2022'!G1613</f>
        <v>337764.68</v>
      </c>
      <c r="I110" s="655">
        <f>'[2]06.2022'!G271</f>
        <v>140377.21</v>
      </c>
      <c r="J110" s="655">
        <f>'[2]07.2022'!G280</f>
        <v>470749.97</v>
      </c>
      <c r="K110" s="655">
        <f>'[2]08.2022'!G283</f>
        <v>537261.34</v>
      </c>
      <c r="L110" s="655">
        <f>'[2]09.2022'!G282</f>
        <v>603772.72</v>
      </c>
      <c r="M110" s="655">
        <f>'[2]10.2022'!G288</f>
        <v>670023.73</v>
      </c>
      <c r="N110" s="655">
        <f>VLOOKUP(C110,'[2]11.2022'!B:G,6,0)</f>
        <v>735754</v>
      </c>
      <c r="O110" s="655">
        <f>'[2]12.2022'!H318</f>
        <v>866557.95</v>
      </c>
    </row>
    <row r="111" spans="1:17" ht="18" thickBot="1" x14ac:dyDescent="0.35">
      <c r="B111" s="722" t="s">
        <v>4747</v>
      </c>
      <c r="C111" s="723"/>
      <c r="D111" s="658">
        <f t="shared" ref="D111:I111" si="60">SUM(D109:D110)</f>
        <v>216936.5</v>
      </c>
      <c r="E111" s="658">
        <f t="shared" si="60"/>
        <v>433046.42</v>
      </c>
      <c r="F111" s="658">
        <f t="shared" si="60"/>
        <v>1449325.63</v>
      </c>
      <c r="G111" s="658">
        <f>SUM(G109:G110)</f>
        <v>861061.54999999993</v>
      </c>
      <c r="H111" s="658">
        <f t="shared" si="60"/>
        <v>1073865.21</v>
      </c>
      <c r="I111" s="658">
        <f t="shared" si="60"/>
        <v>163322.75</v>
      </c>
      <c r="J111" s="658">
        <f t="shared" ref="J111:O111" si="61">SUM(J109:J110)</f>
        <v>1499005.41</v>
      </c>
      <c r="K111" s="658">
        <f t="shared" si="61"/>
        <v>1710155.9699999997</v>
      </c>
      <c r="L111" s="658">
        <f>SUM(L109:L110)</f>
        <v>1921306.55</v>
      </c>
      <c r="M111" s="658">
        <f t="shared" si="61"/>
        <v>2131199.29</v>
      </c>
      <c r="N111" s="658">
        <f>SUM(N109:N110)</f>
        <v>2339438.8600000003</v>
      </c>
      <c r="O111" s="658">
        <f t="shared" si="61"/>
        <v>2753330.46</v>
      </c>
    </row>
    <row r="112" spans="1:17" x14ac:dyDescent="0.3">
      <c r="B112" s="724" t="s">
        <v>4748</v>
      </c>
      <c r="C112" s="725"/>
      <c r="D112" s="659">
        <f t="shared" ref="D112:L112" si="62">D111*0.15</f>
        <v>32540.474999999999</v>
      </c>
      <c r="E112" s="659">
        <f t="shared" si="62"/>
        <v>64956.962999999996</v>
      </c>
      <c r="F112" s="659">
        <f>F111*0.15</f>
        <v>217398.84449999998</v>
      </c>
      <c r="G112" s="659">
        <f>G111*0.15</f>
        <v>129159.23249999998</v>
      </c>
      <c r="H112" s="659">
        <f t="shared" si="62"/>
        <v>161079.78149999998</v>
      </c>
      <c r="I112" s="659">
        <f t="shared" si="62"/>
        <v>24498.412499999999</v>
      </c>
      <c r="J112" s="659">
        <f t="shared" si="62"/>
        <v>224850.81149999998</v>
      </c>
      <c r="K112" s="659">
        <f t="shared" si="62"/>
        <v>256523.39549999996</v>
      </c>
      <c r="L112" s="659">
        <f t="shared" si="62"/>
        <v>288195.98249999998</v>
      </c>
      <c r="M112" s="659">
        <f>M111*0.15</f>
        <v>319679.89350000001</v>
      </c>
      <c r="N112" s="659">
        <f>N111*0.15</f>
        <v>350915.82900000003</v>
      </c>
      <c r="O112" s="659">
        <f t="shared" ref="O112" si="63">O111*0.15</f>
        <v>412999.56899999996</v>
      </c>
    </row>
    <row r="113" spans="2:15" x14ac:dyDescent="0.3">
      <c r="B113" s="652" t="s">
        <v>4749</v>
      </c>
      <c r="C113" s="660"/>
      <c r="D113" s="659">
        <f t="shared" ref="D113:O113" si="64">D81*0.04</f>
        <v>5238.4986360000021</v>
      </c>
      <c r="E113" s="659">
        <f t="shared" si="64"/>
        <v>10694.406408000003</v>
      </c>
      <c r="F113" s="659">
        <f>F81*0.04</f>
        <v>63.242046000005303</v>
      </c>
      <c r="G113" s="659">
        <f>G81*0.04</f>
        <v>17781.919848000001</v>
      </c>
      <c r="H113" s="659">
        <f t="shared" si="64"/>
        <v>12484.232796000008</v>
      </c>
      <c r="I113" s="659">
        <f t="shared" si="64"/>
        <v>4344.4668959999926</v>
      </c>
      <c r="J113" s="659">
        <f t="shared" si="64"/>
        <v>7112.1325379999744</v>
      </c>
      <c r="K113" s="659">
        <f t="shared" si="64"/>
        <v>6789.0962579999878</v>
      </c>
      <c r="L113" s="659">
        <f t="shared" si="64"/>
        <v>6142.3636680000245</v>
      </c>
      <c r="M113" s="659">
        <f t="shared" si="64"/>
        <v>9817.4670719999594</v>
      </c>
      <c r="N113" s="659">
        <f t="shared" si="64"/>
        <v>0</v>
      </c>
      <c r="O113" s="659">
        <f t="shared" si="64"/>
        <v>0</v>
      </c>
    </row>
    <row r="114" spans="2:15" x14ac:dyDescent="0.3">
      <c r="B114" s="661" t="s">
        <v>4750</v>
      </c>
      <c r="C114" s="660"/>
      <c r="D114" s="662"/>
      <c r="E114" s="662"/>
      <c r="F114" s="662"/>
      <c r="G114" s="662"/>
      <c r="H114" s="662"/>
      <c r="I114" s="662"/>
      <c r="J114" s="662"/>
      <c r="K114" s="662"/>
      <c r="L114" s="662"/>
      <c r="M114" s="662"/>
      <c r="N114" s="662"/>
      <c r="O114" s="662"/>
    </row>
    <row r="115" spans="2:15" ht="18" thickBot="1" x14ac:dyDescent="0.35">
      <c r="B115" s="663" t="s">
        <v>4751</v>
      </c>
      <c r="C115" s="664"/>
      <c r="D115" s="665">
        <f t="shared" ref="D115:O115" si="65">IF(D113&gt;0,(D112-D113),0)</f>
        <v>27301.976363999995</v>
      </c>
      <c r="E115" s="665">
        <f>IF(E113&gt;0,(E112-E113),0)</f>
        <v>54262.556591999994</v>
      </c>
      <c r="F115" s="665">
        <f>IF(F113&gt;0,(F112-F113),0)</f>
        <v>217335.60245399998</v>
      </c>
      <c r="G115" s="665">
        <f>IF(G113&gt;0,(G112-G113),0)</f>
        <v>111377.31265199998</v>
      </c>
      <c r="H115" s="665">
        <f t="shared" si="65"/>
        <v>148595.54870399999</v>
      </c>
      <c r="I115" s="665">
        <f t="shared" si="65"/>
        <v>20153.945604000008</v>
      </c>
      <c r="J115" s="665">
        <f t="shared" si="65"/>
        <v>217738.67896200001</v>
      </c>
      <c r="K115" s="665">
        <f t="shared" si="65"/>
        <v>249734.29924199998</v>
      </c>
      <c r="L115" s="665">
        <f t="shared" si="65"/>
        <v>282053.61883199995</v>
      </c>
      <c r="M115" s="665">
        <f t="shared" si="65"/>
        <v>309862.42642800004</v>
      </c>
      <c r="N115" s="665">
        <f>IF(N113&gt;0,(N112-N113),0)</f>
        <v>0</v>
      </c>
      <c r="O115" s="665">
        <f t="shared" si="65"/>
        <v>0</v>
      </c>
    </row>
    <row r="116" spans="2:15" x14ac:dyDescent="0.3">
      <c r="B116" s="666"/>
      <c r="C116" s="667"/>
      <c r="D116" s="666"/>
      <c r="E116" s="666"/>
    </row>
    <row r="117" spans="2:15" x14ac:dyDescent="0.3">
      <c r="K117" s="668"/>
    </row>
    <row r="119" spans="2:15" x14ac:dyDescent="0.3">
      <c r="K119" s="628"/>
    </row>
    <row r="125" spans="2:15" x14ac:dyDescent="0.3">
      <c r="B125" s="480" t="s">
        <v>4752</v>
      </c>
    </row>
    <row r="126" spans="2:15" x14ac:dyDescent="0.3">
      <c r="B126" s="480" t="s">
        <v>4753</v>
      </c>
    </row>
    <row r="127" spans="2:15" x14ac:dyDescent="0.3">
      <c r="B127" s="480" t="s">
        <v>4754</v>
      </c>
      <c r="F127" s="628">
        <f>+F36+F94</f>
        <v>948.63069000007954</v>
      </c>
    </row>
    <row r="128" spans="2:15" x14ac:dyDescent="0.3">
      <c r="F128" s="668">
        <f>-P16</f>
        <v>0</v>
      </c>
    </row>
    <row r="129" spans="2:6" x14ac:dyDescent="0.3">
      <c r="B129" s="480" t="s">
        <v>1762</v>
      </c>
      <c r="F129" s="628">
        <f>+F128-F127</f>
        <v>-948.63069000007954</v>
      </c>
    </row>
    <row r="130" spans="2:6" x14ac:dyDescent="0.3">
      <c r="B130" s="480" t="s">
        <v>4755</v>
      </c>
    </row>
    <row r="131" spans="2:6" x14ac:dyDescent="0.3">
      <c r="B131" s="480" t="s">
        <v>4756</v>
      </c>
    </row>
  </sheetData>
  <autoFilter ref="A6:I7"/>
  <mergeCells count="33">
    <mergeCell ref="A38:C38"/>
    <mergeCell ref="A6:A7"/>
    <mergeCell ref="A9:C9"/>
    <mergeCell ref="A11:C11"/>
    <mergeCell ref="A12:C12"/>
    <mergeCell ref="A13:A26"/>
    <mergeCell ref="A27:C27"/>
    <mergeCell ref="A28:C28"/>
    <mergeCell ref="A29:A30"/>
    <mergeCell ref="A32:C32"/>
    <mergeCell ref="A35:C35"/>
    <mergeCell ref="A36:C36"/>
    <mergeCell ref="A78:C78"/>
    <mergeCell ref="A42:C42"/>
    <mergeCell ref="A44:C44"/>
    <mergeCell ref="A49:A50"/>
    <mergeCell ref="A52:C52"/>
    <mergeCell ref="A54:C54"/>
    <mergeCell ref="A55:C55"/>
    <mergeCell ref="A56:A69"/>
    <mergeCell ref="A71:C71"/>
    <mergeCell ref="A72:C72"/>
    <mergeCell ref="A73:A74"/>
    <mergeCell ref="A76:C76"/>
    <mergeCell ref="A102:C102"/>
    <mergeCell ref="B111:C111"/>
    <mergeCell ref="B112:C112"/>
    <mergeCell ref="A80:C80"/>
    <mergeCell ref="A84:C84"/>
    <mergeCell ref="A92:C92"/>
    <mergeCell ref="A94:C94"/>
    <mergeCell ref="A98:C98"/>
    <mergeCell ref="A100:C100"/>
  </mergeCells>
  <conditionalFormatting sqref="B96">
    <cfRule type="cellIs" dxfId="25" priority="13" operator="lessThan">
      <formula>0</formula>
    </cfRule>
  </conditionalFormatting>
  <conditionalFormatting sqref="D33">
    <cfRule type="cellIs" dxfId="24" priority="12" operator="lessThan">
      <formula>0</formula>
    </cfRule>
  </conditionalFormatting>
  <conditionalFormatting sqref="E33">
    <cfRule type="cellIs" dxfId="23" priority="11" operator="lessThan">
      <formula>0</formula>
    </cfRule>
  </conditionalFormatting>
  <conditionalFormatting sqref="F33">
    <cfRule type="cellIs" dxfId="22" priority="10" operator="lessThan">
      <formula>0</formula>
    </cfRule>
  </conditionalFormatting>
  <conditionalFormatting sqref="G33">
    <cfRule type="cellIs" dxfId="21" priority="9" operator="lessThan">
      <formula>0</formula>
    </cfRule>
  </conditionalFormatting>
  <conditionalFormatting sqref="H33">
    <cfRule type="cellIs" dxfId="20" priority="8" operator="lessThan">
      <formula>0</formula>
    </cfRule>
  </conditionalFormatting>
  <conditionalFormatting sqref="I33">
    <cfRule type="cellIs" dxfId="19" priority="7" operator="lessThan">
      <formula>0</formula>
    </cfRule>
  </conditionalFormatting>
  <conditionalFormatting sqref="J33">
    <cfRule type="cellIs" dxfId="18" priority="6" operator="lessThan">
      <formula>0</formula>
    </cfRule>
  </conditionalFormatting>
  <conditionalFormatting sqref="K33">
    <cfRule type="cellIs" dxfId="17" priority="5" operator="lessThan">
      <formula>0</formula>
    </cfRule>
  </conditionalFormatting>
  <conditionalFormatting sqref="L33">
    <cfRule type="cellIs" dxfId="16" priority="4" operator="lessThan">
      <formula>0</formula>
    </cfRule>
  </conditionalFormatting>
  <conditionalFormatting sqref="M33">
    <cfRule type="cellIs" dxfId="15" priority="3" operator="lessThan">
      <formula>0</formula>
    </cfRule>
  </conditionalFormatting>
  <conditionalFormatting sqref="N33">
    <cfRule type="cellIs" dxfId="14" priority="2" operator="lessThan">
      <formula>0</formula>
    </cfRule>
  </conditionalFormatting>
  <conditionalFormatting sqref="O33">
    <cfRule type="cellIs" dxfId="13" priority="1" operator="lessThan">
      <formula>0</formula>
    </cfRule>
  </conditionalFormatting>
  <pageMargins left="0.51181102362204722" right="0.51181102362204722" top="0.78740157480314965" bottom="0.78740157480314965" header="0.31496062992125984" footer="0.31496062992125984"/>
  <pageSetup paperSize="9" scale="52" fitToHeight="0" orientation="landscape" r:id="rId1"/>
  <rowBreaks count="1" manualBreakCount="1">
    <brk id="47" max="14" man="1"/>
  </rowBreaks>
  <colBreaks count="1" manualBreakCount="1">
    <brk id="11" max="108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T131"/>
  <sheetViews>
    <sheetView showGridLines="0" zoomScale="84" zoomScaleNormal="84" workbookViewId="0">
      <pane xSplit="3" ySplit="6" topLeftCell="E85" activePane="bottomRight" state="frozen"/>
      <selection activeCell="F36" sqref="F36"/>
      <selection pane="topRight" activeCell="F36" sqref="F36"/>
      <selection pane="bottomLeft" activeCell="F36" sqref="F36"/>
      <selection pane="bottomRight" activeCell="F82" sqref="F82"/>
    </sheetView>
  </sheetViews>
  <sheetFormatPr defaultColWidth="9.140625" defaultRowHeight="17.25" x14ac:dyDescent="0.3"/>
  <cols>
    <col min="1" max="1" width="50.85546875" style="480" customWidth="1"/>
    <col min="2" max="2" width="38.85546875" style="480" customWidth="1"/>
    <col min="3" max="3" width="39.42578125" style="480" customWidth="1"/>
    <col min="4" max="4" width="18.28515625" style="628" customWidth="1"/>
    <col min="5" max="5" width="20.28515625" style="628" customWidth="1"/>
    <col min="6" max="6" width="18.28515625" style="480" bestFit="1" customWidth="1"/>
    <col min="7" max="7" width="18.140625" style="480" hidden="1" customWidth="1"/>
    <col min="8" max="8" width="16.85546875" style="480" hidden="1" customWidth="1"/>
    <col min="9" max="9" width="18.140625" style="480" hidden="1" customWidth="1"/>
    <col min="10" max="11" width="18.28515625" style="480" hidden="1" customWidth="1"/>
    <col min="12" max="13" width="19.5703125" style="480" hidden="1" customWidth="1"/>
    <col min="14" max="14" width="19.42578125" style="480" hidden="1" customWidth="1"/>
    <col min="15" max="15" width="18.28515625" style="480" hidden="1" customWidth="1"/>
    <col min="16" max="16" width="16.85546875" style="482" hidden="1" customWidth="1"/>
    <col min="17" max="17" width="15.140625" style="480" hidden="1" customWidth="1"/>
    <col min="18" max="18" width="18.140625" style="480" bestFit="1" customWidth="1"/>
    <col min="19" max="19" width="12.28515625" style="480" bestFit="1" customWidth="1"/>
    <col min="20" max="16384" width="9.140625" style="480"/>
  </cols>
  <sheetData>
    <row r="1" spans="1:18" s="474" customFormat="1" x14ac:dyDescent="0.3">
      <c r="D1" s="475"/>
      <c r="E1" s="475"/>
      <c r="P1" s="476"/>
    </row>
    <row r="2" spans="1:18" s="474" customFormat="1" ht="20.25" x14ac:dyDescent="0.3">
      <c r="B2" s="477" t="s">
        <v>4679</v>
      </c>
      <c r="D2" s="477"/>
      <c r="E2" s="478"/>
      <c r="P2" s="476"/>
    </row>
    <row r="3" spans="1:18" s="474" customFormat="1" ht="20.25" x14ac:dyDescent="0.3">
      <c r="B3" s="479" t="s">
        <v>4757</v>
      </c>
      <c r="D3" s="479"/>
      <c r="E3" s="479"/>
      <c r="P3" s="476"/>
    </row>
    <row r="4" spans="1:18" ht="20.25" x14ac:dyDescent="0.3">
      <c r="B4" s="481" t="s">
        <v>4681</v>
      </c>
      <c r="D4" s="481"/>
      <c r="E4" s="481"/>
    </row>
    <row r="5" spans="1:18" ht="20.25" x14ac:dyDescent="0.3">
      <c r="B5" s="481"/>
      <c r="D5" s="481">
        <v>1</v>
      </c>
      <c r="E5" s="481">
        <v>2</v>
      </c>
      <c r="F5" s="480">
        <v>3</v>
      </c>
      <c r="G5" s="481">
        <v>4</v>
      </c>
      <c r="H5" s="481">
        <v>5</v>
      </c>
      <c r="I5" s="480">
        <v>6</v>
      </c>
      <c r="J5" s="481">
        <v>7</v>
      </c>
      <c r="K5" s="481">
        <v>8</v>
      </c>
      <c r="L5" s="480">
        <v>9</v>
      </c>
      <c r="M5" s="481">
        <v>10</v>
      </c>
      <c r="N5" s="481">
        <v>11</v>
      </c>
      <c r="O5" s="480">
        <v>12</v>
      </c>
    </row>
    <row r="6" spans="1:18" s="487" customFormat="1" ht="33" customHeight="1" x14ac:dyDescent="0.3">
      <c r="A6" s="736" t="s">
        <v>4682</v>
      </c>
      <c r="B6" s="483" t="s">
        <v>4683</v>
      </c>
      <c r="C6" s="484" t="s">
        <v>281</v>
      </c>
      <c r="D6" s="485" t="s">
        <v>4684</v>
      </c>
      <c r="E6" s="485" t="s">
        <v>4685</v>
      </c>
      <c r="F6" s="485" t="s">
        <v>4686</v>
      </c>
      <c r="G6" s="485" t="s">
        <v>4687</v>
      </c>
      <c r="H6" s="485" t="s">
        <v>4688</v>
      </c>
      <c r="I6" s="485" t="s">
        <v>4689</v>
      </c>
      <c r="J6" s="485" t="s">
        <v>4690</v>
      </c>
      <c r="K6" s="485" t="s">
        <v>4691</v>
      </c>
      <c r="L6" s="485" t="s">
        <v>4692</v>
      </c>
      <c r="M6" s="485" t="s">
        <v>4693</v>
      </c>
      <c r="N6" s="485" t="s">
        <v>4694</v>
      </c>
      <c r="O6" s="485" t="s">
        <v>4695</v>
      </c>
      <c r="P6" s="486"/>
    </row>
    <row r="7" spans="1:18" s="495" customFormat="1" x14ac:dyDescent="0.3">
      <c r="A7" s="737"/>
      <c r="B7" s="488">
        <v>3</v>
      </c>
      <c r="C7" s="489" t="s">
        <v>56</v>
      </c>
      <c r="D7" s="490">
        <f>'[2]01.2023'!H187</f>
        <v>11891006.949999999</v>
      </c>
      <c r="E7" s="490">
        <f>'[2]02.2023'!H191</f>
        <v>25385208.739999998</v>
      </c>
      <c r="F7" s="490">
        <f>-'[2]03.2023'!H194</f>
        <v>36035568.840000004</v>
      </c>
      <c r="G7" s="491">
        <f>-'[2]04.2022'!G1361</f>
        <v>39850436.390000001</v>
      </c>
      <c r="H7" s="491">
        <f>'[2]05.2022'!G1366</f>
        <v>47289761.380000003</v>
      </c>
      <c r="I7" s="491">
        <f>'[2]06.2022'!G203</f>
        <v>58270033.719999999</v>
      </c>
      <c r="J7" s="491">
        <f>'[2]07.2022'!G185</f>
        <v>68508548.799999997</v>
      </c>
      <c r="K7" s="492">
        <f>'[2]08.2022'!G189</f>
        <v>77878509.329999998</v>
      </c>
      <c r="L7" s="493">
        <f>'[2]09.2022'!G188</f>
        <v>86966560.060000002</v>
      </c>
      <c r="M7" s="493">
        <f>'[2]10.2022'!G196</f>
        <v>97854416.489999995</v>
      </c>
      <c r="N7" s="492">
        <f>'[2]11.2022'!G205</f>
        <v>106433883.59999999</v>
      </c>
      <c r="O7" s="491">
        <f>'[2]12.2022'!H221</f>
        <v>119101212.62</v>
      </c>
      <c r="P7" s="494"/>
    </row>
    <row r="8" spans="1:18" s="495" customFormat="1" ht="35.25" thickBot="1" x14ac:dyDescent="0.35">
      <c r="A8" s="496" t="s">
        <v>4696</v>
      </c>
      <c r="B8" s="497">
        <v>4</v>
      </c>
      <c r="C8" s="498" t="s">
        <v>204</v>
      </c>
      <c r="D8" s="499">
        <f>'[2]01.2023'!H199</f>
        <v>10339582.65</v>
      </c>
      <c r="E8" s="499">
        <f>'[2]02.2023'!H205</f>
        <v>21832221.059999999</v>
      </c>
      <c r="F8" s="490">
        <f>'[2]03.2023'!H208</f>
        <v>33776380.299999997</v>
      </c>
      <c r="G8" s="491">
        <f>'[2]04.2022'!G1440</f>
        <v>36816461.890000001</v>
      </c>
      <c r="H8" s="491">
        <f>'[2]05.2022'!G1445</f>
        <v>45993774.890000001</v>
      </c>
      <c r="I8" s="491">
        <f>'[2]06.2022'!G225</f>
        <v>58268983.640000001</v>
      </c>
      <c r="J8" s="491">
        <v>67932268.450000003</v>
      </c>
      <c r="K8" s="492">
        <f>'[2]08.2022'!G211</f>
        <v>77641537.030000001</v>
      </c>
      <c r="L8" s="491">
        <f>'[2]09.2022'!G210</f>
        <v>86955557.159999996</v>
      </c>
      <c r="M8" s="492">
        <f>'[2]10.2022'!G216</f>
        <v>97018241.620000005</v>
      </c>
      <c r="N8" s="492">
        <f>'[2]11.2022'!G225</f>
        <v>108768856.34</v>
      </c>
      <c r="O8" s="491">
        <f>'[2]12.2022'!H244</f>
        <v>121552714.43000001</v>
      </c>
      <c r="P8" s="494"/>
    </row>
    <row r="9" spans="1:18" s="495" customFormat="1" ht="18" thickBot="1" x14ac:dyDescent="0.35">
      <c r="A9" s="755" t="s">
        <v>4697</v>
      </c>
      <c r="B9" s="756"/>
      <c r="C9" s="757"/>
      <c r="D9" s="500">
        <f t="shared" ref="D9" si="0">D7-D8</f>
        <v>1551424.2999999989</v>
      </c>
      <c r="E9" s="501">
        <f>E7-E8</f>
        <v>3552987.6799999997</v>
      </c>
      <c r="F9" s="502">
        <f>F7-F8</f>
        <v>2259188.5400000066</v>
      </c>
      <c r="G9" s="500">
        <f>G7-G8</f>
        <v>3033974.5</v>
      </c>
      <c r="H9" s="503">
        <f>H7-H8</f>
        <v>1295986.4900000021</v>
      </c>
      <c r="I9" s="503">
        <f>I7-I8</f>
        <v>1050.0799999982119</v>
      </c>
      <c r="J9" s="500">
        <f t="shared" ref="J9" si="1">J7-J8</f>
        <v>576280.34999999404</v>
      </c>
      <c r="K9" s="500">
        <f>K7-K8</f>
        <v>236972.29999999702</v>
      </c>
      <c r="L9" s="500">
        <f>L7-L8</f>
        <v>11002.90000000596</v>
      </c>
      <c r="M9" s="500">
        <f t="shared" ref="M9" si="2">M7-M8</f>
        <v>836174.86999998987</v>
      </c>
      <c r="N9" s="500">
        <f>N7-N8</f>
        <v>-2334972.7400000095</v>
      </c>
      <c r="O9" s="500">
        <f t="shared" ref="O9" si="3">O7-O8</f>
        <v>-2451501.8100000024</v>
      </c>
      <c r="P9" s="494"/>
    </row>
    <row r="10" spans="1:18" s="495" customFormat="1" ht="18" thickBot="1" x14ac:dyDescent="0.35">
      <c r="A10" s="504"/>
      <c r="B10" s="505" t="s">
        <v>4698</v>
      </c>
      <c r="C10" s="506" t="s">
        <v>4699</v>
      </c>
      <c r="D10" s="507">
        <v>0</v>
      </c>
      <c r="E10" s="507">
        <f>'[2]02.2023'!H305+'[2]02.2023'!H307</f>
        <v>353126.53</v>
      </c>
      <c r="F10" s="491">
        <f>'[2]03.2023'!H311+'[2]03.2023'!H313</f>
        <v>903156.74</v>
      </c>
      <c r="G10" s="491">
        <f>'[2]04.2022'!G1676+'[2]04.2022'!G1679</f>
        <v>579989.31000000006</v>
      </c>
      <c r="H10" s="491">
        <f>'[2]05.2022'!G1681+'[2]05.2022'!G1684</f>
        <v>935173.29</v>
      </c>
      <c r="I10" s="491">
        <f>'[2]06.2022'!G331+'[2]06.2022'!G333</f>
        <v>135998.71</v>
      </c>
      <c r="J10" s="491">
        <f>I10</f>
        <v>135998.71</v>
      </c>
      <c r="K10" s="491">
        <f>'[2]08.2022'!G316+'[2]08.2022'!G318</f>
        <v>323361.78000000003</v>
      </c>
      <c r="L10" s="491">
        <f>'[2]09.2022'!G315+'[2]09.2022'!G317</f>
        <v>230065.94</v>
      </c>
      <c r="M10" s="491">
        <f>'[2]10.2022'!G321+'[2]10.2022'!G323</f>
        <v>206354.61</v>
      </c>
      <c r="N10" s="491">
        <f>'[2]11.2022'!G331+'[2]11.2022'!G333</f>
        <v>426362.01</v>
      </c>
      <c r="O10" s="491">
        <v>0</v>
      </c>
      <c r="P10" s="494"/>
    </row>
    <row r="11" spans="1:18" s="495" customFormat="1" ht="18" thickBot="1" x14ac:dyDescent="0.35">
      <c r="A11" s="730" t="s">
        <v>4700</v>
      </c>
      <c r="B11" s="731"/>
      <c r="C11" s="732"/>
      <c r="D11" s="508">
        <f t="shared" ref="D11:K11" si="4">D9+D10</f>
        <v>1551424.2999999989</v>
      </c>
      <c r="E11" s="508">
        <f>E9+E10</f>
        <v>3906114.21</v>
      </c>
      <c r="F11" s="509">
        <f t="shared" si="4"/>
        <v>3162345.2800000068</v>
      </c>
      <c r="G11" s="508">
        <f t="shared" si="4"/>
        <v>3613963.81</v>
      </c>
      <c r="H11" s="510">
        <f t="shared" si="4"/>
        <v>2231159.7800000021</v>
      </c>
      <c r="I11" s="510">
        <f t="shared" si="4"/>
        <v>137048.7899999982</v>
      </c>
      <c r="J11" s="508">
        <f t="shared" si="4"/>
        <v>712279.059999994</v>
      </c>
      <c r="K11" s="508">
        <f t="shared" si="4"/>
        <v>560334.07999999705</v>
      </c>
      <c r="L11" s="508">
        <f>L9+L10</f>
        <v>241068.84000000596</v>
      </c>
      <c r="M11" s="508">
        <f>M9+M10</f>
        <v>1042529.4799999899</v>
      </c>
      <c r="N11" s="508">
        <f>N9+N10</f>
        <v>-1908610.7300000095</v>
      </c>
      <c r="O11" s="508">
        <f>O9+O10</f>
        <v>-2451501.8100000024</v>
      </c>
      <c r="P11" s="494"/>
      <c r="R11" s="669"/>
    </row>
    <row r="12" spans="1:18" s="513" customFormat="1" ht="18" thickBot="1" x14ac:dyDescent="0.3">
      <c r="A12" s="741" t="s">
        <v>4701</v>
      </c>
      <c r="B12" s="742"/>
      <c r="C12" s="743"/>
      <c r="D12" s="511"/>
      <c r="E12" s="511"/>
      <c r="F12" s="511"/>
      <c r="G12" s="511"/>
      <c r="H12" s="511"/>
      <c r="I12" s="511"/>
      <c r="J12" s="511"/>
      <c r="K12" s="511"/>
      <c r="L12" s="511"/>
      <c r="M12" s="511"/>
      <c r="N12" s="511"/>
      <c r="O12" s="511"/>
      <c r="P12" s="512"/>
    </row>
    <row r="13" spans="1:18" s="517" customFormat="1" x14ac:dyDescent="0.3">
      <c r="A13" s="758" t="s">
        <v>4702</v>
      </c>
      <c r="B13" s="514">
        <v>411111</v>
      </c>
      <c r="C13" s="515" t="s">
        <v>4703</v>
      </c>
      <c r="D13" s="491">
        <v>0</v>
      </c>
      <c r="E13" s="491">
        <v>0</v>
      </c>
      <c r="F13" s="684">
        <f>'[2]03.2022'!G1449</f>
        <v>0</v>
      </c>
      <c r="G13" s="490">
        <f>'[2]04.2022'!G1454</f>
        <v>22161.22</v>
      </c>
      <c r="H13" s="490">
        <f>'[2]05.2022'!G1459</f>
        <v>46696.86</v>
      </c>
      <c r="I13" s="491">
        <f>'[2]06.2022'!G233</f>
        <v>47574.65</v>
      </c>
      <c r="J13" s="491">
        <f>'[2]07.2022'!G215</f>
        <v>47574.65</v>
      </c>
      <c r="K13" s="492">
        <f>'[2]08.2022'!G219</f>
        <v>47574.65</v>
      </c>
      <c r="L13" s="491">
        <f>'[2]09.2022'!G218</f>
        <v>47574.65</v>
      </c>
      <c r="M13" s="492">
        <f>'[2]10.2022'!G224</f>
        <v>47574.65</v>
      </c>
      <c r="N13" s="492">
        <f>'[2]11.2022'!G233</f>
        <v>47574.65</v>
      </c>
      <c r="O13" s="491">
        <f>'[2]12.2022'!H252</f>
        <v>47574.65</v>
      </c>
      <c r="P13" s="516"/>
      <c r="R13" s="686">
        <f>F13*34%</f>
        <v>0</v>
      </c>
    </row>
    <row r="14" spans="1:18" s="517" customFormat="1" x14ac:dyDescent="0.3">
      <c r="A14" s="744"/>
      <c r="B14" s="514">
        <v>411113</v>
      </c>
      <c r="C14" s="515" t="s">
        <v>897</v>
      </c>
      <c r="D14" s="491">
        <v>0</v>
      </c>
      <c r="E14" s="491">
        <v>0</v>
      </c>
      <c r="F14" s="684">
        <f>'[2]03.2023'!H216</f>
        <v>5034.72</v>
      </c>
      <c r="G14" s="490">
        <f>'[2]04.2022'!G1455</f>
        <v>24525.7</v>
      </c>
      <c r="H14" s="490">
        <f>'[2]05.2022'!G1460</f>
        <v>24525.7</v>
      </c>
      <c r="I14" s="491">
        <f>'[2]06.2022'!G234</f>
        <v>25354.66</v>
      </c>
      <c r="J14" s="491">
        <f>'[2]07.2022'!G216</f>
        <v>25354.66</v>
      </c>
      <c r="K14" s="492">
        <f>'[2]08.2022'!G220</f>
        <v>25354.66</v>
      </c>
      <c r="L14" s="491">
        <f>'[2]09.2022'!G219</f>
        <v>25354.66</v>
      </c>
      <c r="M14" s="492">
        <f>'[2]10.2022'!G225</f>
        <v>31553.68</v>
      </c>
      <c r="N14" s="492">
        <f>'[2]11.2022'!G234</f>
        <v>31553.68</v>
      </c>
      <c r="O14" s="491">
        <f>'[2]12.2022'!H253</f>
        <v>31857.77</v>
      </c>
      <c r="P14" s="516"/>
      <c r="R14" s="686">
        <f>F14*34%</f>
        <v>1711.8048000000001</v>
      </c>
    </row>
    <row r="15" spans="1:18" s="517" customFormat="1" x14ac:dyDescent="0.3">
      <c r="A15" s="744"/>
      <c r="B15" s="514">
        <v>411310</v>
      </c>
      <c r="C15" s="515" t="s">
        <v>215</v>
      </c>
      <c r="D15" s="490">
        <f>'[2]01.2023'!H220</f>
        <v>340</v>
      </c>
      <c r="E15" s="490">
        <f>'[2]02.2023'!H226</f>
        <v>680</v>
      </c>
      <c r="F15" s="684">
        <f>'[2]03.2023'!H230</f>
        <v>1020</v>
      </c>
      <c r="G15" s="490">
        <f>'[2]04.2022'!G1476</f>
        <v>1752</v>
      </c>
      <c r="H15" s="490">
        <f>'[2]05.2022'!G1481</f>
        <v>2190</v>
      </c>
      <c r="I15" s="491">
        <f>'[2]06.2022'!G248</f>
        <v>2580</v>
      </c>
      <c r="J15" s="491">
        <f>'[2]07.2022'!G230</f>
        <v>2996</v>
      </c>
      <c r="K15" s="492">
        <f>'[2]08.2022'!G234</f>
        <v>3412</v>
      </c>
      <c r="L15" s="491">
        <f>'[2]09.2022'!G233</f>
        <v>3828</v>
      </c>
      <c r="M15" s="492">
        <f>'[2]10.2022'!G239</f>
        <v>4244</v>
      </c>
      <c r="N15" s="492">
        <f>'[2]11.2022'!G248</f>
        <v>4660</v>
      </c>
      <c r="O15" s="491">
        <f>'[2]12.2022'!H267</f>
        <v>4880</v>
      </c>
      <c r="P15" s="516"/>
    </row>
    <row r="16" spans="1:18" s="517" customFormat="1" x14ac:dyDescent="0.3">
      <c r="A16" s="744"/>
      <c r="B16" s="514">
        <v>416211</v>
      </c>
      <c r="C16" s="515" t="s">
        <v>4704</v>
      </c>
      <c r="D16" s="491">
        <f>'[2]01.2022'!G1557</f>
        <v>0</v>
      </c>
      <c r="E16" s="491">
        <v>0</v>
      </c>
      <c r="F16" s="491">
        <f>'[2]03.2022'!G1566</f>
        <v>0</v>
      </c>
      <c r="G16" s="491">
        <f>'[2]04.2022'!G1570</f>
        <v>0</v>
      </c>
      <c r="H16" s="491">
        <f>'[2]05.2022'!G1575</f>
        <v>0</v>
      </c>
      <c r="I16" s="491">
        <v>0</v>
      </c>
      <c r="J16" s="491">
        <v>0</v>
      </c>
      <c r="K16" s="491">
        <v>0</v>
      </c>
      <c r="L16" s="491">
        <v>0</v>
      </c>
      <c r="M16" s="491">
        <v>0</v>
      </c>
      <c r="N16" s="491">
        <v>0</v>
      </c>
      <c r="O16" s="491">
        <v>0</v>
      </c>
      <c r="P16" s="516"/>
    </row>
    <row r="17" spans="1:20" s="495" customFormat="1" x14ac:dyDescent="0.3">
      <c r="A17" s="744"/>
      <c r="B17" s="514">
        <v>421110</v>
      </c>
      <c r="C17" s="515" t="s">
        <v>4703</v>
      </c>
      <c r="D17" s="490">
        <f>'[2]01.2023'!H253</f>
        <v>18055.72</v>
      </c>
      <c r="E17" s="490">
        <f>'[2]02.2023'!H264</f>
        <v>22715.26</v>
      </c>
      <c r="F17" s="684">
        <f>'[2]03.2023'!H269</f>
        <v>22715.26</v>
      </c>
      <c r="G17" s="491">
        <f>'[2]04.2022'!G1593</f>
        <v>0</v>
      </c>
      <c r="H17" s="490">
        <f>'[2]05.2022'!G1598</f>
        <v>6193.88</v>
      </c>
      <c r="I17" s="491">
        <f>'[2]06.2022'!G288</f>
        <v>20913.98</v>
      </c>
      <c r="J17" s="491">
        <f>'[2]07.2022'!G270</f>
        <v>57368.88</v>
      </c>
      <c r="K17" s="492">
        <f>'[2]08.2022'!G273</f>
        <v>84127.62</v>
      </c>
      <c r="L17" s="491">
        <f>'[2]09.2022'!G272</f>
        <v>84127.62</v>
      </c>
      <c r="M17" s="492">
        <f>'[2]10.2022'!G278</f>
        <v>84127.62</v>
      </c>
      <c r="N17" s="492">
        <f>'[2]11.2022'!G287</f>
        <v>84127.62</v>
      </c>
      <c r="O17" s="491">
        <f>'[2]12.2022'!H308</f>
        <v>96358.92</v>
      </c>
      <c r="P17" s="494"/>
      <c r="R17" s="518">
        <f>F17*34%</f>
        <v>7723.1884</v>
      </c>
    </row>
    <row r="18" spans="1:20" s="495" customFormat="1" x14ac:dyDescent="0.3">
      <c r="A18" s="744"/>
      <c r="B18" s="514">
        <v>421112</v>
      </c>
      <c r="C18" s="515" t="s">
        <v>897</v>
      </c>
      <c r="D18" s="491">
        <f>'[2]01.2022'!G1581</f>
        <v>0</v>
      </c>
      <c r="E18" s="491">
        <v>0</v>
      </c>
      <c r="F18" s="684">
        <f>'[2]03.2023'!H270</f>
        <v>7573.41</v>
      </c>
      <c r="G18" s="491">
        <f>'[2]04.2022'!G1594</f>
        <v>0</v>
      </c>
      <c r="H18" s="491">
        <f>'[2]05.2022'!G1599</f>
        <v>0</v>
      </c>
      <c r="I18" s="491">
        <v>0</v>
      </c>
      <c r="J18" s="491">
        <v>0</v>
      </c>
      <c r="K18" s="491">
        <v>0</v>
      </c>
      <c r="L18" s="491">
        <v>0</v>
      </c>
      <c r="M18" s="491">
        <v>0</v>
      </c>
      <c r="N18" s="491">
        <v>0</v>
      </c>
      <c r="O18" s="491">
        <v>0</v>
      </c>
      <c r="P18" s="494"/>
      <c r="R18" s="518">
        <f>F18*34%</f>
        <v>2574.9594000000002</v>
      </c>
      <c r="S18" s="518">
        <f>R14+R17+R18</f>
        <v>12009.952600000001</v>
      </c>
      <c r="T18" s="518">
        <f>S18/1000</f>
        <v>12.0099526</v>
      </c>
    </row>
    <row r="19" spans="1:20" s="495" customFormat="1" x14ac:dyDescent="0.3">
      <c r="A19" s="744"/>
      <c r="B19" s="514">
        <v>421310</v>
      </c>
      <c r="C19" s="515" t="s">
        <v>215</v>
      </c>
      <c r="D19" s="490">
        <f>'[2]01.2023'!H268</f>
        <v>624</v>
      </c>
      <c r="E19" s="490">
        <f>'[2]02.2023'!H279</f>
        <v>1250</v>
      </c>
      <c r="F19" s="684">
        <f>'[2]03.2023'!H285</f>
        <v>1876</v>
      </c>
      <c r="G19" s="490">
        <f>'[2]04.2022'!G1616</f>
        <v>2652</v>
      </c>
      <c r="H19" s="490">
        <f>'[2]05.2022'!G1621</f>
        <v>3315</v>
      </c>
      <c r="I19" s="491">
        <f>'[2]06.2022'!G303</f>
        <v>3964</v>
      </c>
      <c r="J19" s="491">
        <f>'[2]07.2022'!G285</f>
        <v>4582</v>
      </c>
      <c r="K19" s="492">
        <f>'[2]08.2022'!G288</f>
        <v>5200</v>
      </c>
      <c r="L19" s="491">
        <f>'[2]09.2022'!G287</f>
        <v>5818</v>
      </c>
      <c r="M19" s="492">
        <f>'[2]10.2022'!G293</f>
        <v>6436</v>
      </c>
      <c r="N19" s="492">
        <f>'[2]11.2022'!G302</f>
        <v>7054</v>
      </c>
      <c r="O19" s="491">
        <f>'[2]12.2022'!H323</f>
        <v>7588</v>
      </c>
      <c r="P19" s="494"/>
    </row>
    <row r="20" spans="1:20" s="495" customFormat="1" x14ac:dyDescent="0.3">
      <c r="A20" s="744"/>
      <c r="B20" s="514">
        <v>42541</v>
      </c>
      <c r="C20" s="489" t="s">
        <v>4705</v>
      </c>
      <c r="D20" s="491">
        <f>'[2]01.2022'!G1673</f>
        <v>0</v>
      </c>
      <c r="E20" s="491">
        <v>0</v>
      </c>
      <c r="F20" s="491">
        <v>0</v>
      </c>
      <c r="G20" s="490">
        <f>'[2]04.2022'!G1686</f>
        <v>178512.66</v>
      </c>
      <c r="H20" s="490">
        <f>'[2]05.2022'!G1691</f>
        <v>178512.66</v>
      </c>
      <c r="I20" s="491">
        <f>'[2]06.2022'!G335</f>
        <v>178512.66</v>
      </c>
      <c r="J20" s="491">
        <f>'[2]07.2022'!G317</f>
        <v>178512.66</v>
      </c>
      <c r="K20" s="492">
        <f>'[2]08.2022'!G320</f>
        <v>178512.66</v>
      </c>
      <c r="L20" s="491">
        <f>'[2]09.2022'!G319</f>
        <v>228883.71</v>
      </c>
      <c r="M20" s="492">
        <f>'[2]10.2022'!G325</f>
        <v>228883.71</v>
      </c>
      <c r="N20" s="492">
        <f>'[2]11.2022'!G335</f>
        <v>228883.71</v>
      </c>
      <c r="O20" s="491">
        <f>'[2]12.2022'!H352</f>
        <v>228883.71</v>
      </c>
      <c r="P20" s="494"/>
    </row>
    <row r="21" spans="1:20" s="495" customFormat="1" x14ac:dyDescent="0.3">
      <c r="A21" s="744"/>
      <c r="B21" s="514">
        <v>42542</v>
      </c>
      <c r="C21" s="515" t="s">
        <v>4706</v>
      </c>
      <c r="D21" s="491">
        <f>'[2]01.2022'!G1674</f>
        <v>0</v>
      </c>
      <c r="E21" s="491">
        <v>0</v>
      </c>
      <c r="F21" s="491">
        <v>0</v>
      </c>
      <c r="G21" s="491">
        <f>'[2]04.2022'!G1687</f>
        <v>0</v>
      </c>
      <c r="H21" s="491">
        <f>'[2]05.2022'!G1692</f>
        <v>0</v>
      </c>
      <c r="I21" s="491">
        <v>0</v>
      </c>
      <c r="J21" s="491">
        <v>0</v>
      </c>
      <c r="K21" s="491">
        <v>0</v>
      </c>
      <c r="L21" s="491">
        <v>0</v>
      </c>
      <c r="M21" s="491">
        <v>0</v>
      </c>
      <c r="N21" s="491">
        <v>0</v>
      </c>
      <c r="O21" s="491">
        <v>0</v>
      </c>
      <c r="P21" s="494"/>
      <c r="T21" s="495">
        <v>11</v>
      </c>
    </row>
    <row r="22" spans="1:20" s="495" customFormat="1" x14ac:dyDescent="0.3">
      <c r="A22" s="744"/>
      <c r="B22" s="514">
        <v>42543</v>
      </c>
      <c r="C22" s="489" t="s">
        <v>912</v>
      </c>
      <c r="D22" s="491">
        <f>'[2]01.2022'!G1675</f>
        <v>0</v>
      </c>
      <c r="E22" s="491">
        <v>0</v>
      </c>
      <c r="F22" s="491">
        <v>0</v>
      </c>
      <c r="G22" s="491">
        <f>'[2]04.2022'!G1688</f>
        <v>0</v>
      </c>
      <c r="H22" s="491">
        <f>'[2]05.2022'!G1693</f>
        <v>0</v>
      </c>
      <c r="I22" s="491">
        <v>0</v>
      </c>
      <c r="J22" s="491">
        <v>0</v>
      </c>
      <c r="K22" s="491">
        <v>0</v>
      </c>
      <c r="L22" s="491">
        <f>'[2]09.2022'!G320</f>
        <v>5067.3599999999997</v>
      </c>
      <c r="M22" s="492">
        <f>'[2]10.2022'!G326</f>
        <v>5067.3599999999997</v>
      </c>
      <c r="N22" s="492">
        <f>'[2]11.2022'!G336</f>
        <v>5067.3599999999997</v>
      </c>
      <c r="O22" s="491">
        <f>'[2]12.2022'!H353</f>
        <v>5067.3599999999997</v>
      </c>
      <c r="P22" s="494"/>
      <c r="R22" s="518"/>
    </row>
    <row r="23" spans="1:20" s="495" customFormat="1" x14ac:dyDescent="0.3">
      <c r="A23" s="744"/>
      <c r="B23" s="514">
        <v>42544</v>
      </c>
      <c r="C23" s="489" t="s">
        <v>4707</v>
      </c>
      <c r="D23" s="491">
        <v>0</v>
      </c>
      <c r="E23" s="491">
        <v>0</v>
      </c>
      <c r="F23" s="491">
        <v>0</v>
      </c>
      <c r="G23" s="491"/>
      <c r="H23" s="491"/>
      <c r="I23" s="491">
        <v>0</v>
      </c>
      <c r="J23" s="491">
        <v>0</v>
      </c>
      <c r="K23" s="491">
        <v>0</v>
      </c>
      <c r="L23" s="491">
        <f>'[2]09.2022'!G321</f>
        <v>2346.3000000000002</v>
      </c>
      <c r="M23" s="492">
        <f>'[2]10.2022'!G327</f>
        <v>2346.3000000000002</v>
      </c>
      <c r="N23" s="492">
        <f>'[2]11.2022'!G337</f>
        <v>2346.3000000000002</v>
      </c>
      <c r="O23" s="491">
        <f>'[2]12.2022'!H354</f>
        <v>2346.3000000000002</v>
      </c>
      <c r="P23" s="494"/>
    </row>
    <row r="24" spans="1:20" s="495" customFormat="1" x14ac:dyDescent="0.3">
      <c r="A24" s="744"/>
      <c r="B24" s="514">
        <v>42720</v>
      </c>
      <c r="C24" s="489" t="s">
        <v>4708</v>
      </c>
      <c r="D24" s="490">
        <f>'[2]01.2023'!H310</f>
        <v>20735.650000000001</v>
      </c>
      <c r="E24" s="490">
        <f>'[2]02.2023'!H332</f>
        <v>41471.300000000003</v>
      </c>
      <c r="F24" s="685">
        <f>'[2]03.2023'!H340</f>
        <v>1522061.72</v>
      </c>
      <c r="G24" s="490">
        <f>'[2]04.2022'!G1742</f>
        <v>373608.29</v>
      </c>
      <c r="H24" s="490">
        <f>'[2]05.2022'!G1747</f>
        <v>463227.74</v>
      </c>
      <c r="I24" s="491">
        <f>'[2]06.2022'!G364</f>
        <v>601833.38</v>
      </c>
      <c r="J24" s="491">
        <f>'[2]07.2022'!G347</f>
        <v>648082.22</v>
      </c>
      <c r="K24" s="492">
        <f>'[2]08.2022'!G350</f>
        <v>694331.06</v>
      </c>
      <c r="L24" s="491">
        <f>'[2]09.2022'!G351</f>
        <v>800824.15</v>
      </c>
      <c r="M24" s="492">
        <f>'[2]10.2022'!G358</f>
        <v>867155.11</v>
      </c>
      <c r="N24" s="492">
        <f>'[2]11.2022'!G367</f>
        <v>933486.07</v>
      </c>
      <c r="O24" s="491">
        <f>'[2]12.2022'!H384</f>
        <v>946011.8</v>
      </c>
      <c r="P24" s="494"/>
    </row>
    <row r="25" spans="1:20" s="495" customFormat="1" x14ac:dyDescent="0.3">
      <c r="A25" s="744"/>
      <c r="B25" s="514">
        <v>426213</v>
      </c>
      <c r="C25" s="515" t="s">
        <v>4704</v>
      </c>
      <c r="D25" s="490">
        <f>'[2]01.2023'!H304</f>
        <v>4980.5</v>
      </c>
      <c r="E25" s="490">
        <f>'[2]02.2023'!H326</f>
        <v>4980.5</v>
      </c>
      <c r="F25" s="491">
        <f>'[2]03.2023'!H334</f>
        <v>0</v>
      </c>
      <c r="G25" s="490">
        <f>'[2]04.2022'!G1724</f>
        <v>39560.300000000003</v>
      </c>
      <c r="H25" s="490">
        <f>'[2]05.2022'!G1729</f>
        <v>39560.300000000003</v>
      </c>
      <c r="I25" s="491">
        <f>'[2]06.2022'!G358</f>
        <v>39560.300000000003</v>
      </c>
      <c r="J25" s="491">
        <f>'[2]07.2022'!G340</f>
        <v>39560.300000000003</v>
      </c>
      <c r="K25" s="492">
        <f>'[2]08.2022'!G343</f>
        <v>40550.300000000003</v>
      </c>
      <c r="L25" s="491">
        <f>'[2]09.2022'!G344</f>
        <v>40550.300000000003</v>
      </c>
      <c r="M25" s="492">
        <f>'[2]10.2022'!G350</f>
        <v>40550.300000000003</v>
      </c>
      <c r="N25" s="492">
        <f>'[2]11.2022'!G360</f>
        <v>40550.300000000003</v>
      </c>
      <c r="O25" s="491">
        <f>'[2]12.2022'!H377</f>
        <v>45767.3</v>
      </c>
      <c r="P25" s="494"/>
    </row>
    <row r="26" spans="1:20" s="495" customFormat="1" ht="18" thickBot="1" x14ac:dyDescent="0.35">
      <c r="A26" s="744"/>
      <c r="B26" s="514">
        <v>427121</v>
      </c>
      <c r="C26" s="489" t="s">
        <v>4516</v>
      </c>
      <c r="D26" s="491">
        <f>'[2]01.2022'!G1729</f>
        <v>0</v>
      </c>
      <c r="E26" s="491">
        <v>0</v>
      </c>
      <c r="F26" s="491">
        <v>0</v>
      </c>
      <c r="G26" s="491">
        <f>'[2]04.2022'!G1743</f>
        <v>0</v>
      </c>
      <c r="H26" s="491">
        <f>'[2]05.2022'!G1748</f>
        <v>0</v>
      </c>
      <c r="I26" s="491">
        <v>0</v>
      </c>
      <c r="J26" s="491">
        <v>0</v>
      </c>
      <c r="K26" s="491">
        <v>0</v>
      </c>
      <c r="L26" s="491">
        <v>0</v>
      </c>
      <c r="M26" s="491">
        <v>0</v>
      </c>
      <c r="N26" s="491">
        <v>0</v>
      </c>
      <c r="O26" s="491">
        <v>0</v>
      </c>
      <c r="P26" s="494"/>
    </row>
    <row r="27" spans="1:20" s="513" customFormat="1" ht="18" thickBot="1" x14ac:dyDescent="0.3">
      <c r="A27" s="741" t="s">
        <v>4709</v>
      </c>
      <c r="B27" s="742"/>
      <c r="C27" s="743"/>
      <c r="D27" s="519">
        <f>SUM(D13:D26)</f>
        <v>44735.87</v>
      </c>
      <c r="E27" s="519">
        <f>SUM(E13:E26)</f>
        <v>71097.06</v>
      </c>
      <c r="F27" s="519">
        <f>SUM(F13:F26)</f>
        <v>1560281.1099999999</v>
      </c>
      <c r="G27" s="519">
        <f t="shared" ref="G27:N27" si="5">SUM(G13:G26)</f>
        <v>642772.17000000004</v>
      </c>
      <c r="H27" s="519">
        <f t="shared" si="5"/>
        <v>764222.14</v>
      </c>
      <c r="I27" s="519">
        <f t="shared" si="5"/>
        <v>920293.63000000012</v>
      </c>
      <c r="J27" s="519">
        <f t="shared" si="5"/>
        <v>1004031.37</v>
      </c>
      <c r="K27" s="519">
        <f t="shared" si="5"/>
        <v>1079062.95</v>
      </c>
      <c r="L27" s="519">
        <f t="shared" si="5"/>
        <v>1244374.75</v>
      </c>
      <c r="M27" s="519">
        <f t="shared" si="5"/>
        <v>1317938.73</v>
      </c>
      <c r="N27" s="519">
        <f t="shared" si="5"/>
        <v>1385303.69</v>
      </c>
      <c r="O27" s="519">
        <f>SUM(O13:O26)</f>
        <v>1416335.81</v>
      </c>
      <c r="P27" s="512"/>
      <c r="Q27" s="520"/>
      <c r="R27" s="670">
        <f>F27*34%</f>
        <v>530495.57739999995</v>
      </c>
      <c r="S27" s="670">
        <f>R27/1000</f>
        <v>530.4955774</v>
      </c>
    </row>
    <row r="28" spans="1:20" s="513" customFormat="1" ht="18" thickBot="1" x14ac:dyDescent="0.3">
      <c r="A28" s="745" t="s">
        <v>4710</v>
      </c>
      <c r="B28" s="746"/>
      <c r="C28" s="747"/>
      <c r="D28" s="521"/>
      <c r="E28" s="521"/>
      <c r="F28" s="603"/>
      <c r="G28" s="522"/>
      <c r="H28" s="522"/>
      <c r="I28" s="521"/>
      <c r="J28" s="521"/>
      <c r="K28" s="521"/>
      <c r="L28" s="521"/>
      <c r="M28" s="521"/>
      <c r="N28" s="521"/>
      <c r="O28" s="521"/>
      <c r="P28" s="512"/>
    </row>
    <row r="29" spans="1:20" s="529" customFormat="1" ht="15.75" customHeight="1" x14ac:dyDescent="0.3">
      <c r="A29" s="759" t="s">
        <v>4711</v>
      </c>
      <c r="B29" s="523">
        <v>33611</v>
      </c>
      <c r="C29" s="524" t="s">
        <v>4235</v>
      </c>
      <c r="D29" s="527">
        <f>'[2]01.2022'!G1398</f>
        <v>0</v>
      </c>
      <c r="E29" s="527">
        <v>0</v>
      </c>
      <c r="F29" s="527">
        <v>0</v>
      </c>
      <c r="G29" s="527">
        <f>'[2]04.2022'!G1411</f>
        <v>0</v>
      </c>
      <c r="H29" s="527">
        <f>'[2]05.2022'!G1416</f>
        <v>0</v>
      </c>
      <c r="I29" s="527">
        <v>0</v>
      </c>
      <c r="J29" s="527">
        <v>0</v>
      </c>
      <c r="K29" s="527">
        <v>0</v>
      </c>
      <c r="L29" s="527">
        <v>0</v>
      </c>
      <c r="M29" s="527">
        <v>0</v>
      </c>
      <c r="N29" s="527">
        <v>0</v>
      </c>
      <c r="O29" s="527">
        <f>'[2]12.2021'!G210</f>
        <v>0</v>
      </c>
      <c r="P29" s="528"/>
    </row>
    <row r="30" spans="1:20" s="529" customFormat="1" ht="18" customHeight="1" x14ac:dyDescent="0.3">
      <c r="A30" s="760"/>
      <c r="B30" s="530">
        <v>33612</v>
      </c>
      <c r="C30" s="531" t="s">
        <v>201</v>
      </c>
      <c r="D30" s="527">
        <f>'[2]01.2022'!G1399</f>
        <v>0</v>
      </c>
      <c r="E30" s="527">
        <v>0</v>
      </c>
      <c r="F30" s="527">
        <v>0</v>
      </c>
      <c r="G30" s="534">
        <f>-'[2]04.2022'!G1412</f>
        <v>22945.54</v>
      </c>
      <c r="H30" s="534">
        <f>'[2]05.2022'!G1417</f>
        <v>22945.54</v>
      </c>
      <c r="I30" s="534">
        <f>'[2]06.2022'!G219</f>
        <v>22945.54</v>
      </c>
      <c r="J30" s="532">
        <f>'[2]07.2022'!G201</f>
        <v>22945.54</v>
      </c>
      <c r="K30" s="532">
        <f>'[2]08.2022'!G205</f>
        <v>22945.54</v>
      </c>
      <c r="L30" s="532">
        <f>'[2]09.2022'!G203</f>
        <v>22976.05</v>
      </c>
      <c r="M30" s="535">
        <f>'[2]10.2022'!G212</f>
        <v>22976.05</v>
      </c>
      <c r="N30" s="536">
        <f>'[2]11.2022'!G221</f>
        <v>22976.05</v>
      </c>
      <c r="O30" s="537">
        <f>'[2]12.2022'!H237</f>
        <v>24169.200000000001</v>
      </c>
      <c r="P30" s="528"/>
    </row>
    <row r="31" spans="1:20" s="529" customFormat="1" ht="18" customHeight="1" thickBot="1" x14ac:dyDescent="0.35">
      <c r="A31" s="538"/>
      <c r="B31" s="530">
        <v>33613</v>
      </c>
      <c r="C31" s="531" t="s">
        <v>886</v>
      </c>
      <c r="D31" s="527">
        <f>'[2]01.2022'!G1400</f>
        <v>0</v>
      </c>
      <c r="E31" s="527">
        <v>0</v>
      </c>
      <c r="F31" s="527">
        <v>0</v>
      </c>
      <c r="G31" s="534">
        <f>'[2]04.2022'!G1413</f>
        <v>0</v>
      </c>
      <c r="H31" s="534">
        <f>'[2]05.2022'!G1418</f>
        <v>0</v>
      </c>
      <c r="I31" s="534">
        <v>0</v>
      </c>
      <c r="J31" s="534">
        <v>0</v>
      </c>
      <c r="K31" s="534">
        <v>0</v>
      </c>
      <c r="L31" s="534">
        <v>0</v>
      </c>
      <c r="M31" s="534">
        <v>0</v>
      </c>
      <c r="N31" s="534">
        <v>0</v>
      </c>
      <c r="O31" s="534">
        <f>'[2]12.2022'!H238</f>
        <v>49681.23</v>
      </c>
      <c r="P31" s="528"/>
    </row>
    <row r="32" spans="1:20" s="513" customFormat="1" ht="18" thickBot="1" x14ac:dyDescent="0.35">
      <c r="A32" s="749" t="s">
        <v>4712</v>
      </c>
      <c r="B32" s="750"/>
      <c r="C32" s="751"/>
      <c r="D32" s="671">
        <f>SUM(D29:D31)</f>
        <v>0</v>
      </c>
      <c r="E32" s="671">
        <f>SUM(E29:E31)</f>
        <v>0</v>
      </c>
      <c r="F32" s="672">
        <f>SUM(F29:F31)</f>
        <v>0</v>
      </c>
      <c r="G32" s="541">
        <f>SUM(G29:G31)</f>
        <v>22945.54</v>
      </c>
      <c r="H32" s="542">
        <f t="shared" ref="H32" si="6">SUM(H29:H30)</f>
        <v>22945.54</v>
      </c>
      <c r="I32" s="543">
        <f>SUM(I29:I30)</f>
        <v>22945.54</v>
      </c>
      <c r="J32" s="543">
        <f>SUM(J29:J30)</f>
        <v>22945.54</v>
      </c>
      <c r="K32" s="544">
        <f>SUM(K29:K30)</f>
        <v>22945.54</v>
      </c>
      <c r="L32" s="543">
        <f t="shared" ref="L32:M32" si="7">SUM(L29:L30)</f>
        <v>22976.05</v>
      </c>
      <c r="M32" s="543">
        <f t="shared" si="7"/>
        <v>22976.05</v>
      </c>
      <c r="N32" s="544">
        <f>SUM(N29:N31)</f>
        <v>22976.05</v>
      </c>
      <c r="O32" s="544">
        <f>SUM(O29:O31)</f>
        <v>73850.430000000008</v>
      </c>
      <c r="P32" s="512"/>
    </row>
    <row r="33" spans="1:18" x14ac:dyDescent="0.3">
      <c r="A33" s="545" t="s">
        <v>4713</v>
      </c>
      <c r="B33" s="546"/>
      <c r="C33" s="546"/>
      <c r="D33" s="547">
        <f>D11+D27-D32</f>
        <v>1596160.169999999</v>
      </c>
      <c r="E33" s="547">
        <f>E11+E27-E32</f>
        <v>3977211.27</v>
      </c>
      <c r="F33" s="673">
        <f>F11+F27-F32</f>
        <v>4722626.3900000062</v>
      </c>
      <c r="G33" s="549">
        <f t="shared" ref="G33:M33" si="8">G11+G27-G32</f>
        <v>4233790.4400000004</v>
      </c>
      <c r="H33" s="550">
        <f t="shared" si="8"/>
        <v>2972436.3800000022</v>
      </c>
      <c r="I33" s="551">
        <f t="shared" si="8"/>
        <v>1034396.8799999983</v>
      </c>
      <c r="J33" s="547">
        <f t="shared" si="8"/>
        <v>1693364.8899999941</v>
      </c>
      <c r="K33" s="547">
        <f t="shared" si="8"/>
        <v>1616451.489999997</v>
      </c>
      <c r="L33" s="551">
        <f t="shared" si="8"/>
        <v>1462467.5400000059</v>
      </c>
      <c r="M33" s="547">
        <f t="shared" si="8"/>
        <v>2337492.1599999899</v>
      </c>
      <c r="N33" s="547">
        <f>N11+N27-N32</f>
        <v>-546283.09000000963</v>
      </c>
      <c r="O33" s="552">
        <f>O11+O27-O32</f>
        <v>-1109016.4300000023</v>
      </c>
    </row>
    <row r="34" spans="1:18" ht="18" thickBot="1" x14ac:dyDescent="0.35">
      <c r="A34" s="524" t="s">
        <v>4714</v>
      </c>
      <c r="B34" s="524"/>
      <c r="C34" s="524"/>
      <c r="D34" s="553">
        <f>-D33*30%</f>
        <v>-478848.05099999969</v>
      </c>
      <c r="E34" s="553">
        <f>-E33*30%</f>
        <v>-1193163.3810000001</v>
      </c>
      <c r="F34" s="553">
        <f>-F33*30%</f>
        <v>-1416787.9170000018</v>
      </c>
      <c r="G34" s="553">
        <f t="shared" ref="G34:M34" si="9">-G33*30%</f>
        <v>-1270137.132</v>
      </c>
      <c r="H34" s="555">
        <f t="shared" si="9"/>
        <v>-891730.91400000069</v>
      </c>
      <c r="I34" s="553">
        <f t="shared" si="9"/>
        <v>-310319.06399999949</v>
      </c>
      <c r="J34" s="553">
        <f t="shared" si="9"/>
        <v>-508009.4669999982</v>
      </c>
      <c r="K34" s="553">
        <f t="shared" si="9"/>
        <v>-484935.44699999905</v>
      </c>
      <c r="L34" s="553">
        <f t="shared" si="9"/>
        <v>-438740.26200000173</v>
      </c>
      <c r="M34" s="553">
        <f t="shared" si="9"/>
        <v>-701247.6479999969</v>
      </c>
      <c r="N34" s="553">
        <v>0</v>
      </c>
      <c r="O34" s="553">
        <v>0</v>
      </c>
      <c r="P34" s="556"/>
    </row>
    <row r="35" spans="1:18" ht="18" thickBot="1" x14ac:dyDescent="0.35">
      <c r="A35" s="726" t="s">
        <v>4715</v>
      </c>
      <c r="B35" s="727"/>
      <c r="C35" s="728"/>
      <c r="D35" s="557">
        <f>D33+D34</f>
        <v>1117312.1189999992</v>
      </c>
      <c r="E35" s="557">
        <f>E33+E34</f>
        <v>2784047.889</v>
      </c>
      <c r="F35" s="557">
        <f>F33+F34</f>
        <v>3305838.4730000044</v>
      </c>
      <c r="G35" s="557">
        <f t="shared" ref="G35:M35" si="10">G33+G34</f>
        <v>2963653.3080000002</v>
      </c>
      <c r="H35" s="559">
        <f t="shared" si="10"/>
        <v>2080705.4660000014</v>
      </c>
      <c r="I35" s="559">
        <f t="shared" si="10"/>
        <v>724077.81599999871</v>
      </c>
      <c r="J35" s="557">
        <f t="shared" si="10"/>
        <v>1185355.4229999958</v>
      </c>
      <c r="K35" s="557">
        <f t="shared" si="10"/>
        <v>1131516.042999998</v>
      </c>
      <c r="L35" s="559">
        <f t="shared" si="10"/>
        <v>1023727.2780000041</v>
      </c>
      <c r="M35" s="557">
        <f t="shared" si="10"/>
        <v>1636244.5119999931</v>
      </c>
      <c r="N35" s="557">
        <f>N33+N34</f>
        <v>-546283.09000000963</v>
      </c>
      <c r="O35" s="557">
        <f>O33+O34</f>
        <v>-1109016.4300000023</v>
      </c>
    </row>
    <row r="36" spans="1:18" s="495" customFormat="1" ht="18" thickBot="1" x14ac:dyDescent="0.35">
      <c r="A36" s="730" t="s">
        <v>4716</v>
      </c>
      <c r="B36" s="731"/>
      <c r="C36" s="732">
        <f t="shared" ref="C36" si="11">IF(C34&gt;0,C34*9%,0)</f>
        <v>0</v>
      </c>
      <c r="D36" s="508">
        <f>IF(D35&gt;0,D35*0.09,0)</f>
        <v>100558.09070999993</v>
      </c>
      <c r="E36" s="560">
        <f>IF(E35&gt;0,E35*0.09,0)</f>
        <v>250564.31000999999</v>
      </c>
      <c r="F36" s="561">
        <f>IF(F35&gt;0,F35*0.09,0)</f>
        <v>297525.46257000038</v>
      </c>
      <c r="G36" s="561">
        <f>IF(G35&gt;0,G35*0.09,0)</f>
        <v>266728.79772000003</v>
      </c>
      <c r="H36" s="562">
        <f>IF(H35&gt;0,H33*0.09,0)</f>
        <v>267519.27420000022</v>
      </c>
      <c r="I36" s="561">
        <f>IF(I35&gt;0,I35*0.09,0)</f>
        <v>65167.003439999884</v>
      </c>
      <c r="J36" s="508">
        <f t="shared" ref="J36:M36" si="12">IF(J33&gt;0,J33*0.09,0)</f>
        <v>152402.84009999945</v>
      </c>
      <c r="K36" s="508">
        <f>IF(K33&gt;0,K33*0.09,0)</f>
        <v>145480.63409999973</v>
      </c>
      <c r="L36" s="508">
        <f>IF(L33&gt;0,L33*0.09,0)</f>
        <v>131622.07860000053</v>
      </c>
      <c r="M36" s="508">
        <f t="shared" si="12"/>
        <v>210374.29439999908</v>
      </c>
      <c r="N36" s="508">
        <f>IF(N33&gt;0,N33*0.09,0)</f>
        <v>0</v>
      </c>
      <c r="O36" s="508">
        <f>IF(O33&gt;0,O33*0.09,0)</f>
        <v>0</v>
      </c>
      <c r="P36" s="563"/>
      <c r="R36" s="518"/>
    </row>
    <row r="37" spans="1:18" x14ac:dyDescent="0.3">
      <c r="A37" s="524"/>
      <c r="B37" s="564"/>
      <c r="C37" s="564"/>
      <c r="D37" s="565"/>
      <c r="E37" s="565"/>
      <c r="F37" s="674"/>
      <c r="G37" s="565"/>
      <c r="H37" s="567"/>
      <c r="I37" s="565"/>
      <c r="J37" s="565"/>
      <c r="K37" s="565"/>
      <c r="L37" s="565"/>
      <c r="M37" s="565"/>
      <c r="N37" s="565"/>
      <c r="O37" s="565"/>
    </row>
    <row r="38" spans="1:18" x14ac:dyDescent="0.3">
      <c r="A38" s="752" t="s">
        <v>4717</v>
      </c>
      <c r="B38" s="753"/>
      <c r="C38" s="754"/>
      <c r="D38" s="565"/>
      <c r="E38" s="565"/>
      <c r="F38" s="565"/>
      <c r="G38" s="565"/>
      <c r="H38" s="565"/>
      <c r="I38" s="565"/>
      <c r="J38" s="565"/>
      <c r="K38" s="565"/>
      <c r="L38" s="565"/>
      <c r="M38" s="565"/>
      <c r="N38" s="565"/>
      <c r="O38" s="565"/>
    </row>
    <row r="39" spans="1:18" x14ac:dyDescent="0.3">
      <c r="A39" s="524" t="s">
        <v>4718</v>
      </c>
      <c r="B39" s="564"/>
      <c r="C39" s="564">
        <v>0</v>
      </c>
      <c r="D39" s="532">
        <f>C44</f>
        <v>0</v>
      </c>
      <c r="E39" s="532">
        <f>D44</f>
        <v>100558.09070999993</v>
      </c>
      <c r="F39" s="532">
        <f>E42+E44</f>
        <v>250564.31000999999</v>
      </c>
      <c r="G39" s="532">
        <f>F42+F44</f>
        <v>297525.46257000038</v>
      </c>
      <c r="H39" s="532">
        <f t="shared" ref="H39:O39" si="13">G42+G44</f>
        <v>266728.79772000003</v>
      </c>
      <c r="I39" s="532">
        <f t="shared" si="13"/>
        <v>267519.27420000022</v>
      </c>
      <c r="J39" s="532">
        <f t="shared" si="13"/>
        <v>65167.003439999884</v>
      </c>
      <c r="K39" s="532">
        <f t="shared" si="13"/>
        <v>152402.84009999945</v>
      </c>
      <c r="L39" s="532">
        <f t="shared" si="13"/>
        <v>145480.63409999973</v>
      </c>
      <c r="M39" s="532">
        <f t="shared" si="13"/>
        <v>131622.07860000053</v>
      </c>
      <c r="N39" s="532">
        <f t="shared" si="13"/>
        <v>210374.29439999908</v>
      </c>
      <c r="O39" s="532">
        <f t="shared" si="13"/>
        <v>0</v>
      </c>
    </row>
    <row r="40" spans="1:18" x14ac:dyDescent="0.3">
      <c r="A40" s="489" t="s">
        <v>4719</v>
      </c>
      <c r="B40" s="675"/>
      <c r="C40" s="675">
        <v>0</v>
      </c>
      <c r="D40" s="676">
        <v>0</v>
      </c>
      <c r="E40" s="565">
        <v>0</v>
      </c>
      <c r="F40" s="565">
        <v>0</v>
      </c>
      <c r="G40" s="565">
        <v>0</v>
      </c>
      <c r="H40" s="565">
        <v>0</v>
      </c>
      <c r="I40" s="565">
        <v>0</v>
      </c>
      <c r="J40" s="565">
        <v>0</v>
      </c>
      <c r="K40" s="565">
        <v>0</v>
      </c>
      <c r="L40" s="565">
        <v>0</v>
      </c>
      <c r="M40" s="565">
        <v>0</v>
      </c>
      <c r="N40" s="565">
        <v>0</v>
      </c>
      <c r="O40" s="565">
        <v>0</v>
      </c>
    </row>
    <row r="41" spans="1:18" ht="18" thickBot="1" x14ac:dyDescent="0.35">
      <c r="A41" s="524"/>
      <c r="B41" s="564"/>
      <c r="C41" s="564"/>
      <c r="D41" s="565"/>
      <c r="E41" s="565"/>
      <c r="F41" s="565"/>
      <c r="G41" s="565"/>
      <c r="H41" s="565"/>
      <c r="I41" s="565"/>
      <c r="J41" s="565"/>
      <c r="K41" s="565"/>
      <c r="L41" s="565"/>
      <c r="M41" s="565"/>
      <c r="N41" s="565"/>
      <c r="O41" s="565"/>
    </row>
    <row r="42" spans="1:18" s="495" customFormat="1" ht="18" thickBot="1" x14ac:dyDescent="0.35">
      <c r="A42" s="730" t="s">
        <v>4720</v>
      </c>
      <c r="B42" s="731">
        <v>0</v>
      </c>
      <c r="C42" s="732">
        <f t="shared" ref="C42" si="14">SUM(C39:C41)</f>
        <v>0</v>
      </c>
      <c r="D42" s="508">
        <f t="shared" ref="D42:M42" si="15">SUM(D39:D41)</f>
        <v>0</v>
      </c>
      <c r="E42" s="508">
        <f t="shared" si="15"/>
        <v>100558.09070999993</v>
      </c>
      <c r="F42" s="508">
        <f>SUM(F39:F41)</f>
        <v>250564.31000999999</v>
      </c>
      <c r="G42" s="508">
        <f t="shared" si="15"/>
        <v>297525.46257000038</v>
      </c>
      <c r="H42" s="508">
        <f t="shared" si="15"/>
        <v>266728.79772000003</v>
      </c>
      <c r="I42" s="508">
        <f t="shared" si="15"/>
        <v>267519.27420000022</v>
      </c>
      <c r="J42" s="508">
        <f t="shared" si="15"/>
        <v>65167.003439999884</v>
      </c>
      <c r="K42" s="508">
        <f>SUM(K39:K41)</f>
        <v>152402.84009999945</v>
      </c>
      <c r="L42" s="508">
        <f t="shared" si="15"/>
        <v>145480.63409999973</v>
      </c>
      <c r="M42" s="508">
        <f t="shared" si="15"/>
        <v>131622.07860000053</v>
      </c>
      <c r="N42" s="508">
        <f>SUM(N39:N41)</f>
        <v>210374.29439999908</v>
      </c>
      <c r="O42" s="508">
        <f>SUM(O39:O41)</f>
        <v>0</v>
      </c>
      <c r="P42" s="494"/>
    </row>
    <row r="43" spans="1:18" ht="18" thickBot="1" x14ac:dyDescent="0.35">
      <c r="A43" s="531"/>
      <c r="B43" s="568"/>
      <c r="C43" s="568"/>
      <c r="D43" s="565"/>
      <c r="E43" s="565"/>
      <c r="F43" s="565"/>
      <c r="G43" s="565"/>
      <c r="H43" s="565"/>
      <c r="I43" s="565"/>
      <c r="J43" s="565"/>
      <c r="K43" s="565"/>
      <c r="L43" s="565"/>
      <c r="M43" s="565"/>
      <c r="N43" s="565"/>
      <c r="O43" s="565"/>
    </row>
    <row r="44" spans="1:18" s="495" customFormat="1" ht="21" thickBot="1" x14ac:dyDescent="0.35">
      <c r="A44" s="733" t="s">
        <v>4721</v>
      </c>
      <c r="B44" s="734"/>
      <c r="C44" s="735"/>
      <c r="D44" s="508">
        <f t="shared" ref="D44" si="16">D36-D42</f>
        <v>100558.09070999993</v>
      </c>
      <c r="E44" s="508">
        <f>E36-E42</f>
        <v>150006.21930000006</v>
      </c>
      <c r="F44" s="508">
        <f>F36-F42</f>
        <v>46961.152560000395</v>
      </c>
      <c r="G44" s="508">
        <f>G36-G42</f>
        <v>-30796.66485000035</v>
      </c>
      <c r="H44" s="508">
        <f>H36-H42</f>
        <v>790.47648000018671</v>
      </c>
      <c r="I44" s="508">
        <f>I36-I42</f>
        <v>-202352.27076000033</v>
      </c>
      <c r="J44" s="508">
        <f t="shared" ref="J44" si="17">J36-J42</f>
        <v>87235.836659999564</v>
      </c>
      <c r="K44" s="508">
        <f>K36-K42</f>
        <v>-6922.2059999997145</v>
      </c>
      <c r="L44" s="508">
        <f>L36-L42</f>
        <v>-13858.555499999202</v>
      </c>
      <c r="M44" s="508">
        <f>M36-M42</f>
        <v>78752.21579999855</v>
      </c>
      <c r="N44" s="508">
        <f>N36-N42</f>
        <v>-210374.29439999908</v>
      </c>
      <c r="O44" s="508">
        <f>O36-O42</f>
        <v>0</v>
      </c>
      <c r="P44" s="494"/>
    </row>
    <row r="45" spans="1:18" s="495" customFormat="1" x14ac:dyDescent="0.3">
      <c r="P45" s="494"/>
    </row>
    <row r="46" spans="1:18" s="495" customFormat="1" x14ac:dyDescent="0.3">
      <c r="A46" s="569"/>
      <c r="B46" s="570"/>
      <c r="C46" s="570"/>
      <c r="D46" s="571"/>
      <c r="E46" s="571"/>
      <c r="F46" s="571"/>
      <c r="G46" s="571"/>
      <c r="H46" s="571"/>
      <c r="I46" s="571"/>
      <c r="J46" s="571"/>
      <c r="K46" s="571"/>
      <c r="L46" s="571"/>
      <c r="M46" s="571"/>
      <c r="N46" s="571"/>
      <c r="O46" s="571"/>
      <c r="P46" s="494"/>
    </row>
    <row r="47" spans="1:18" s="495" customFormat="1" x14ac:dyDescent="0.3">
      <c r="A47" s="572"/>
      <c r="B47" s="573"/>
      <c r="C47" s="573"/>
      <c r="D47" s="574"/>
      <c r="E47" s="574"/>
      <c r="F47" s="574"/>
      <c r="G47" s="574"/>
      <c r="H47" s="574"/>
      <c r="I47" s="574"/>
      <c r="J47" s="574"/>
      <c r="K47" s="574"/>
      <c r="L47" s="574"/>
      <c r="M47" s="574"/>
      <c r="N47" s="574"/>
      <c r="O47" s="574"/>
      <c r="P47" s="494"/>
    </row>
    <row r="48" spans="1:18" s="495" customFormat="1" x14ac:dyDescent="0.3">
      <c r="P48" s="494"/>
    </row>
    <row r="49" spans="1:18" x14ac:dyDescent="0.3">
      <c r="A49" s="736" t="s">
        <v>4722</v>
      </c>
      <c r="B49" s="483" t="s">
        <v>4683</v>
      </c>
      <c r="C49" s="484" t="s">
        <v>281</v>
      </c>
      <c r="D49" s="485" t="s">
        <v>4684</v>
      </c>
      <c r="E49" s="485" t="s">
        <v>4685</v>
      </c>
      <c r="F49" s="485" t="s">
        <v>4686</v>
      </c>
      <c r="G49" s="485" t="s">
        <v>4687</v>
      </c>
      <c r="H49" s="485" t="s">
        <v>4688</v>
      </c>
      <c r="I49" s="485" t="s">
        <v>4689</v>
      </c>
      <c r="J49" s="485" t="s">
        <v>4690</v>
      </c>
      <c r="K49" s="485" t="s">
        <v>4691</v>
      </c>
      <c r="L49" s="485" t="s">
        <v>4692</v>
      </c>
      <c r="M49" s="485" t="s">
        <v>4693</v>
      </c>
      <c r="N49" s="485" t="s">
        <v>4694</v>
      </c>
      <c r="O49" s="485" t="s">
        <v>4695</v>
      </c>
    </row>
    <row r="50" spans="1:18" x14ac:dyDescent="0.3">
      <c r="A50" s="737"/>
      <c r="B50" s="488">
        <v>3</v>
      </c>
      <c r="C50" s="489" t="s">
        <v>56</v>
      </c>
      <c r="D50" s="492">
        <f>D7</f>
        <v>11891006.949999999</v>
      </c>
      <c r="E50" s="490">
        <f>E7</f>
        <v>25385208.739999998</v>
      </c>
      <c r="F50" s="492">
        <f>F7</f>
        <v>36035568.840000004</v>
      </c>
      <c r="G50" s="492">
        <f t="shared" ref="D50:N51" si="18">G7</f>
        <v>39850436.390000001</v>
      </c>
      <c r="H50" s="491">
        <f t="shared" si="18"/>
        <v>47289761.380000003</v>
      </c>
      <c r="I50" s="492">
        <f t="shared" si="18"/>
        <v>58270033.719999999</v>
      </c>
      <c r="J50" s="492">
        <f t="shared" si="18"/>
        <v>68508548.799999997</v>
      </c>
      <c r="K50" s="492">
        <f t="shared" si="18"/>
        <v>77878509.329999998</v>
      </c>
      <c r="L50" s="492">
        <f t="shared" si="18"/>
        <v>86966560.060000002</v>
      </c>
      <c r="M50" s="492">
        <f>M7</f>
        <v>97854416.489999995</v>
      </c>
      <c r="N50" s="492">
        <f>N7</f>
        <v>106433883.59999999</v>
      </c>
      <c r="O50" s="491">
        <f>O7</f>
        <v>119101212.62</v>
      </c>
    </row>
    <row r="51" spans="1:18" x14ac:dyDescent="0.3">
      <c r="A51" s="575"/>
      <c r="B51" s="497">
        <v>4</v>
      </c>
      <c r="C51" s="498" t="s">
        <v>204</v>
      </c>
      <c r="D51" s="576">
        <f t="shared" si="18"/>
        <v>10339582.65</v>
      </c>
      <c r="E51" s="499">
        <f>E8</f>
        <v>21832221.059999999</v>
      </c>
      <c r="F51" s="492">
        <f>F8</f>
        <v>33776380.299999997</v>
      </c>
      <c r="G51" s="492">
        <f t="shared" si="18"/>
        <v>36816461.890000001</v>
      </c>
      <c r="H51" s="491">
        <f t="shared" si="18"/>
        <v>45993774.890000001</v>
      </c>
      <c r="I51" s="492">
        <f t="shared" si="18"/>
        <v>58268983.640000001</v>
      </c>
      <c r="J51" s="492">
        <f t="shared" si="18"/>
        <v>67932268.450000003</v>
      </c>
      <c r="K51" s="492">
        <f t="shared" si="18"/>
        <v>77641537.030000001</v>
      </c>
      <c r="L51" s="492">
        <f t="shared" si="18"/>
        <v>86955557.159999996</v>
      </c>
      <c r="M51" s="492">
        <f>M8</f>
        <v>97018241.620000005</v>
      </c>
      <c r="N51" s="492">
        <f t="shared" si="18"/>
        <v>108768856.34</v>
      </c>
      <c r="O51" s="491">
        <f>O8</f>
        <v>121552714.43000001</v>
      </c>
    </row>
    <row r="52" spans="1:18" ht="23.25" customHeight="1" x14ac:dyDescent="0.3">
      <c r="A52" s="738" t="s">
        <v>4723</v>
      </c>
      <c r="B52" s="739"/>
      <c r="C52" s="740"/>
      <c r="D52" s="577">
        <f>D50-D51</f>
        <v>1551424.2999999989</v>
      </c>
      <c r="E52" s="577">
        <f>E50-E51</f>
        <v>3552987.6799999997</v>
      </c>
      <c r="F52" s="577">
        <f>F50-F51</f>
        <v>2259188.5400000066</v>
      </c>
      <c r="G52" s="577">
        <f>G50-G51</f>
        <v>3033974.5</v>
      </c>
      <c r="H52" s="578">
        <f>H50-H51</f>
        <v>1295986.4900000021</v>
      </c>
      <c r="I52" s="577">
        <f t="shared" ref="I52:O52" si="19">I50-I51</f>
        <v>1050.0799999982119</v>
      </c>
      <c r="J52" s="577">
        <f t="shared" si="19"/>
        <v>576280.34999999404</v>
      </c>
      <c r="K52" s="577">
        <f t="shared" si="19"/>
        <v>236972.29999999702</v>
      </c>
      <c r="L52" s="577">
        <f t="shared" si="19"/>
        <v>11002.90000000596</v>
      </c>
      <c r="M52" s="579">
        <f t="shared" si="19"/>
        <v>836174.86999998987</v>
      </c>
      <c r="N52" s="577">
        <f t="shared" si="19"/>
        <v>-2334972.7400000095</v>
      </c>
      <c r="O52" s="578">
        <f t="shared" si="19"/>
        <v>-2451501.8100000024</v>
      </c>
    </row>
    <row r="53" spans="1:18" ht="18" thickBot="1" x14ac:dyDescent="0.35">
      <c r="A53" s="496" t="s">
        <v>4724</v>
      </c>
      <c r="B53" s="580" t="s">
        <v>4698</v>
      </c>
      <c r="C53" s="581" t="s">
        <v>4699</v>
      </c>
      <c r="D53" s="583">
        <f>D10</f>
        <v>0</v>
      </c>
      <c r="E53" s="583">
        <f>E10</f>
        <v>353126.53</v>
      </c>
      <c r="F53" s="583">
        <f>F10</f>
        <v>903156.74</v>
      </c>
      <c r="G53" s="584">
        <f t="shared" ref="G53:L53" si="20">G10</f>
        <v>579989.31000000006</v>
      </c>
      <c r="H53" s="584">
        <f t="shared" si="20"/>
        <v>935173.29</v>
      </c>
      <c r="I53" s="584">
        <f t="shared" si="20"/>
        <v>135998.71</v>
      </c>
      <c r="J53" s="583">
        <f t="shared" si="20"/>
        <v>135998.71</v>
      </c>
      <c r="K53" s="584">
        <f t="shared" si="20"/>
        <v>323361.78000000003</v>
      </c>
      <c r="L53" s="583">
        <f t="shared" si="20"/>
        <v>230065.94</v>
      </c>
      <c r="M53" s="583">
        <f>M10</f>
        <v>206354.61</v>
      </c>
      <c r="N53" s="583">
        <f>N10</f>
        <v>426362.01</v>
      </c>
      <c r="O53" s="583">
        <f>O10</f>
        <v>0</v>
      </c>
      <c r="P53" s="556"/>
    </row>
    <row r="54" spans="1:18" s="495" customFormat="1" ht="18" thickBot="1" x14ac:dyDescent="0.35">
      <c r="A54" s="730" t="s">
        <v>4725</v>
      </c>
      <c r="B54" s="731"/>
      <c r="C54" s="732"/>
      <c r="D54" s="508">
        <f>D52+D53</f>
        <v>1551424.2999999989</v>
      </c>
      <c r="E54" s="508">
        <f>E52+E53</f>
        <v>3906114.21</v>
      </c>
      <c r="F54" s="508">
        <f>F52+F53</f>
        <v>3162345.2800000068</v>
      </c>
      <c r="G54" s="508">
        <f>G52+G53</f>
        <v>3613963.81</v>
      </c>
      <c r="H54" s="508">
        <f t="shared" ref="H54:I54" si="21">H52+H53</f>
        <v>2231159.7800000021</v>
      </c>
      <c r="I54" s="508">
        <f t="shared" si="21"/>
        <v>137048.7899999982</v>
      </c>
      <c r="J54" s="508">
        <f>J52+J53</f>
        <v>712279.059999994</v>
      </c>
      <c r="K54" s="508">
        <f t="shared" ref="K54" si="22">K52+K53</f>
        <v>560334.07999999705</v>
      </c>
      <c r="L54" s="508">
        <f>L52+L53</f>
        <v>241068.84000000596</v>
      </c>
      <c r="M54" s="585">
        <f>M52+M53</f>
        <v>1042529.4799999899</v>
      </c>
      <c r="N54" s="508">
        <f t="shared" ref="N54" si="23">N52+N53</f>
        <v>-1908610.7300000095</v>
      </c>
      <c r="O54" s="508">
        <f>O52+O53</f>
        <v>-2451501.8100000024</v>
      </c>
      <c r="P54" s="586">
        <f>D54-D11</f>
        <v>0</v>
      </c>
      <c r="R54" s="677">
        <f>F54-F11</f>
        <v>0</v>
      </c>
    </row>
    <row r="55" spans="1:18" s="513" customFormat="1" ht="18" thickBot="1" x14ac:dyDescent="0.3">
      <c r="A55" s="741" t="s">
        <v>4701</v>
      </c>
      <c r="B55" s="742"/>
      <c r="C55" s="743"/>
      <c r="D55" s="511"/>
      <c r="E55" s="511"/>
      <c r="F55" s="511"/>
      <c r="G55" s="511"/>
      <c r="H55" s="511"/>
      <c r="I55" s="511"/>
      <c r="J55" s="511"/>
      <c r="K55" s="511"/>
      <c r="L55" s="511"/>
      <c r="M55" s="511"/>
      <c r="N55" s="511"/>
      <c r="O55" s="511"/>
      <c r="P55" s="512"/>
    </row>
    <row r="56" spans="1:18" x14ac:dyDescent="0.3">
      <c r="A56" s="744" t="s">
        <v>4702</v>
      </c>
      <c r="B56" s="587">
        <v>411111</v>
      </c>
      <c r="C56" s="588" t="s">
        <v>4703</v>
      </c>
      <c r="D56" s="590">
        <f t="shared" ref="D56:O66" si="24">D13</f>
        <v>0</v>
      </c>
      <c r="E56" s="590">
        <f t="shared" si="24"/>
        <v>0</v>
      </c>
      <c r="F56" s="590">
        <f t="shared" si="24"/>
        <v>0</v>
      </c>
      <c r="G56" s="589">
        <f t="shared" si="24"/>
        <v>22161.22</v>
      </c>
      <c r="H56" s="589">
        <f t="shared" si="24"/>
        <v>46696.86</v>
      </c>
      <c r="I56" s="589">
        <f t="shared" si="24"/>
        <v>47574.65</v>
      </c>
      <c r="J56" s="589">
        <f t="shared" si="24"/>
        <v>47574.65</v>
      </c>
      <c r="K56" s="589">
        <f t="shared" si="24"/>
        <v>47574.65</v>
      </c>
      <c r="L56" s="589">
        <f t="shared" si="24"/>
        <v>47574.65</v>
      </c>
      <c r="M56" s="589">
        <f>M13</f>
        <v>47574.65</v>
      </c>
      <c r="N56" s="589">
        <f t="shared" si="24"/>
        <v>47574.65</v>
      </c>
      <c r="O56" s="589">
        <f>O13</f>
        <v>47574.65</v>
      </c>
      <c r="P56" s="556"/>
    </row>
    <row r="57" spans="1:18" x14ac:dyDescent="0.3">
      <c r="A57" s="744"/>
      <c r="B57" s="523">
        <v>411113</v>
      </c>
      <c r="C57" s="515" t="s">
        <v>897</v>
      </c>
      <c r="D57" s="590">
        <f t="shared" si="24"/>
        <v>0</v>
      </c>
      <c r="E57" s="590">
        <f t="shared" si="24"/>
        <v>0</v>
      </c>
      <c r="F57" s="590">
        <f t="shared" si="24"/>
        <v>5034.72</v>
      </c>
      <c r="G57" s="589">
        <f t="shared" si="24"/>
        <v>24525.7</v>
      </c>
      <c r="H57" s="589">
        <f t="shared" si="24"/>
        <v>24525.7</v>
      </c>
      <c r="I57" s="589">
        <f t="shared" si="24"/>
        <v>25354.66</v>
      </c>
      <c r="J57" s="589">
        <f t="shared" si="24"/>
        <v>25354.66</v>
      </c>
      <c r="K57" s="589">
        <f t="shared" si="24"/>
        <v>25354.66</v>
      </c>
      <c r="L57" s="589">
        <f t="shared" si="24"/>
        <v>25354.66</v>
      </c>
      <c r="M57" s="589">
        <f t="shared" si="24"/>
        <v>31553.68</v>
      </c>
      <c r="N57" s="589">
        <f t="shared" si="24"/>
        <v>31553.68</v>
      </c>
      <c r="O57" s="589">
        <f>O14</f>
        <v>31857.77</v>
      </c>
      <c r="P57" s="556"/>
    </row>
    <row r="58" spans="1:18" x14ac:dyDescent="0.3">
      <c r="A58" s="744"/>
      <c r="B58" s="523">
        <v>411310</v>
      </c>
      <c r="C58" s="515" t="s">
        <v>215</v>
      </c>
      <c r="D58" s="553">
        <f t="shared" si="24"/>
        <v>340</v>
      </c>
      <c r="E58" s="589">
        <f t="shared" si="24"/>
        <v>680</v>
      </c>
      <c r="F58" s="553">
        <f t="shared" si="24"/>
        <v>1020</v>
      </c>
      <c r="G58" s="589">
        <f t="shared" si="24"/>
        <v>1752</v>
      </c>
      <c r="H58" s="589">
        <f t="shared" si="24"/>
        <v>2190</v>
      </c>
      <c r="I58" s="589">
        <f t="shared" si="24"/>
        <v>2580</v>
      </c>
      <c r="J58" s="589">
        <f t="shared" si="24"/>
        <v>2996</v>
      </c>
      <c r="K58" s="589">
        <f t="shared" si="24"/>
        <v>3412</v>
      </c>
      <c r="L58" s="589">
        <f t="shared" si="24"/>
        <v>3828</v>
      </c>
      <c r="M58" s="589">
        <f t="shared" si="24"/>
        <v>4244</v>
      </c>
      <c r="N58" s="589">
        <f t="shared" si="24"/>
        <v>4660</v>
      </c>
      <c r="O58" s="589">
        <f>O15</f>
        <v>4880</v>
      </c>
    </row>
    <row r="59" spans="1:18" x14ac:dyDescent="0.3">
      <c r="A59" s="744"/>
      <c r="B59" s="523">
        <v>416211</v>
      </c>
      <c r="C59" s="515" t="s">
        <v>4704</v>
      </c>
      <c r="D59" s="590">
        <f t="shared" si="24"/>
        <v>0</v>
      </c>
      <c r="E59" s="590">
        <f t="shared" si="24"/>
        <v>0</v>
      </c>
      <c r="F59" s="590">
        <f t="shared" si="24"/>
        <v>0</v>
      </c>
      <c r="G59" s="589">
        <f t="shared" si="24"/>
        <v>0</v>
      </c>
      <c r="H59" s="590">
        <f t="shared" si="24"/>
        <v>0</v>
      </c>
      <c r="I59" s="590">
        <f t="shared" si="24"/>
        <v>0</v>
      </c>
      <c r="J59" s="590">
        <f t="shared" si="24"/>
        <v>0</v>
      </c>
      <c r="K59" s="590">
        <f t="shared" si="24"/>
        <v>0</v>
      </c>
      <c r="L59" s="590">
        <f t="shared" si="24"/>
        <v>0</v>
      </c>
      <c r="M59" s="590">
        <f t="shared" si="24"/>
        <v>0</v>
      </c>
      <c r="N59" s="590">
        <f t="shared" si="24"/>
        <v>0</v>
      </c>
      <c r="O59" s="590">
        <f t="shared" si="24"/>
        <v>0</v>
      </c>
    </row>
    <row r="60" spans="1:18" x14ac:dyDescent="0.3">
      <c r="A60" s="744"/>
      <c r="B60" s="523">
        <v>421110</v>
      </c>
      <c r="C60" s="515" t="s">
        <v>4703</v>
      </c>
      <c r="D60" s="553">
        <f t="shared" si="24"/>
        <v>18055.72</v>
      </c>
      <c r="E60" s="589">
        <f t="shared" si="24"/>
        <v>22715.26</v>
      </c>
      <c r="F60" s="553">
        <f t="shared" si="24"/>
        <v>22715.26</v>
      </c>
      <c r="G60" s="589">
        <f t="shared" si="24"/>
        <v>0</v>
      </c>
      <c r="H60" s="589">
        <f t="shared" si="24"/>
        <v>6193.88</v>
      </c>
      <c r="I60" s="589">
        <f t="shared" si="24"/>
        <v>20913.98</v>
      </c>
      <c r="J60" s="589">
        <f t="shared" si="24"/>
        <v>57368.88</v>
      </c>
      <c r="K60" s="589">
        <f t="shared" si="24"/>
        <v>84127.62</v>
      </c>
      <c r="L60" s="589">
        <f t="shared" si="24"/>
        <v>84127.62</v>
      </c>
      <c r="M60" s="589">
        <f t="shared" si="24"/>
        <v>84127.62</v>
      </c>
      <c r="N60" s="589">
        <f t="shared" si="24"/>
        <v>84127.62</v>
      </c>
      <c r="O60" s="589">
        <f>O17</f>
        <v>96358.92</v>
      </c>
    </row>
    <row r="61" spans="1:18" x14ac:dyDescent="0.3">
      <c r="A61" s="744"/>
      <c r="B61" s="523">
        <v>421112</v>
      </c>
      <c r="C61" s="515" t="s">
        <v>897</v>
      </c>
      <c r="D61" s="590">
        <f t="shared" si="24"/>
        <v>0</v>
      </c>
      <c r="E61" s="590">
        <f t="shared" si="24"/>
        <v>0</v>
      </c>
      <c r="F61" s="590">
        <f t="shared" si="24"/>
        <v>7573.41</v>
      </c>
      <c r="G61" s="589">
        <f t="shared" si="24"/>
        <v>0</v>
      </c>
      <c r="H61" s="590">
        <f t="shared" si="24"/>
        <v>0</v>
      </c>
      <c r="I61" s="590">
        <f t="shared" si="24"/>
        <v>0</v>
      </c>
      <c r="J61" s="590">
        <f t="shared" si="24"/>
        <v>0</v>
      </c>
      <c r="K61" s="590">
        <f t="shared" si="24"/>
        <v>0</v>
      </c>
      <c r="L61" s="590">
        <f t="shared" si="24"/>
        <v>0</v>
      </c>
      <c r="M61" s="590">
        <f t="shared" si="24"/>
        <v>0</v>
      </c>
      <c r="N61" s="590">
        <f t="shared" si="24"/>
        <v>0</v>
      </c>
      <c r="O61" s="591">
        <f t="shared" si="24"/>
        <v>0</v>
      </c>
    </row>
    <row r="62" spans="1:18" x14ac:dyDescent="0.3">
      <c r="A62" s="744"/>
      <c r="B62" s="523">
        <v>421310</v>
      </c>
      <c r="C62" s="515" t="s">
        <v>215</v>
      </c>
      <c r="D62" s="553">
        <f t="shared" si="24"/>
        <v>624</v>
      </c>
      <c r="E62" s="589">
        <f t="shared" si="24"/>
        <v>1250</v>
      </c>
      <c r="F62" s="553">
        <f t="shared" si="24"/>
        <v>1876</v>
      </c>
      <c r="G62" s="589">
        <f t="shared" si="24"/>
        <v>2652</v>
      </c>
      <c r="H62" s="589">
        <f t="shared" si="24"/>
        <v>3315</v>
      </c>
      <c r="I62" s="589">
        <f t="shared" si="24"/>
        <v>3964</v>
      </c>
      <c r="J62" s="589">
        <f t="shared" si="24"/>
        <v>4582</v>
      </c>
      <c r="K62" s="589">
        <f t="shared" si="24"/>
        <v>5200</v>
      </c>
      <c r="L62" s="589">
        <f t="shared" si="24"/>
        <v>5818</v>
      </c>
      <c r="M62" s="589">
        <f t="shared" si="24"/>
        <v>6436</v>
      </c>
      <c r="N62" s="589">
        <f t="shared" si="24"/>
        <v>7054</v>
      </c>
      <c r="O62" s="589">
        <f>O19</f>
        <v>7588</v>
      </c>
    </row>
    <row r="63" spans="1:18" x14ac:dyDescent="0.3">
      <c r="A63" s="744"/>
      <c r="B63" s="523">
        <v>42541</v>
      </c>
      <c r="C63" s="524" t="s">
        <v>4705</v>
      </c>
      <c r="D63" s="590">
        <f t="shared" si="24"/>
        <v>0</v>
      </c>
      <c r="E63" s="590">
        <f t="shared" si="24"/>
        <v>0</v>
      </c>
      <c r="F63" s="590">
        <f t="shared" si="24"/>
        <v>0</v>
      </c>
      <c r="G63" s="589">
        <f t="shared" si="24"/>
        <v>178512.66</v>
      </c>
      <c r="H63" s="589">
        <f t="shared" si="24"/>
        <v>178512.66</v>
      </c>
      <c r="I63" s="589">
        <f t="shared" si="24"/>
        <v>178512.66</v>
      </c>
      <c r="J63" s="589">
        <f t="shared" si="24"/>
        <v>178512.66</v>
      </c>
      <c r="K63" s="589">
        <f t="shared" si="24"/>
        <v>178512.66</v>
      </c>
      <c r="L63" s="589">
        <f t="shared" si="24"/>
        <v>228883.71</v>
      </c>
      <c r="M63" s="589">
        <f t="shared" si="24"/>
        <v>228883.71</v>
      </c>
      <c r="N63" s="589">
        <f t="shared" si="24"/>
        <v>228883.71</v>
      </c>
      <c r="O63" s="589">
        <f>O20</f>
        <v>228883.71</v>
      </c>
    </row>
    <row r="64" spans="1:18" x14ac:dyDescent="0.3">
      <c r="A64" s="744"/>
      <c r="B64" s="523">
        <v>42542</v>
      </c>
      <c r="C64" s="515" t="s">
        <v>4706</v>
      </c>
      <c r="D64" s="590">
        <f t="shared" si="24"/>
        <v>0</v>
      </c>
      <c r="E64" s="590">
        <f t="shared" si="24"/>
        <v>0</v>
      </c>
      <c r="F64" s="590">
        <f t="shared" si="24"/>
        <v>0</v>
      </c>
      <c r="G64" s="590">
        <f t="shared" si="24"/>
        <v>0</v>
      </c>
      <c r="H64" s="590">
        <f t="shared" si="24"/>
        <v>0</v>
      </c>
      <c r="I64" s="590">
        <f t="shared" si="24"/>
        <v>0</v>
      </c>
      <c r="J64" s="590">
        <f t="shared" si="24"/>
        <v>0</v>
      </c>
      <c r="K64" s="590">
        <f t="shared" si="24"/>
        <v>0</v>
      </c>
      <c r="L64" s="590">
        <f t="shared" si="24"/>
        <v>0</v>
      </c>
      <c r="M64" s="590">
        <f t="shared" si="24"/>
        <v>0</v>
      </c>
      <c r="N64" s="590">
        <f t="shared" si="24"/>
        <v>0</v>
      </c>
      <c r="O64" s="590">
        <f t="shared" si="24"/>
        <v>0</v>
      </c>
    </row>
    <row r="65" spans="1:18" x14ac:dyDescent="0.3">
      <c r="A65" s="744"/>
      <c r="B65" s="523">
        <v>42543</v>
      </c>
      <c r="C65" s="524" t="s">
        <v>912</v>
      </c>
      <c r="D65" s="590">
        <f t="shared" si="24"/>
        <v>0</v>
      </c>
      <c r="E65" s="590">
        <f t="shared" si="24"/>
        <v>0</v>
      </c>
      <c r="F65" s="590">
        <f t="shared" si="24"/>
        <v>0</v>
      </c>
      <c r="G65" s="590">
        <f t="shared" si="24"/>
        <v>0</v>
      </c>
      <c r="H65" s="590">
        <f t="shared" si="24"/>
        <v>0</v>
      </c>
      <c r="I65" s="590">
        <f t="shared" si="24"/>
        <v>0</v>
      </c>
      <c r="J65" s="590">
        <f t="shared" si="24"/>
        <v>0</v>
      </c>
      <c r="K65" s="590">
        <f t="shared" si="24"/>
        <v>0</v>
      </c>
      <c r="L65" s="589">
        <f t="shared" si="24"/>
        <v>5067.3599999999997</v>
      </c>
      <c r="M65" s="589">
        <f t="shared" si="24"/>
        <v>5067.3599999999997</v>
      </c>
      <c r="N65" s="589">
        <f t="shared" si="24"/>
        <v>5067.3599999999997</v>
      </c>
      <c r="O65" s="589">
        <f t="shared" si="24"/>
        <v>5067.3599999999997</v>
      </c>
    </row>
    <row r="66" spans="1:18" x14ac:dyDescent="0.3">
      <c r="A66" s="744"/>
      <c r="B66" s="523">
        <v>42544</v>
      </c>
      <c r="C66" s="524" t="s">
        <v>4726</v>
      </c>
      <c r="D66" s="590">
        <f>D23</f>
        <v>0</v>
      </c>
      <c r="E66" s="590">
        <v>0</v>
      </c>
      <c r="F66" s="590">
        <f t="shared" si="24"/>
        <v>0</v>
      </c>
      <c r="G66" s="592"/>
      <c r="H66" s="592"/>
      <c r="I66" s="592"/>
      <c r="J66" s="592">
        <v>0</v>
      </c>
      <c r="K66" s="592">
        <v>0</v>
      </c>
      <c r="L66" s="589">
        <f>L23</f>
        <v>2346.3000000000002</v>
      </c>
      <c r="M66" s="589">
        <f>M23</f>
        <v>2346.3000000000002</v>
      </c>
      <c r="N66" s="589">
        <f>N23</f>
        <v>2346.3000000000002</v>
      </c>
      <c r="O66" s="589">
        <f>O23</f>
        <v>2346.3000000000002</v>
      </c>
    </row>
    <row r="67" spans="1:18" x14ac:dyDescent="0.3">
      <c r="A67" s="744"/>
      <c r="B67" s="523">
        <v>42720</v>
      </c>
      <c r="C67" s="524" t="s">
        <v>4708</v>
      </c>
      <c r="D67" s="553">
        <f t="shared" ref="D67:M69" si="25">D24</f>
        <v>20735.650000000001</v>
      </c>
      <c r="E67" s="589">
        <f t="shared" si="25"/>
        <v>41471.300000000003</v>
      </c>
      <c r="F67" s="553">
        <f t="shared" si="25"/>
        <v>1522061.72</v>
      </c>
      <c r="G67" s="589">
        <f t="shared" si="25"/>
        <v>373608.29</v>
      </c>
      <c r="H67" s="589">
        <f t="shared" si="25"/>
        <v>463227.74</v>
      </c>
      <c r="I67" s="589">
        <f t="shared" si="25"/>
        <v>601833.38</v>
      </c>
      <c r="J67" s="589">
        <f t="shared" si="25"/>
        <v>648082.22</v>
      </c>
      <c r="K67" s="589">
        <f t="shared" si="25"/>
        <v>694331.06</v>
      </c>
      <c r="L67" s="589">
        <f>L24</f>
        <v>800824.15</v>
      </c>
      <c r="M67" s="589">
        <f t="shared" ref="M67:O69" si="26">M24</f>
        <v>867155.11</v>
      </c>
      <c r="N67" s="589">
        <f t="shared" si="26"/>
        <v>933486.07</v>
      </c>
      <c r="O67" s="589">
        <f t="shared" si="26"/>
        <v>946011.8</v>
      </c>
      <c r="P67" s="556"/>
    </row>
    <row r="68" spans="1:18" x14ac:dyDescent="0.3">
      <c r="A68" s="744"/>
      <c r="B68" s="523">
        <v>426213</v>
      </c>
      <c r="C68" s="515" t="s">
        <v>4704</v>
      </c>
      <c r="D68" s="553">
        <f t="shared" si="25"/>
        <v>4980.5</v>
      </c>
      <c r="E68" s="589">
        <f t="shared" si="25"/>
        <v>4980.5</v>
      </c>
      <c r="F68" s="590">
        <f t="shared" si="25"/>
        <v>0</v>
      </c>
      <c r="G68" s="589">
        <f t="shared" si="25"/>
        <v>39560.300000000003</v>
      </c>
      <c r="H68" s="589">
        <f t="shared" si="25"/>
        <v>39560.300000000003</v>
      </c>
      <c r="I68" s="589">
        <f t="shared" si="25"/>
        <v>39560.300000000003</v>
      </c>
      <c r="J68" s="589">
        <f t="shared" si="25"/>
        <v>39560.300000000003</v>
      </c>
      <c r="K68" s="589">
        <f t="shared" si="25"/>
        <v>40550.300000000003</v>
      </c>
      <c r="L68" s="589">
        <f>L25</f>
        <v>40550.300000000003</v>
      </c>
      <c r="M68" s="589">
        <f t="shared" si="26"/>
        <v>40550.300000000003</v>
      </c>
      <c r="N68" s="589">
        <f t="shared" si="26"/>
        <v>40550.300000000003</v>
      </c>
      <c r="O68" s="589">
        <f t="shared" si="26"/>
        <v>45767.3</v>
      </c>
    </row>
    <row r="69" spans="1:18" x14ac:dyDescent="0.3">
      <c r="A69" s="744"/>
      <c r="B69" s="530">
        <v>427121</v>
      </c>
      <c r="C69" s="531" t="s">
        <v>4516</v>
      </c>
      <c r="D69" s="590">
        <f t="shared" si="25"/>
        <v>0</v>
      </c>
      <c r="E69" s="590">
        <f t="shared" si="25"/>
        <v>0</v>
      </c>
      <c r="F69" s="590">
        <f t="shared" si="25"/>
        <v>0</v>
      </c>
      <c r="G69" s="590">
        <f t="shared" si="25"/>
        <v>0</v>
      </c>
      <c r="H69" s="590">
        <f t="shared" si="25"/>
        <v>0</v>
      </c>
      <c r="I69" s="590">
        <f t="shared" si="25"/>
        <v>0</v>
      </c>
      <c r="J69" s="590">
        <f t="shared" si="25"/>
        <v>0</v>
      </c>
      <c r="K69" s="590">
        <f t="shared" si="25"/>
        <v>0</v>
      </c>
      <c r="L69" s="590">
        <f t="shared" si="25"/>
        <v>0</v>
      </c>
      <c r="M69" s="590">
        <f t="shared" si="25"/>
        <v>0</v>
      </c>
      <c r="N69" s="590">
        <f t="shared" si="26"/>
        <v>0</v>
      </c>
      <c r="O69" s="590">
        <f t="shared" si="26"/>
        <v>0</v>
      </c>
    </row>
    <row r="70" spans="1:18" ht="18" thickBot="1" x14ac:dyDescent="0.35">
      <c r="A70" s="593"/>
      <c r="B70" s="594">
        <v>42521</v>
      </c>
      <c r="C70" s="595" t="s">
        <v>255</v>
      </c>
      <c r="D70" s="590">
        <v>0</v>
      </c>
      <c r="E70" s="590">
        <v>0</v>
      </c>
      <c r="F70" s="590">
        <v>0</v>
      </c>
      <c r="G70" s="589">
        <v>0</v>
      </c>
      <c r="H70" s="597">
        <v>0</v>
      </c>
      <c r="I70" s="598">
        <v>0</v>
      </c>
      <c r="J70" s="598">
        <v>0</v>
      </c>
      <c r="K70" s="590">
        <v>0</v>
      </c>
      <c r="L70" s="590">
        <v>0</v>
      </c>
      <c r="M70" s="590">
        <v>0</v>
      </c>
      <c r="N70" s="590">
        <f t="shared" ref="N70:O70" si="27">N36</f>
        <v>0</v>
      </c>
      <c r="O70" s="590">
        <f t="shared" si="27"/>
        <v>0</v>
      </c>
    </row>
    <row r="71" spans="1:18" s="513" customFormat="1" ht="18" thickBot="1" x14ac:dyDescent="0.35">
      <c r="A71" s="741" t="s">
        <v>4709</v>
      </c>
      <c r="B71" s="742"/>
      <c r="C71" s="743"/>
      <c r="D71" s="599">
        <f t="shared" ref="D71:O71" si="28">SUM(D56:D70)</f>
        <v>44735.87</v>
      </c>
      <c r="E71" s="599">
        <f t="shared" si="28"/>
        <v>71097.06</v>
      </c>
      <c r="F71" s="678">
        <f>SUM(F56:F70)</f>
        <v>1560281.1099999999</v>
      </c>
      <c r="G71" s="599">
        <f t="shared" si="28"/>
        <v>642772.17000000004</v>
      </c>
      <c r="H71" s="599">
        <f>SUM(H56:H70)</f>
        <v>764222.14</v>
      </c>
      <c r="I71" s="599">
        <f t="shared" si="28"/>
        <v>920293.63000000012</v>
      </c>
      <c r="J71" s="600">
        <f t="shared" si="28"/>
        <v>1004031.37</v>
      </c>
      <c r="K71" s="600">
        <f t="shared" si="28"/>
        <v>1079062.95</v>
      </c>
      <c r="L71" s="600">
        <f t="shared" si="28"/>
        <v>1244374.75</v>
      </c>
      <c r="M71" s="600">
        <f>SUM(M56:M70)</f>
        <v>1317938.73</v>
      </c>
      <c r="N71" s="600">
        <f>SUM(N56:N70)</f>
        <v>1385303.69</v>
      </c>
      <c r="O71" s="600">
        <f t="shared" si="28"/>
        <v>1416335.81</v>
      </c>
      <c r="P71" s="601">
        <f>D71-D27</f>
        <v>0</v>
      </c>
      <c r="R71" s="520"/>
    </row>
    <row r="72" spans="1:18" s="513" customFormat="1" ht="18" thickBot="1" x14ac:dyDescent="0.3">
      <c r="A72" s="745" t="s">
        <v>4710</v>
      </c>
      <c r="B72" s="746"/>
      <c r="C72" s="747"/>
      <c r="D72" s="521"/>
      <c r="E72" s="521"/>
      <c r="F72" s="521"/>
      <c r="G72" s="603"/>
      <c r="H72" s="603"/>
      <c r="I72" s="521"/>
      <c r="J72" s="521"/>
      <c r="K72" s="521"/>
      <c r="L72" s="521"/>
      <c r="M72" s="521"/>
      <c r="N72" s="521"/>
      <c r="O72" s="521"/>
      <c r="P72" s="512"/>
      <c r="R72" s="512"/>
    </row>
    <row r="73" spans="1:18" x14ac:dyDescent="0.3">
      <c r="A73" s="748" t="s">
        <v>4711</v>
      </c>
      <c r="B73" s="604">
        <v>33611</v>
      </c>
      <c r="C73" s="605" t="s">
        <v>4235</v>
      </c>
      <c r="D73" s="590">
        <f>D29</f>
        <v>0</v>
      </c>
      <c r="E73" s="590">
        <v>0</v>
      </c>
      <c r="F73" s="590">
        <v>0</v>
      </c>
      <c r="G73" s="590">
        <f>G29</f>
        <v>0</v>
      </c>
      <c r="H73" s="590">
        <v>0</v>
      </c>
      <c r="I73" s="590">
        <v>0</v>
      </c>
      <c r="J73" s="590">
        <v>0</v>
      </c>
      <c r="K73" s="590">
        <v>0</v>
      </c>
      <c r="L73" s="590">
        <v>0</v>
      </c>
      <c r="M73" s="590">
        <v>0</v>
      </c>
      <c r="N73" s="590">
        <v>0</v>
      </c>
      <c r="O73" s="553">
        <f>O29</f>
        <v>0</v>
      </c>
    </row>
    <row r="74" spans="1:18" x14ac:dyDescent="0.3">
      <c r="A74" s="748"/>
      <c r="B74" s="606">
        <v>33612</v>
      </c>
      <c r="C74" s="607" t="s">
        <v>201</v>
      </c>
      <c r="D74" s="590">
        <f>D30</f>
        <v>0</v>
      </c>
      <c r="E74" s="590">
        <v>0</v>
      </c>
      <c r="F74" s="590">
        <f>F30</f>
        <v>0</v>
      </c>
      <c r="G74" s="608">
        <f>G30</f>
        <v>22945.54</v>
      </c>
      <c r="H74" s="608">
        <f>H30</f>
        <v>22945.54</v>
      </c>
      <c r="I74" s="609">
        <f>I30</f>
        <v>22945.54</v>
      </c>
      <c r="J74" s="553">
        <f>J30</f>
        <v>22945.54</v>
      </c>
      <c r="K74" s="590">
        <f>'[2]08.2022'!G205</f>
        <v>22945.54</v>
      </c>
      <c r="L74" s="553">
        <f>L30</f>
        <v>22976.05</v>
      </c>
      <c r="M74" s="553">
        <f>M30</f>
        <v>22976.05</v>
      </c>
      <c r="N74" s="553">
        <f>N30</f>
        <v>22976.05</v>
      </c>
      <c r="O74" s="553">
        <f>O30</f>
        <v>24169.200000000001</v>
      </c>
    </row>
    <row r="75" spans="1:18" ht="18" thickBot="1" x14ac:dyDescent="0.35">
      <c r="A75" s="610"/>
      <c r="B75" s="530">
        <v>33613</v>
      </c>
      <c r="C75" s="531" t="s">
        <v>886</v>
      </c>
      <c r="D75" s="590">
        <f>D31</f>
        <v>0</v>
      </c>
      <c r="E75" s="590">
        <v>0</v>
      </c>
      <c r="F75" s="590">
        <f>F31</f>
        <v>0</v>
      </c>
      <c r="G75" s="590">
        <f>G31</f>
        <v>0</v>
      </c>
      <c r="H75" s="590">
        <v>0</v>
      </c>
      <c r="I75" s="590">
        <v>0</v>
      </c>
      <c r="J75" s="590">
        <v>0</v>
      </c>
      <c r="K75" s="590">
        <v>0</v>
      </c>
      <c r="L75" s="590">
        <v>0</v>
      </c>
      <c r="M75" s="590">
        <v>0</v>
      </c>
      <c r="N75" s="590">
        <v>0</v>
      </c>
      <c r="O75" s="590">
        <f>O31</f>
        <v>49681.23</v>
      </c>
    </row>
    <row r="76" spans="1:18" s="513" customFormat="1" ht="18" thickBot="1" x14ac:dyDescent="0.35">
      <c r="A76" s="749" t="s">
        <v>4712</v>
      </c>
      <c r="B76" s="750"/>
      <c r="C76" s="751"/>
      <c r="D76" s="679">
        <f>SUM(D73:D75)</f>
        <v>0</v>
      </c>
      <c r="E76" s="679">
        <f t="shared" ref="E76:F76" si="29">SUM(E73:E75)</f>
        <v>0</v>
      </c>
      <c r="F76" s="679">
        <f t="shared" si="29"/>
        <v>0</v>
      </c>
      <c r="G76" s="539">
        <f t="shared" ref="G76:H76" si="30">G73+G74</f>
        <v>22945.54</v>
      </c>
      <c r="H76" s="539">
        <f t="shared" si="30"/>
        <v>22945.54</v>
      </c>
      <c r="I76" s="543">
        <f>I73+I74</f>
        <v>22945.54</v>
      </c>
      <c r="J76" s="543">
        <f t="shared" ref="J76" si="31">J73+J74</f>
        <v>22945.54</v>
      </c>
      <c r="K76" s="544">
        <f>K73+K74</f>
        <v>22945.54</v>
      </c>
      <c r="L76" s="543">
        <f t="shared" ref="L76:M76" si="32">L73+L74</f>
        <v>22976.05</v>
      </c>
      <c r="M76" s="613">
        <f t="shared" si="32"/>
        <v>22976.05</v>
      </c>
      <c r="N76" s="614">
        <f>N73+N74</f>
        <v>22976.05</v>
      </c>
      <c r="O76" s="613">
        <f>SUM(O73:O75)</f>
        <v>73850.430000000008</v>
      </c>
      <c r="P76" s="601">
        <f>D76-D32</f>
        <v>0</v>
      </c>
    </row>
    <row r="77" spans="1:18" ht="18" thickBot="1" x14ac:dyDescent="0.35">
      <c r="A77" s="615"/>
      <c r="B77" s="616"/>
      <c r="C77" s="616"/>
      <c r="D77" s="565"/>
      <c r="E77" s="565"/>
      <c r="F77" s="565"/>
      <c r="G77" s="565"/>
      <c r="H77" s="565"/>
      <c r="I77" s="565"/>
      <c r="J77" s="565"/>
      <c r="K77" s="565"/>
      <c r="L77" s="565"/>
      <c r="M77" s="565"/>
      <c r="N77" s="565"/>
      <c r="O77" s="565"/>
    </row>
    <row r="78" spans="1:18" s="607" customFormat="1" ht="18" thickBot="1" x14ac:dyDescent="0.35">
      <c r="A78" s="726" t="s">
        <v>4727</v>
      </c>
      <c r="B78" s="727"/>
      <c r="C78" s="728"/>
      <c r="D78" s="617">
        <f>D54+D71-D76</f>
        <v>1596160.169999999</v>
      </c>
      <c r="E78" s="617">
        <f>E54+E71-E76</f>
        <v>3977211.27</v>
      </c>
      <c r="F78" s="617">
        <f>F54+F71-F76</f>
        <v>4722626.3900000062</v>
      </c>
      <c r="G78" s="617">
        <f t="shared" ref="G78:H78" si="33">G54+G71-G76</f>
        <v>4233790.4400000004</v>
      </c>
      <c r="H78" s="617">
        <f t="shared" si="33"/>
        <v>2972436.3800000022</v>
      </c>
      <c r="I78" s="617">
        <f>I54+I71-I76</f>
        <v>1034396.8799999983</v>
      </c>
      <c r="J78" s="617">
        <f>J54+J71-J76</f>
        <v>1693364.8899999941</v>
      </c>
      <c r="K78" s="617">
        <f t="shared" ref="K78" si="34">K54+K71-K76</f>
        <v>1616451.489999997</v>
      </c>
      <c r="L78" s="617">
        <f>L54+L71-L76</f>
        <v>1462467.5400000059</v>
      </c>
      <c r="M78" s="617">
        <f t="shared" ref="M78" si="35">M54+M71-M76</f>
        <v>2337492.1599999899</v>
      </c>
      <c r="N78" s="617">
        <f>N54+N71-N76</f>
        <v>-546283.09000000963</v>
      </c>
      <c r="O78" s="617">
        <f>O54+O71-O76</f>
        <v>-1109016.4300000023</v>
      </c>
      <c r="P78" s="618"/>
    </row>
    <row r="79" spans="1:18" ht="18" thickBot="1" x14ac:dyDescent="0.35">
      <c r="A79" s="619" t="s">
        <v>4728</v>
      </c>
      <c r="B79" s="620"/>
      <c r="C79" s="621"/>
      <c r="D79" s="622">
        <f>D78*30%</f>
        <v>478848.05099999969</v>
      </c>
      <c r="E79" s="622">
        <f>E78*30%</f>
        <v>1193163.3810000001</v>
      </c>
      <c r="F79" s="622">
        <f>F78*30%</f>
        <v>1416787.9170000018</v>
      </c>
      <c r="G79" s="622">
        <f t="shared" ref="G79:L79" si="36">G78*30%</f>
        <v>1270137.132</v>
      </c>
      <c r="H79" s="622">
        <f t="shared" si="36"/>
        <v>891730.91400000069</v>
      </c>
      <c r="I79" s="622">
        <f t="shared" si="36"/>
        <v>310319.06399999949</v>
      </c>
      <c r="J79" s="622">
        <f t="shared" si="36"/>
        <v>508009.4669999982</v>
      </c>
      <c r="K79" s="622">
        <f t="shared" si="36"/>
        <v>484935.44699999905</v>
      </c>
      <c r="L79" s="622">
        <f t="shared" si="36"/>
        <v>438740.26200000173</v>
      </c>
      <c r="M79" s="622">
        <f>M78*30%</f>
        <v>701247.6479999969</v>
      </c>
      <c r="N79" s="622">
        <v>0</v>
      </c>
      <c r="O79" s="622">
        <v>0</v>
      </c>
      <c r="P79" s="556">
        <f>E79+E34</f>
        <v>0</v>
      </c>
    </row>
    <row r="80" spans="1:18" s="607" customFormat="1" ht="18" thickBot="1" x14ac:dyDescent="0.35">
      <c r="A80" s="726" t="s">
        <v>4715</v>
      </c>
      <c r="B80" s="727"/>
      <c r="C80" s="728"/>
      <c r="D80" s="617">
        <f>D78-D79</f>
        <v>1117312.1189999992</v>
      </c>
      <c r="E80" s="617">
        <f>E78-E79</f>
        <v>2784047.889</v>
      </c>
      <c r="F80" s="617">
        <f>F78-F79</f>
        <v>3305838.4730000044</v>
      </c>
      <c r="G80" s="617">
        <f t="shared" ref="G80:L80" si="37">G78-G79</f>
        <v>2963653.3080000002</v>
      </c>
      <c r="H80" s="617">
        <f t="shared" si="37"/>
        <v>2080705.4660000014</v>
      </c>
      <c r="I80" s="617">
        <f t="shared" si="37"/>
        <v>724077.81599999871</v>
      </c>
      <c r="J80" s="617">
        <f t="shared" si="37"/>
        <v>1185355.4229999958</v>
      </c>
      <c r="K80" s="617">
        <f t="shared" si="37"/>
        <v>1131516.042999998</v>
      </c>
      <c r="L80" s="617">
        <f t="shared" si="37"/>
        <v>1023727.2780000041</v>
      </c>
      <c r="M80" s="617">
        <f>M78-M79</f>
        <v>1636244.5119999931</v>
      </c>
      <c r="N80" s="617">
        <f>N78-N79</f>
        <v>-546283.09000000963</v>
      </c>
      <c r="O80" s="617">
        <f>O78-O79</f>
        <v>-1109016.4300000023</v>
      </c>
      <c r="P80" s="623"/>
    </row>
    <row r="81" spans="1:18" x14ac:dyDescent="0.3">
      <c r="A81" s="524" t="s">
        <v>4729</v>
      </c>
      <c r="B81" s="564"/>
      <c r="C81" s="564"/>
      <c r="D81" s="589">
        <f>IF(D80&gt;0,D80*15%,0)</f>
        <v>167596.81784999988</v>
      </c>
      <c r="E81" s="553">
        <f>IF(E80&gt;0,E80*15%,0)</f>
        <v>417607.18335000001</v>
      </c>
      <c r="F81" s="553">
        <f>IF(F80&gt;0,F80*15%,0)</f>
        <v>495875.77095000062</v>
      </c>
      <c r="G81" s="553">
        <f t="shared" ref="G81:L81" si="38">IF(G80&gt;0,G80*15%,0)</f>
        <v>444547.99619999999</v>
      </c>
      <c r="H81" s="553">
        <f t="shared" si="38"/>
        <v>312105.81990000018</v>
      </c>
      <c r="I81" s="553">
        <f t="shared" si="38"/>
        <v>108611.67239999981</v>
      </c>
      <c r="J81" s="553">
        <f t="shared" si="38"/>
        <v>177803.31344999935</v>
      </c>
      <c r="K81" s="553">
        <f t="shared" si="38"/>
        <v>169727.40644999969</v>
      </c>
      <c r="L81" s="553">
        <f t="shared" si="38"/>
        <v>153559.0917000006</v>
      </c>
      <c r="M81" s="553">
        <f>IF(M80&gt;0,M80*15%,0)</f>
        <v>245436.67679999897</v>
      </c>
      <c r="N81" s="553">
        <f>IF(N80&gt;0,N80*15%,0)</f>
        <v>0</v>
      </c>
      <c r="O81" s="553">
        <f>IF(O80&gt;0,O80*15%,0)</f>
        <v>0</v>
      </c>
    </row>
    <row r="82" spans="1:18" ht="18" thickBot="1" x14ac:dyDescent="0.35">
      <c r="A82" s="531" t="s">
        <v>4730</v>
      </c>
      <c r="B82" s="568"/>
      <c r="C82" s="568"/>
      <c r="D82" s="553">
        <f>IF(D80&gt;D83,((D80-(D83*1))*0.1),0)</f>
        <v>109731.21189999994</v>
      </c>
      <c r="E82" s="553">
        <f>IF(E80&gt;E83,((E80-(E83*1))*0.1),0)</f>
        <v>274404.78889999999</v>
      </c>
      <c r="F82" s="553">
        <f>IF(F80&gt;F83,((F80-(F83*1))*0.1),0)</f>
        <v>324583.84730000049</v>
      </c>
      <c r="G82" s="553">
        <f t="shared" ref="G82:J82" si="39">IF(G80&gt;G83,((G80-(G83*1))*0.1),0)</f>
        <v>288365.33080000005</v>
      </c>
      <c r="H82" s="553">
        <f t="shared" si="39"/>
        <v>198070.54660000015</v>
      </c>
      <c r="I82" s="553">
        <f t="shared" si="39"/>
        <v>60407.781599999871</v>
      </c>
      <c r="J82" s="553">
        <f t="shared" si="39"/>
        <v>104535.54229999958</v>
      </c>
      <c r="K82" s="553">
        <f>IF(K80&gt;K83,((K80-(K83*1))*0.1),0)</f>
        <v>97151.604299999803</v>
      </c>
      <c r="L82" s="553">
        <f>IF(L80&gt;L83,((L80-(L83*1))*0.1),0)</f>
        <v>84372.727800000415</v>
      </c>
      <c r="M82" s="553">
        <f>IF(M80&gt;M83,((M80-(M83*1))*0.1),0)</f>
        <v>143624.45119999931</v>
      </c>
      <c r="N82" s="553">
        <f>IF(N80&gt;N83,((N80-(N83*1))*0.1),0)</f>
        <v>0</v>
      </c>
      <c r="O82" s="553">
        <f>IF(O80&gt;O83,((O80-(O83*1))*0.1),0)</f>
        <v>0</v>
      </c>
    </row>
    <row r="83" spans="1:18" ht="18" hidden="1" thickBot="1" x14ac:dyDescent="0.35">
      <c r="A83" s="624"/>
      <c r="B83" s="625"/>
      <c r="C83" s="625"/>
      <c r="D83" s="626">
        <f>20000*D5</f>
        <v>20000</v>
      </c>
      <c r="E83" s="626">
        <f>20000*E5</f>
        <v>40000</v>
      </c>
      <c r="F83" s="626">
        <f>20000*F5</f>
        <v>60000</v>
      </c>
      <c r="G83" s="626">
        <f t="shared" ref="G83:O83" si="40">20000*G5</f>
        <v>80000</v>
      </c>
      <c r="H83" s="626">
        <f t="shared" si="40"/>
        <v>100000</v>
      </c>
      <c r="I83" s="626">
        <f t="shared" si="40"/>
        <v>120000</v>
      </c>
      <c r="J83" s="626">
        <f t="shared" si="40"/>
        <v>140000</v>
      </c>
      <c r="K83" s="626">
        <f t="shared" si="40"/>
        <v>160000</v>
      </c>
      <c r="L83" s="626">
        <f t="shared" si="40"/>
        <v>180000</v>
      </c>
      <c r="M83" s="626">
        <f t="shared" si="40"/>
        <v>200000</v>
      </c>
      <c r="N83" s="626">
        <f t="shared" si="40"/>
        <v>220000</v>
      </c>
      <c r="O83" s="626">
        <f t="shared" si="40"/>
        <v>240000</v>
      </c>
    </row>
    <row r="84" spans="1:18" ht="18" thickBot="1" x14ac:dyDescent="0.35">
      <c r="A84" s="720" t="s">
        <v>4731</v>
      </c>
      <c r="B84" s="721"/>
      <c r="C84" s="729"/>
      <c r="D84" s="627">
        <f>D81+D82</f>
        <v>277328.02974999981</v>
      </c>
      <c r="E84" s="627">
        <f>E81+E82</f>
        <v>692011.97224999999</v>
      </c>
      <c r="F84" s="627">
        <f>F81+F82</f>
        <v>820459.61825000111</v>
      </c>
      <c r="G84" s="627">
        <f t="shared" ref="G84:K84" si="41">G81+G82</f>
        <v>732913.32700000005</v>
      </c>
      <c r="H84" s="627">
        <f t="shared" si="41"/>
        <v>510176.36650000035</v>
      </c>
      <c r="I84" s="627">
        <f t="shared" si="41"/>
        <v>169019.45399999968</v>
      </c>
      <c r="J84" s="627">
        <f t="shared" si="41"/>
        <v>282338.85574999894</v>
      </c>
      <c r="K84" s="627">
        <f t="shared" si="41"/>
        <v>266879.01074999949</v>
      </c>
      <c r="L84" s="627">
        <f>L81+L82</f>
        <v>237931.81950000103</v>
      </c>
      <c r="M84" s="627">
        <f t="shared" ref="M84" si="42">M81+M82</f>
        <v>389061.12799999828</v>
      </c>
      <c r="N84" s="627">
        <f>N81+N82</f>
        <v>0</v>
      </c>
      <c r="O84" s="627">
        <f>O81+O82</f>
        <v>0</v>
      </c>
      <c r="P84" s="556"/>
      <c r="R84" s="628"/>
    </row>
    <row r="85" spans="1:18" x14ac:dyDescent="0.3">
      <c r="A85" s="619"/>
      <c r="B85" s="620"/>
      <c r="C85" s="620"/>
      <c r="D85" s="565"/>
      <c r="E85" s="565"/>
      <c r="F85" s="565"/>
      <c r="G85" s="565"/>
      <c r="H85" s="565"/>
      <c r="I85" s="565"/>
      <c r="J85" s="565"/>
      <c r="K85" s="565"/>
      <c r="L85" s="565"/>
      <c r="M85" s="565"/>
      <c r="N85" s="565"/>
      <c r="O85" s="565"/>
      <c r="P85" s="629"/>
      <c r="R85" s="628"/>
    </row>
    <row r="86" spans="1:18" x14ac:dyDescent="0.3">
      <c r="A86" s="546" t="s">
        <v>4732</v>
      </c>
      <c r="B86" s="630"/>
      <c r="C86" s="564"/>
      <c r="D86" s="565"/>
      <c r="E86" s="565"/>
      <c r="F86" s="565"/>
      <c r="G86" s="565"/>
      <c r="H86" s="565"/>
      <c r="I86" s="565"/>
      <c r="J86" s="565"/>
      <c r="K86" s="565"/>
      <c r="L86" s="565"/>
      <c r="M86" s="565"/>
      <c r="N86" s="565"/>
      <c r="O86" s="565"/>
      <c r="P86" s="631"/>
      <c r="R86" s="628"/>
    </row>
    <row r="87" spans="1:18" x14ac:dyDescent="0.3">
      <c r="A87" s="632" t="s">
        <v>4733</v>
      </c>
      <c r="B87" s="564"/>
      <c r="C87" s="564">
        <f>C81*4%</f>
        <v>0</v>
      </c>
      <c r="D87" s="633">
        <f>IF(D113&gt;D111,D111*-1,D113*-1)*-1</f>
        <v>6703.8727139999955</v>
      </c>
      <c r="E87" s="633">
        <f>IF(E113&gt;E111,E111*-1,E113*-1)*-1</f>
        <v>16704.287334000001</v>
      </c>
      <c r="F87" s="633">
        <f>IF(F113&gt;F111,F111*-1,F113*-1)*-1</f>
        <v>19835.030838000024</v>
      </c>
      <c r="G87" s="633">
        <f t="shared" ref="G87:J87" si="43">IF(G113&gt;G111,G111*-1,G113*-1)*-1</f>
        <v>17781.919848000001</v>
      </c>
      <c r="H87" s="633">
        <f t="shared" si="43"/>
        <v>12484.232796000008</v>
      </c>
      <c r="I87" s="633">
        <f>IF(I113&gt;I111,I111*-1,I113*-1)*-1</f>
        <v>4344.4668959999926</v>
      </c>
      <c r="J87" s="633">
        <f t="shared" si="43"/>
        <v>7112.1325379999744</v>
      </c>
      <c r="K87" s="633">
        <f>IF(K113&gt;K111,K111*-1,K113*-1)*-1</f>
        <v>6789.0962579999878</v>
      </c>
      <c r="L87" s="633">
        <f>IF(L113&gt;L111,L111*-1,L113*-1)*-1</f>
        <v>6142.3636680000245</v>
      </c>
      <c r="M87" s="633">
        <f>IF(M113&gt;M111,M111*-1,M113*-1)*-1</f>
        <v>9817.4670719999594</v>
      </c>
      <c r="N87" s="633">
        <f>IF(N113&gt;N111,N111*-1,N113*-1)*-1</f>
        <v>0</v>
      </c>
      <c r="O87" s="633">
        <f>IF(O113&gt;O111,O111*-1,O113*-1)*-1</f>
        <v>0</v>
      </c>
      <c r="P87" s="631"/>
    </row>
    <row r="88" spans="1:18" s="513" customFormat="1" x14ac:dyDescent="0.3">
      <c r="A88" s="515" t="s">
        <v>4703</v>
      </c>
      <c r="B88" s="523">
        <v>411111</v>
      </c>
      <c r="C88" s="515" t="str">
        <f>A88</f>
        <v>Salario Maternidade  - Prorrogação</v>
      </c>
      <c r="D88" s="633">
        <f>D56</f>
        <v>0</v>
      </c>
      <c r="E88" s="633">
        <v>0</v>
      </c>
      <c r="F88" s="633">
        <f>F56</f>
        <v>0</v>
      </c>
      <c r="G88" s="490">
        <f>G13</f>
        <v>22161.22</v>
      </c>
      <c r="H88" s="492">
        <f>VLOOKUP(B88,'[2]05.2022'!B:G,6,0)</f>
        <v>46696.86</v>
      </c>
      <c r="I88" s="492">
        <f>VLOOKUP(B88,'[2]06.2022'!B:G,6,0)</f>
        <v>47574.65</v>
      </c>
      <c r="J88" s="492">
        <v>47574.65</v>
      </c>
      <c r="K88" s="492">
        <f>'[2]08.2022'!G219</f>
        <v>47574.65</v>
      </c>
      <c r="L88" s="491">
        <f>'[2]09.2022'!G218</f>
        <v>47574.65</v>
      </c>
      <c r="M88" s="492">
        <f>'[2]10.2022'!G224</f>
        <v>47574.65</v>
      </c>
      <c r="N88" s="492">
        <f>VLOOKUP(B88,'[2]11.2022'!B:G,6,0)</f>
        <v>47574.65</v>
      </c>
      <c r="O88" s="491">
        <f>'[2]12.2022'!H252</f>
        <v>47574.65</v>
      </c>
      <c r="P88" s="512"/>
    </row>
    <row r="89" spans="1:18" s="513" customFormat="1" x14ac:dyDescent="0.3">
      <c r="A89" s="515" t="s">
        <v>897</v>
      </c>
      <c r="B89" s="523">
        <v>411113</v>
      </c>
      <c r="C89" s="515" t="str">
        <f t="shared" ref="C89:C91" si="44">A89</f>
        <v>Licença Paternidade Prorrogação</v>
      </c>
      <c r="D89" s="633">
        <f>D57</f>
        <v>0</v>
      </c>
      <c r="E89" s="633">
        <v>0</v>
      </c>
      <c r="F89" s="633">
        <f>F57</f>
        <v>5034.72</v>
      </c>
      <c r="G89" s="492">
        <f>G57</f>
        <v>24525.7</v>
      </c>
      <c r="H89" s="492">
        <f>VLOOKUP(B89,'[2]05.2022'!B:G,6,0)</f>
        <v>24525.7</v>
      </c>
      <c r="I89" s="492">
        <f>VLOOKUP(B89,'[2]06.2022'!B:G,6,0)</f>
        <v>25354.66</v>
      </c>
      <c r="J89" s="492">
        <v>25354.66</v>
      </c>
      <c r="K89" s="492">
        <f>'[2]08.2022'!G220</f>
        <v>25354.66</v>
      </c>
      <c r="L89" s="491">
        <f>'[2]09.2022'!G219</f>
        <v>25354.66</v>
      </c>
      <c r="M89" s="492">
        <f>'[2]10.2022'!G225</f>
        <v>31553.68</v>
      </c>
      <c r="N89" s="492">
        <f>VLOOKUP(B89,'[2]11.2022'!B:G,6,0)</f>
        <v>31553.68</v>
      </c>
      <c r="O89" s="491">
        <f>'[2]12.2022'!H253</f>
        <v>31857.77</v>
      </c>
      <c r="P89" s="512"/>
    </row>
    <row r="90" spans="1:18" s="513" customFormat="1" x14ac:dyDescent="0.3">
      <c r="A90" s="515" t="s">
        <v>4703</v>
      </c>
      <c r="B90" s="523">
        <v>421110</v>
      </c>
      <c r="C90" s="515" t="str">
        <f t="shared" si="44"/>
        <v>Salario Maternidade  - Prorrogação</v>
      </c>
      <c r="D90" s="633">
        <f>D60</f>
        <v>18055.72</v>
      </c>
      <c r="E90" s="633">
        <f>'[2]02.2023'!H264</f>
        <v>22715.26</v>
      </c>
      <c r="F90" s="633">
        <f>F60</f>
        <v>22715.26</v>
      </c>
      <c r="G90" s="492">
        <f>G60</f>
        <v>0</v>
      </c>
      <c r="H90" s="492">
        <f>H60</f>
        <v>6193.88</v>
      </c>
      <c r="I90" s="492">
        <f>I60</f>
        <v>20913.98</v>
      </c>
      <c r="J90" s="492">
        <v>57368.88</v>
      </c>
      <c r="K90" s="492">
        <f>'[2]08.2022'!G273</f>
        <v>84127.62</v>
      </c>
      <c r="L90" s="491">
        <f>'[2]09.2022'!G272</f>
        <v>84127.62</v>
      </c>
      <c r="M90" s="492">
        <f>'[2]10.2022'!G278</f>
        <v>84127.62</v>
      </c>
      <c r="N90" s="492">
        <f>VLOOKUP(B90,'[2]11.2022'!B:G,6,0)</f>
        <v>84127.62</v>
      </c>
      <c r="O90" s="491">
        <f>'[2]12.2022'!H308</f>
        <v>96358.92</v>
      </c>
      <c r="P90" s="512"/>
    </row>
    <row r="91" spans="1:18" s="513" customFormat="1" ht="18" thickBot="1" x14ac:dyDescent="0.35">
      <c r="A91" s="515" t="s">
        <v>897</v>
      </c>
      <c r="B91" s="523">
        <v>421112</v>
      </c>
      <c r="C91" s="515" t="str">
        <f t="shared" si="44"/>
        <v>Licença Paternidade Prorrogação</v>
      </c>
      <c r="D91" s="633">
        <f>D61</f>
        <v>0</v>
      </c>
      <c r="E91" s="633">
        <v>0</v>
      </c>
      <c r="F91" s="633">
        <f>F61</f>
        <v>7573.41</v>
      </c>
      <c r="G91" s="565">
        <f>G61</f>
        <v>0</v>
      </c>
      <c r="H91" s="590">
        <v>0</v>
      </c>
      <c r="I91" s="590">
        <f>I61</f>
        <v>0</v>
      </c>
      <c r="J91" s="590">
        <v>0</v>
      </c>
      <c r="K91" s="590">
        <v>0</v>
      </c>
      <c r="L91" s="590">
        <v>0</v>
      </c>
      <c r="M91" s="590">
        <v>0</v>
      </c>
      <c r="N91" s="590">
        <v>0</v>
      </c>
      <c r="O91" s="590">
        <v>0</v>
      </c>
      <c r="P91" s="512"/>
    </row>
    <row r="92" spans="1:18" ht="18" thickBot="1" x14ac:dyDescent="0.35">
      <c r="A92" s="720" t="s">
        <v>4734</v>
      </c>
      <c r="B92" s="721"/>
      <c r="C92" s="729">
        <f>SUM(C87:C90)</f>
        <v>0</v>
      </c>
      <c r="D92" s="635">
        <f>SUM(D87:D91)</f>
        <v>24759.592713999999</v>
      </c>
      <c r="E92" s="627">
        <f>SUM(E87:E91)</f>
        <v>39419.547334000003</v>
      </c>
      <c r="F92" s="635">
        <f>SUM(F87:F91)</f>
        <v>55158.42083800002</v>
      </c>
      <c r="G92" s="635">
        <f>SUM(G87:G91)</f>
        <v>64468.839848000003</v>
      </c>
      <c r="H92" s="635">
        <f>SUM(H87:H90)</f>
        <v>89900.672796000013</v>
      </c>
      <c r="I92" s="635">
        <f>SUM(I87:I90)</f>
        <v>98187.756895999992</v>
      </c>
      <c r="J92" s="635">
        <f>SUM(J87:J91)</f>
        <v>137410.32253799998</v>
      </c>
      <c r="K92" s="635">
        <f>SUM(K87:K90)</f>
        <v>163846.026258</v>
      </c>
      <c r="L92" s="627">
        <f t="shared" ref="L92:N92" si="45">SUM(L87:L90)</f>
        <v>163199.29366800003</v>
      </c>
      <c r="M92" s="627">
        <f t="shared" si="45"/>
        <v>173073.41707199995</v>
      </c>
      <c r="N92" s="627">
        <f t="shared" si="45"/>
        <v>163255.95000000001</v>
      </c>
      <c r="O92" s="635">
        <f>SUM(O87:O90)</f>
        <v>175791.34</v>
      </c>
    </row>
    <row r="93" spans="1:18" ht="18" thickBot="1" x14ac:dyDescent="0.35">
      <c r="A93" s="524"/>
      <c r="B93" s="564"/>
      <c r="C93" s="564"/>
      <c r="D93" s="565"/>
      <c r="E93" s="565"/>
      <c r="F93" s="565"/>
      <c r="G93" s="565"/>
      <c r="H93" s="565"/>
      <c r="I93" s="565"/>
      <c r="J93" s="565"/>
      <c r="K93" s="565"/>
      <c r="L93" s="565"/>
      <c r="M93" s="565"/>
      <c r="N93" s="565"/>
      <c r="O93" s="565"/>
    </row>
    <row r="94" spans="1:18" ht="18" thickBot="1" x14ac:dyDescent="0.35">
      <c r="A94" s="720" t="s">
        <v>4735</v>
      </c>
      <c r="B94" s="721"/>
      <c r="C94" s="729">
        <f>C84-C92</f>
        <v>0</v>
      </c>
      <c r="D94" s="627">
        <f>D84-D92</f>
        <v>252568.43703599981</v>
      </c>
      <c r="E94" s="627">
        <f>E84-E92</f>
        <v>652592.42491599999</v>
      </c>
      <c r="F94" s="627">
        <f>F84-F92</f>
        <v>765301.19741200109</v>
      </c>
      <c r="G94" s="627">
        <f>IF(G84-G92&gt;0,G84-G92,0)</f>
        <v>668444.48715200007</v>
      </c>
      <c r="H94" s="627">
        <f>IF(H84-H92&gt;0,H84-H92,0)</f>
        <v>420275.69370400032</v>
      </c>
      <c r="I94" s="627">
        <f>IF(I84-I92&gt;0,I84-I92,0)</f>
        <v>70831.697103999686</v>
      </c>
      <c r="J94" s="627">
        <f>IF(J84-J92&gt;0,J84-J92,0)</f>
        <v>144928.53321199896</v>
      </c>
      <c r="K94" s="627">
        <f t="shared" ref="K94:O94" si="46">IF(K84-K92&gt;0,K84-K92,0)</f>
        <v>103032.98449199949</v>
      </c>
      <c r="L94" s="627">
        <f t="shared" si="46"/>
        <v>74732.525832001003</v>
      </c>
      <c r="M94" s="627">
        <f t="shared" si="46"/>
        <v>215987.71092799833</v>
      </c>
      <c r="N94" s="627">
        <f>IF(N84-N92&gt;0,N84-N92,0)</f>
        <v>0</v>
      </c>
      <c r="O94" s="627">
        <f t="shared" si="46"/>
        <v>0</v>
      </c>
      <c r="P94" s="636"/>
    </row>
    <row r="95" spans="1:18" x14ac:dyDescent="0.3">
      <c r="A95" s="546" t="s">
        <v>4736</v>
      </c>
      <c r="B95" s="630"/>
      <c r="C95" s="564"/>
      <c r="D95" s="565"/>
      <c r="E95" s="565"/>
      <c r="F95" s="565"/>
      <c r="G95" s="565"/>
      <c r="H95" s="565"/>
      <c r="I95" s="565"/>
      <c r="J95" s="565"/>
      <c r="K95" s="565"/>
      <c r="L95" s="565"/>
      <c r="M95" s="565"/>
      <c r="N95" s="565"/>
      <c r="O95" s="565"/>
    </row>
    <row r="96" spans="1:18" x14ac:dyDescent="0.3">
      <c r="A96" s="524" t="s">
        <v>4737</v>
      </c>
      <c r="B96" s="637"/>
      <c r="C96" s="638">
        <v>0</v>
      </c>
      <c r="D96" s="633">
        <f>C100</f>
        <v>0</v>
      </c>
      <c r="E96" s="532">
        <f>D100</f>
        <v>252568.43703599981</v>
      </c>
      <c r="F96" s="532">
        <f>E98+E100</f>
        <v>652592.42491599999</v>
      </c>
      <c r="G96" s="534">
        <f>F98</f>
        <v>652592.42491599999</v>
      </c>
      <c r="H96" s="534">
        <f>G98+G100</f>
        <v>668444.48715200007</v>
      </c>
      <c r="I96" s="534">
        <f>H98</f>
        <v>668444.48715200007</v>
      </c>
      <c r="J96" s="532">
        <f t="shared" ref="J96" si="47">I98</f>
        <v>668444.48715200007</v>
      </c>
      <c r="K96" s="532">
        <f>J98</f>
        <v>668444.48715200007</v>
      </c>
      <c r="L96" s="532">
        <f>K98</f>
        <v>668444.48715200007</v>
      </c>
      <c r="M96" s="532">
        <f>L98</f>
        <v>668444.48715200007</v>
      </c>
      <c r="N96" s="532">
        <f>M98</f>
        <v>668444.48715200007</v>
      </c>
      <c r="O96" s="532">
        <f>N98</f>
        <v>668444.48715200007</v>
      </c>
    </row>
    <row r="97" spans="1:17" ht="18" thickBot="1" x14ac:dyDescent="0.35">
      <c r="A97" s="489" t="s">
        <v>4738</v>
      </c>
      <c r="B97" s="675"/>
      <c r="C97" s="639"/>
      <c r="D97" s="633">
        <v>0</v>
      </c>
      <c r="E97" s="633">
        <v>0</v>
      </c>
      <c r="F97" s="633">
        <v>0</v>
      </c>
      <c r="G97" s="565">
        <v>0</v>
      </c>
      <c r="H97" s="565">
        <v>0</v>
      </c>
      <c r="I97" s="565">
        <v>0</v>
      </c>
      <c r="J97" s="565">
        <v>0</v>
      </c>
      <c r="K97" s="565">
        <v>0</v>
      </c>
      <c r="L97" s="565">
        <v>0</v>
      </c>
      <c r="M97" s="565">
        <v>0</v>
      </c>
      <c r="N97" s="565">
        <v>0</v>
      </c>
      <c r="O97" s="633">
        <v>0</v>
      </c>
      <c r="Q97" s="628"/>
    </row>
    <row r="98" spans="1:17" ht="18" thickBot="1" x14ac:dyDescent="0.35">
      <c r="A98" s="720" t="s">
        <v>4739</v>
      </c>
      <c r="B98" s="721">
        <v>0</v>
      </c>
      <c r="C98" s="729">
        <f t="shared" ref="C98:M98" si="48">SUM(C96:C97)</f>
        <v>0</v>
      </c>
      <c r="D98" s="627">
        <f t="shared" si="48"/>
        <v>0</v>
      </c>
      <c r="E98" s="627">
        <f>SUM(E96:E97)</f>
        <v>252568.43703599981</v>
      </c>
      <c r="F98" s="627">
        <f>SUM(F96:F97)</f>
        <v>652592.42491599999</v>
      </c>
      <c r="G98" s="641">
        <f>SUM(G96:G97)</f>
        <v>652592.42491599999</v>
      </c>
      <c r="H98" s="641">
        <f>SUM(H96:H97)</f>
        <v>668444.48715200007</v>
      </c>
      <c r="I98" s="627">
        <f t="shared" si="48"/>
        <v>668444.48715200007</v>
      </c>
      <c r="J98" s="627">
        <f t="shared" si="48"/>
        <v>668444.48715200007</v>
      </c>
      <c r="K98" s="627">
        <f t="shared" si="48"/>
        <v>668444.48715200007</v>
      </c>
      <c r="L98" s="627">
        <f t="shared" si="48"/>
        <v>668444.48715200007</v>
      </c>
      <c r="M98" s="627">
        <f t="shared" si="48"/>
        <v>668444.48715200007</v>
      </c>
      <c r="N98" s="627">
        <f>SUM(N96:N97)</f>
        <v>668444.48715200007</v>
      </c>
      <c r="O98" s="627">
        <f>SUM(O96:O97)</f>
        <v>668444.48715200007</v>
      </c>
      <c r="Q98" s="628"/>
    </row>
    <row r="99" spans="1:17" s="624" customFormat="1" ht="18" thickBot="1" x14ac:dyDescent="0.35">
      <c r="A99" s="524"/>
      <c r="B99" s="564"/>
      <c r="C99" s="564"/>
      <c r="D99" s="642"/>
      <c r="E99" s="565"/>
      <c r="F99" s="565"/>
      <c r="G99" s="565"/>
      <c r="H99" s="565"/>
      <c r="I99" s="565"/>
      <c r="J99" s="565"/>
      <c r="K99" s="565"/>
      <c r="L99" s="565"/>
      <c r="M99" s="565"/>
      <c r="N99" s="565"/>
      <c r="O99" s="565"/>
      <c r="P99" s="625"/>
    </row>
    <row r="100" spans="1:17" ht="18" thickBot="1" x14ac:dyDescent="0.35">
      <c r="A100" s="720" t="s">
        <v>4740</v>
      </c>
      <c r="B100" s="721"/>
      <c r="C100" s="729">
        <f t="shared" ref="C100:L100" si="49">C94-C98</f>
        <v>0</v>
      </c>
      <c r="D100" s="627">
        <f>D94-D98</f>
        <v>252568.43703599981</v>
      </c>
      <c r="E100" s="627">
        <f>E94-E98</f>
        <v>400023.98788000015</v>
      </c>
      <c r="F100" s="627">
        <f>F94-F98</f>
        <v>112708.7724960011</v>
      </c>
      <c r="G100" s="627">
        <f t="shared" si="49"/>
        <v>15852.062236000085</v>
      </c>
      <c r="H100" s="627">
        <f t="shared" si="49"/>
        <v>-248168.79344799975</v>
      </c>
      <c r="I100" s="627">
        <f t="shared" si="49"/>
        <v>-597612.7900480004</v>
      </c>
      <c r="J100" s="627">
        <f t="shared" si="49"/>
        <v>-523515.95394000108</v>
      </c>
      <c r="K100" s="627">
        <f>K94-K98</f>
        <v>-565411.50266000058</v>
      </c>
      <c r="L100" s="627">
        <f t="shared" si="49"/>
        <v>-593711.96131999907</v>
      </c>
      <c r="M100" s="627">
        <f>M94-M98</f>
        <v>-452456.77622400178</v>
      </c>
      <c r="N100" s="627">
        <f>N94-N98</f>
        <v>-668444.48715200007</v>
      </c>
      <c r="O100" s="627">
        <f>O94-O98</f>
        <v>-668444.48715200007</v>
      </c>
    </row>
    <row r="101" spans="1:17" ht="18" thickBot="1" x14ac:dyDescent="0.35"/>
    <row r="102" spans="1:17" ht="18" thickBot="1" x14ac:dyDescent="0.35">
      <c r="A102" s="720" t="s">
        <v>4758</v>
      </c>
      <c r="B102" s="721"/>
      <c r="C102" s="721"/>
      <c r="D102" s="643" t="s">
        <v>4684</v>
      </c>
      <c r="E102" s="643" t="s">
        <v>4685</v>
      </c>
      <c r="F102" s="643" t="s">
        <v>4686</v>
      </c>
      <c r="G102" s="643" t="s">
        <v>4687</v>
      </c>
      <c r="H102" s="643" t="s">
        <v>4688</v>
      </c>
      <c r="I102" s="643" t="s">
        <v>4689</v>
      </c>
      <c r="J102" s="643" t="s">
        <v>4690</v>
      </c>
      <c r="K102" s="643" t="s">
        <v>4691</v>
      </c>
      <c r="L102" s="643" t="s">
        <v>4692</v>
      </c>
      <c r="M102" s="643" t="s">
        <v>4693</v>
      </c>
      <c r="N102" s="643" t="s">
        <v>4694</v>
      </c>
      <c r="O102" s="643" t="s">
        <v>4695</v>
      </c>
    </row>
    <row r="103" spans="1:17" x14ac:dyDescent="0.3">
      <c r="A103" s="644" t="s">
        <v>4759</v>
      </c>
      <c r="B103" s="645"/>
      <c r="C103" s="645"/>
      <c r="D103" s="589">
        <f>IRPJ_CSLL_2022!O103-IRPJ_CSLL_2022!O78</f>
        <v>4403156.1400000025</v>
      </c>
      <c r="E103" s="589">
        <f>D103+D78</f>
        <v>5999316.3100000015</v>
      </c>
      <c r="F103" s="589">
        <f>E103+E78</f>
        <v>9976527.5800000019</v>
      </c>
      <c r="G103" s="589">
        <f t="shared" ref="G103:O103" si="50">F103+F78</f>
        <v>14699153.970000008</v>
      </c>
      <c r="H103" s="589">
        <f t="shared" si="50"/>
        <v>18932944.410000008</v>
      </c>
      <c r="I103" s="589">
        <f t="shared" si="50"/>
        <v>21905380.79000001</v>
      </c>
      <c r="J103" s="589">
        <f t="shared" si="50"/>
        <v>22939777.670000009</v>
      </c>
      <c r="K103" s="589">
        <f t="shared" si="50"/>
        <v>24633142.560000002</v>
      </c>
      <c r="L103" s="589">
        <f t="shared" si="50"/>
        <v>26249594.050000001</v>
      </c>
      <c r="M103" s="589">
        <f t="shared" si="50"/>
        <v>27712061.590000007</v>
      </c>
      <c r="N103" s="589">
        <f t="shared" si="50"/>
        <v>30049553.749999996</v>
      </c>
      <c r="O103" s="589">
        <f t="shared" si="50"/>
        <v>29503270.659999985</v>
      </c>
    </row>
    <row r="104" spans="1:17" x14ac:dyDescent="0.3">
      <c r="A104" s="644" t="s">
        <v>4743</v>
      </c>
      <c r="B104" s="645"/>
      <c r="C104" s="645"/>
      <c r="D104" s="646">
        <f>D79</f>
        <v>478848.05099999969</v>
      </c>
      <c r="E104" s="646">
        <f>E79</f>
        <v>1193163.3810000001</v>
      </c>
      <c r="F104" s="646">
        <f t="shared" ref="F104:L104" si="51">F79</f>
        <v>1416787.9170000018</v>
      </c>
      <c r="G104" s="646">
        <f t="shared" si="51"/>
        <v>1270137.132</v>
      </c>
      <c r="H104" s="646">
        <f t="shared" si="51"/>
        <v>891730.91400000069</v>
      </c>
      <c r="I104" s="646">
        <f t="shared" si="51"/>
        <v>310319.06399999949</v>
      </c>
      <c r="J104" s="646">
        <f t="shared" si="51"/>
        <v>508009.4669999982</v>
      </c>
      <c r="K104" s="646">
        <f t="shared" si="51"/>
        <v>484935.44699999905</v>
      </c>
      <c r="L104" s="646">
        <f t="shared" si="51"/>
        <v>438740.26200000173</v>
      </c>
      <c r="M104" s="553">
        <f>L104</f>
        <v>438740.26200000173</v>
      </c>
      <c r="N104" s="553">
        <f t="shared" ref="N104" si="52">M104</f>
        <v>438740.26200000173</v>
      </c>
      <c r="O104" s="553">
        <f>N104</f>
        <v>438740.26200000173</v>
      </c>
    </row>
    <row r="105" spans="1:17" x14ac:dyDescent="0.3">
      <c r="A105" s="644" t="s">
        <v>4744</v>
      </c>
      <c r="B105" s="645"/>
      <c r="C105" s="645"/>
      <c r="D105" s="553">
        <f>D103-D104</f>
        <v>3924308.0890000029</v>
      </c>
      <c r="E105" s="590">
        <f t="shared" ref="E105" si="53">E103-E104</f>
        <v>4806152.9290000014</v>
      </c>
      <c r="F105" s="553">
        <f>F103-F104</f>
        <v>8559739.6630000006</v>
      </c>
      <c r="G105" s="553">
        <f>G103-G104</f>
        <v>13429016.838000009</v>
      </c>
      <c r="H105" s="553">
        <f t="shared" ref="H105:L105" si="54">H103-H104</f>
        <v>18041213.496000007</v>
      </c>
      <c r="I105" s="553">
        <f t="shared" si="54"/>
        <v>21595061.726000011</v>
      </c>
      <c r="J105" s="553">
        <f t="shared" si="54"/>
        <v>22431768.203000013</v>
      </c>
      <c r="K105" s="553">
        <f t="shared" si="54"/>
        <v>24148207.113000002</v>
      </c>
      <c r="L105" s="553">
        <f t="shared" si="54"/>
        <v>25810853.787999999</v>
      </c>
      <c r="M105" s="553">
        <f t="shared" ref="M105:N105" si="55">L105</f>
        <v>25810853.787999999</v>
      </c>
      <c r="N105" s="553">
        <f t="shared" si="55"/>
        <v>25810853.787999999</v>
      </c>
      <c r="O105" s="553">
        <f>N105</f>
        <v>25810853.787999999</v>
      </c>
    </row>
    <row r="107" spans="1:17" ht="18" thickBot="1" x14ac:dyDescent="0.35">
      <c r="C107" s="647"/>
      <c r="D107" s="648"/>
      <c r="E107" s="648"/>
      <c r="F107" s="648"/>
      <c r="G107" s="648"/>
      <c r="H107" s="648"/>
      <c r="I107" s="648"/>
      <c r="J107" s="648"/>
      <c r="K107" s="648"/>
      <c r="L107" s="648"/>
      <c r="M107" s="648"/>
      <c r="N107" s="648"/>
      <c r="O107" s="648"/>
    </row>
    <row r="108" spans="1:17" ht="18" thickBot="1" x14ac:dyDescent="0.35">
      <c r="B108" s="649" t="s">
        <v>4745</v>
      </c>
      <c r="C108" s="650"/>
      <c r="D108" s="651" t="s">
        <v>4684</v>
      </c>
      <c r="E108" s="651" t="s">
        <v>4685</v>
      </c>
      <c r="F108" s="651" t="s">
        <v>4686</v>
      </c>
      <c r="G108" s="651" t="s">
        <v>4687</v>
      </c>
      <c r="H108" s="651" t="s">
        <v>4688</v>
      </c>
      <c r="I108" s="651" t="s">
        <v>4689</v>
      </c>
      <c r="J108" s="651" t="s">
        <v>4690</v>
      </c>
      <c r="K108" s="651" t="s">
        <v>4691</v>
      </c>
      <c r="L108" s="651" t="s">
        <v>4692</v>
      </c>
      <c r="M108" s="651" t="s">
        <v>4693</v>
      </c>
      <c r="N108" s="651" t="s">
        <v>4694</v>
      </c>
      <c r="O108" s="651" t="s">
        <v>4695</v>
      </c>
    </row>
    <row r="109" spans="1:17" x14ac:dyDescent="0.3">
      <c r="B109" s="652" t="s">
        <v>4746</v>
      </c>
      <c r="C109" s="653">
        <v>41132</v>
      </c>
      <c r="D109" s="654">
        <f>'[2]01.2023'!H216</f>
        <v>18143.32</v>
      </c>
      <c r="E109" s="654">
        <f>'[2]02.2023'!H222</f>
        <v>170709.37</v>
      </c>
      <c r="F109" s="654">
        <f>'[2]03.2023'!H226</f>
        <v>323722.11</v>
      </c>
      <c r="G109" s="655">
        <f>'[2]04.2022'!G1468</f>
        <v>590849.68999999994</v>
      </c>
      <c r="H109" s="655">
        <f>'[2]05.2022'!G1473</f>
        <v>736100.53</v>
      </c>
      <c r="I109" s="655">
        <f>'[2]06.2022'!G217</f>
        <v>22945.54</v>
      </c>
      <c r="J109" s="655">
        <f>'[2]07.2022'!G226</f>
        <v>1028255.44</v>
      </c>
      <c r="K109" s="655">
        <f>'[2]08.2022'!G230</f>
        <v>1172894.6299999999</v>
      </c>
      <c r="L109" s="655">
        <f>'[2]09.2022'!G229</f>
        <v>1317533.83</v>
      </c>
      <c r="M109" s="655">
        <f>'[2]10.2022'!G235</f>
        <v>1461175.56</v>
      </c>
      <c r="N109" s="655">
        <f>VLOOKUP(C109,'[2]11.2022'!B:G,6,0)</f>
        <v>1603684.86</v>
      </c>
      <c r="O109" s="655">
        <f>'[2]12.2022'!H263</f>
        <v>1886772.51</v>
      </c>
    </row>
    <row r="110" spans="1:17" ht="18" thickBot="1" x14ac:dyDescent="0.35">
      <c r="B110" s="656" t="s">
        <v>4746</v>
      </c>
      <c r="C110" s="657">
        <v>42132</v>
      </c>
      <c r="D110" s="654">
        <f>'[2]01.2023'!H263</f>
        <v>7947.77</v>
      </c>
      <c r="E110" s="654">
        <f>'[2]02.2023'!H274</f>
        <v>77794.039999999994</v>
      </c>
      <c r="F110" s="654">
        <f>'[2]03.2023'!H280</f>
        <v>77794.039999999994</v>
      </c>
      <c r="G110" s="655">
        <f>'[2]04.2022'!G1608</f>
        <v>270211.86</v>
      </c>
      <c r="H110" s="655">
        <f>'[2]05.2022'!G1613</f>
        <v>337764.68</v>
      </c>
      <c r="I110" s="655">
        <f>'[2]06.2022'!G271</f>
        <v>140377.21</v>
      </c>
      <c r="J110" s="655">
        <f>'[2]07.2022'!G280</f>
        <v>470749.97</v>
      </c>
      <c r="K110" s="655">
        <f>'[2]08.2022'!G283</f>
        <v>537261.34</v>
      </c>
      <c r="L110" s="655">
        <f>'[2]09.2022'!G282</f>
        <v>603772.72</v>
      </c>
      <c r="M110" s="655">
        <f>'[2]10.2022'!G288</f>
        <v>670023.73</v>
      </c>
      <c r="N110" s="655">
        <f>VLOOKUP(C110,'[2]11.2022'!B:G,6,0)</f>
        <v>735754</v>
      </c>
      <c r="O110" s="655">
        <f>'[2]12.2022'!H318</f>
        <v>866557.95</v>
      </c>
    </row>
    <row r="111" spans="1:17" ht="18" thickBot="1" x14ac:dyDescent="0.35">
      <c r="B111" s="722" t="s">
        <v>4747</v>
      </c>
      <c r="C111" s="723"/>
      <c r="D111" s="658">
        <f>SUM(D109:D110)</f>
        <v>26091.09</v>
      </c>
      <c r="E111" s="658">
        <f>SUM(E109:E110)</f>
        <v>248503.40999999997</v>
      </c>
      <c r="F111" s="658">
        <f>SUM(F109:F110)</f>
        <v>401516.14999999997</v>
      </c>
      <c r="G111" s="658">
        <f>SUM(G109:G110)</f>
        <v>861061.54999999993</v>
      </c>
      <c r="H111" s="658">
        <f t="shared" ref="H111:O111" si="56">SUM(H109:H110)</f>
        <v>1073865.21</v>
      </c>
      <c r="I111" s="658">
        <f t="shared" si="56"/>
        <v>163322.75</v>
      </c>
      <c r="J111" s="658">
        <f t="shared" si="56"/>
        <v>1499005.41</v>
      </c>
      <c r="K111" s="658">
        <f t="shared" si="56"/>
        <v>1710155.9699999997</v>
      </c>
      <c r="L111" s="658">
        <f>SUM(L109:L110)</f>
        <v>1921306.55</v>
      </c>
      <c r="M111" s="658">
        <f t="shared" si="56"/>
        <v>2131199.29</v>
      </c>
      <c r="N111" s="658">
        <f>SUM(N109:N110)</f>
        <v>2339438.8600000003</v>
      </c>
      <c r="O111" s="658">
        <f t="shared" si="56"/>
        <v>2753330.46</v>
      </c>
    </row>
    <row r="112" spans="1:17" x14ac:dyDescent="0.3">
      <c r="B112" s="724" t="s">
        <v>4748</v>
      </c>
      <c r="C112" s="725"/>
      <c r="D112" s="659">
        <f>D111*0.15</f>
        <v>3913.6634999999997</v>
      </c>
      <c r="E112" s="659">
        <f>E111*0.15</f>
        <v>37275.511499999993</v>
      </c>
      <c r="F112" s="659">
        <f>F111*0.15</f>
        <v>60227.422499999993</v>
      </c>
      <c r="G112" s="659">
        <f>G111*0.15</f>
        <v>129159.23249999998</v>
      </c>
      <c r="H112" s="659">
        <f t="shared" ref="H112:L112" si="57">H111*0.15</f>
        <v>161079.78149999998</v>
      </c>
      <c r="I112" s="659">
        <f t="shared" si="57"/>
        <v>24498.412499999999</v>
      </c>
      <c r="J112" s="659">
        <f t="shared" si="57"/>
        <v>224850.81149999998</v>
      </c>
      <c r="K112" s="659">
        <f t="shared" si="57"/>
        <v>256523.39549999996</v>
      </c>
      <c r="L112" s="659">
        <f t="shared" si="57"/>
        <v>288195.98249999998</v>
      </c>
      <c r="M112" s="659">
        <f>M111*0.15</f>
        <v>319679.89350000001</v>
      </c>
      <c r="N112" s="659">
        <f>N111*0.15</f>
        <v>350915.82900000003</v>
      </c>
      <c r="O112" s="659">
        <f t="shared" ref="O112" si="58">O111*0.15</f>
        <v>412999.56899999996</v>
      </c>
    </row>
    <row r="113" spans="2:15" x14ac:dyDescent="0.3">
      <c r="B113" s="652" t="s">
        <v>4749</v>
      </c>
      <c r="C113" s="660"/>
      <c r="D113" s="659">
        <f>D81*0.04</f>
        <v>6703.8727139999955</v>
      </c>
      <c r="E113" s="659">
        <f>E81*0.04</f>
        <v>16704.287334000001</v>
      </c>
      <c r="F113" s="659">
        <f>F81*0.04</f>
        <v>19835.030838000024</v>
      </c>
      <c r="G113" s="659">
        <f>G81*0.04</f>
        <v>17781.919848000001</v>
      </c>
      <c r="H113" s="659">
        <f t="shared" ref="H113:O113" si="59">H81*0.04</f>
        <v>12484.232796000008</v>
      </c>
      <c r="I113" s="659">
        <f t="shared" si="59"/>
        <v>4344.4668959999926</v>
      </c>
      <c r="J113" s="659">
        <f t="shared" si="59"/>
        <v>7112.1325379999744</v>
      </c>
      <c r="K113" s="659">
        <f t="shared" si="59"/>
        <v>6789.0962579999878</v>
      </c>
      <c r="L113" s="659">
        <f t="shared" si="59"/>
        <v>6142.3636680000245</v>
      </c>
      <c r="M113" s="659">
        <f t="shared" si="59"/>
        <v>9817.4670719999594</v>
      </c>
      <c r="N113" s="659">
        <f t="shared" si="59"/>
        <v>0</v>
      </c>
      <c r="O113" s="659">
        <f t="shared" si="59"/>
        <v>0</v>
      </c>
    </row>
    <row r="114" spans="2:15" x14ac:dyDescent="0.3">
      <c r="B114" s="661" t="s">
        <v>4750</v>
      </c>
      <c r="C114" s="660"/>
      <c r="D114" s="662"/>
      <c r="E114" s="662"/>
      <c r="F114" s="662"/>
      <c r="G114" s="662"/>
      <c r="H114" s="662"/>
      <c r="I114" s="662"/>
      <c r="J114" s="662"/>
      <c r="K114" s="662"/>
      <c r="L114" s="662"/>
      <c r="M114" s="662"/>
      <c r="N114" s="662"/>
      <c r="O114" s="662"/>
    </row>
    <row r="115" spans="2:15" ht="18" thickBot="1" x14ac:dyDescent="0.35">
      <c r="B115" s="663" t="s">
        <v>4751</v>
      </c>
      <c r="C115" s="664"/>
      <c r="D115" s="665">
        <f>IF(D113&gt;0,(D112-D113),0)</f>
        <v>-2790.2092139999959</v>
      </c>
      <c r="E115" s="665">
        <f>IF(E113&gt;0,(E112-E113),0)</f>
        <v>20571.224165999993</v>
      </c>
      <c r="F115" s="665">
        <f>IF(F113&gt;0,(F112-F113),0)</f>
        <v>40392.391661999965</v>
      </c>
      <c r="G115" s="665">
        <f>IF(G113&gt;0,(G112-G113),0)</f>
        <v>111377.31265199998</v>
      </c>
      <c r="H115" s="665">
        <f t="shared" ref="H115:O115" si="60">IF(H113&gt;0,(H112-H113),0)</f>
        <v>148595.54870399999</v>
      </c>
      <c r="I115" s="665">
        <f t="shared" si="60"/>
        <v>20153.945604000008</v>
      </c>
      <c r="J115" s="665">
        <f t="shared" si="60"/>
        <v>217738.67896200001</v>
      </c>
      <c r="K115" s="665">
        <f t="shared" si="60"/>
        <v>249734.29924199998</v>
      </c>
      <c r="L115" s="665">
        <f t="shared" si="60"/>
        <v>282053.61883199995</v>
      </c>
      <c r="M115" s="665">
        <f t="shared" si="60"/>
        <v>309862.42642800004</v>
      </c>
      <c r="N115" s="665">
        <f>IF(N113&gt;0,(N112-N113),0)</f>
        <v>0</v>
      </c>
      <c r="O115" s="665">
        <f t="shared" si="60"/>
        <v>0</v>
      </c>
    </row>
    <row r="116" spans="2:15" x14ac:dyDescent="0.3">
      <c r="B116" s="666"/>
      <c r="C116" s="667"/>
      <c r="D116" s="666"/>
      <c r="E116" s="666"/>
    </row>
    <row r="117" spans="2:15" x14ac:dyDescent="0.3">
      <c r="K117" s="668"/>
    </row>
    <row r="119" spans="2:15" x14ac:dyDescent="0.3">
      <c r="K119" s="628"/>
    </row>
    <row r="125" spans="2:15" x14ac:dyDescent="0.3">
      <c r="B125" s="480" t="s">
        <v>4752</v>
      </c>
    </row>
    <row r="126" spans="2:15" x14ac:dyDescent="0.3">
      <c r="B126" s="480" t="s">
        <v>4753</v>
      </c>
    </row>
    <row r="127" spans="2:15" x14ac:dyDescent="0.3">
      <c r="B127" s="480" t="s">
        <v>4754</v>
      </c>
      <c r="F127" s="628">
        <f>+F36+F94</f>
        <v>1062826.6599820014</v>
      </c>
    </row>
    <row r="128" spans="2:15" x14ac:dyDescent="0.3">
      <c r="F128" s="668">
        <f>-P16</f>
        <v>0</v>
      </c>
    </row>
    <row r="129" spans="2:6" x14ac:dyDescent="0.3">
      <c r="B129" s="480" t="s">
        <v>1762</v>
      </c>
      <c r="F129" s="628">
        <f>+F128-F127</f>
        <v>-1062826.6599820014</v>
      </c>
    </row>
    <row r="130" spans="2:6" x14ac:dyDescent="0.3">
      <c r="B130" s="480" t="s">
        <v>4755</v>
      </c>
    </row>
    <row r="131" spans="2:6" x14ac:dyDescent="0.3">
      <c r="B131" s="480" t="s">
        <v>4756</v>
      </c>
    </row>
  </sheetData>
  <autoFilter ref="A6:I7"/>
  <mergeCells count="33">
    <mergeCell ref="A38:C38"/>
    <mergeCell ref="A6:A7"/>
    <mergeCell ref="A9:C9"/>
    <mergeCell ref="A11:C11"/>
    <mergeCell ref="A12:C12"/>
    <mergeCell ref="A13:A26"/>
    <mergeCell ref="A27:C27"/>
    <mergeCell ref="A28:C28"/>
    <mergeCell ref="A29:A30"/>
    <mergeCell ref="A32:C32"/>
    <mergeCell ref="A35:C35"/>
    <mergeCell ref="A36:C36"/>
    <mergeCell ref="A78:C78"/>
    <mergeCell ref="A42:C42"/>
    <mergeCell ref="A44:C44"/>
    <mergeCell ref="A49:A50"/>
    <mergeCell ref="A52:C52"/>
    <mergeCell ref="A54:C54"/>
    <mergeCell ref="A55:C55"/>
    <mergeCell ref="A56:A69"/>
    <mergeCell ref="A71:C71"/>
    <mergeCell ref="A72:C72"/>
    <mergeCell ref="A73:A74"/>
    <mergeCell ref="A76:C76"/>
    <mergeCell ref="A102:C102"/>
    <mergeCell ref="B111:C111"/>
    <mergeCell ref="B112:C112"/>
    <mergeCell ref="A80:C80"/>
    <mergeCell ref="A84:C84"/>
    <mergeCell ref="A92:C92"/>
    <mergeCell ref="A94:C94"/>
    <mergeCell ref="A98:C98"/>
    <mergeCell ref="A100:C100"/>
  </mergeCells>
  <conditionalFormatting sqref="B96">
    <cfRule type="cellIs" dxfId="12" priority="13" operator="lessThan">
      <formula>0</formula>
    </cfRule>
  </conditionalFormatting>
  <conditionalFormatting sqref="D33">
    <cfRule type="cellIs" dxfId="11" priority="12" operator="lessThan">
      <formula>0</formula>
    </cfRule>
  </conditionalFormatting>
  <conditionalFormatting sqref="E33">
    <cfRule type="cellIs" dxfId="10" priority="11" operator="lessThan">
      <formula>0</formula>
    </cfRule>
  </conditionalFormatting>
  <conditionalFormatting sqref="F33">
    <cfRule type="cellIs" dxfId="9" priority="10" operator="lessThan">
      <formula>0</formula>
    </cfRule>
  </conditionalFormatting>
  <conditionalFormatting sqref="G33">
    <cfRule type="cellIs" dxfId="8" priority="9" operator="lessThan">
      <formula>0</formula>
    </cfRule>
  </conditionalFormatting>
  <conditionalFormatting sqref="H33">
    <cfRule type="cellIs" dxfId="7" priority="8" operator="lessThan">
      <formula>0</formula>
    </cfRule>
  </conditionalFormatting>
  <conditionalFormatting sqref="I33">
    <cfRule type="cellIs" dxfId="6" priority="7" operator="lessThan">
      <formula>0</formula>
    </cfRule>
  </conditionalFormatting>
  <conditionalFormatting sqref="J33">
    <cfRule type="cellIs" dxfId="5" priority="6" operator="lessThan">
      <formula>0</formula>
    </cfRule>
  </conditionalFormatting>
  <conditionalFormatting sqref="K33">
    <cfRule type="cellIs" dxfId="4" priority="5" operator="lessThan">
      <formula>0</formula>
    </cfRule>
  </conditionalFormatting>
  <conditionalFormatting sqref="L33">
    <cfRule type="cellIs" dxfId="3" priority="4" operator="lessThan">
      <formula>0</formula>
    </cfRule>
  </conditionalFormatting>
  <conditionalFormatting sqref="M33">
    <cfRule type="cellIs" dxfId="2" priority="3" operator="lessThan">
      <formula>0</formula>
    </cfRule>
  </conditionalFormatting>
  <conditionalFormatting sqref="N33">
    <cfRule type="cellIs" dxfId="1" priority="2" operator="lessThan">
      <formula>0</formula>
    </cfRule>
  </conditionalFormatting>
  <conditionalFormatting sqref="O33">
    <cfRule type="cellIs" dxfId="0" priority="1" operator="lessThan">
      <formula>0</formula>
    </cfRule>
  </conditionalFormatting>
  <pageMargins left="0.51181102362204722" right="0.51181102362204722" top="0.78740157480314965" bottom="0.78740157480314965" header="0.31496062992125984" footer="0.31496062992125984"/>
  <pageSetup paperSize="9" scale="52" fitToHeight="0" orientation="landscape" r:id="rId1"/>
  <rowBreaks count="1" manualBreakCount="1">
    <brk id="47" max="14" man="1"/>
  </rowBreaks>
  <colBreaks count="1" manualBreakCount="1">
    <brk id="11" max="108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Y36"/>
  <sheetViews>
    <sheetView showGridLines="0" topLeftCell="H7" workbookViewId="0">
      <selection activeCell="N9" sqref="N9"/>
    </sheetView>
  </sheetViews>
  <sheetFormatPr defaultColWidth="9.140625" defaultRowHeight="12.75" x14ac:dyDescent="0.2"/>
  <cols>
    <col min="1" max="3" width="9.140625" style="14"/>
    <col min="4" max="4" width="50.85546875" style="303" customWidth="1"/>
    <col min="5" max="5" width="1.7109375" style="14" customWidth="1"/>
    <col min="6" max="6" width="14.7109375" style="415" customWidth="1"/>
    <col min="7" max="7" width="1.28515625" style="14" customWidth="1"/>
    <col min="8" max="8" width="14.140625" style="14" customWidth="1"/>
    <col min="9" max="9" width="9.140625" style="14"/>
    <col min="10" max="10" width="10.42578125" style="14" bestFit="1" customWidth="1"/>
    <col min="11" max="11" width="9.140625" style="14"/>
    <col min="12" max="12" width="49.140625" style="14" bestFit="1" customWidth="1"/>
    <col min="13" max="13" width="7.5703125" style="14" customWidth="1"/>
    <col min="14" max="14" width="12.7109375" style="14" customWidth="1"/>
    <col min="15" max="15" width="10.5703125" style="14" customWidth="1"/>
    <col min="16" max="16" width="12.140625" style="14" bestFit="1" customWidth="1"/>
    <col min="17" max="17" width="11.42578125" style="14" customWidth="1"/>
    <col min="18" max="19" width="9.140625" style="14"/>
    <col min="20" max="20" width="11.28515625" style="14" customWidth="1"/>
    <col min="21" max="21" width="3.5703125" style="14" customWidth="1"/>
    <col min="22" max="22" width="10.28515625" style="14" bestFit="1" customWidth="1"/>
    <col min="23" max="23" width="15.28515625" style="14" bestFit="1" customWidth="1"/>
    <col min="24" max="24" width="3.5703125" style="14" customWidth="1"/>
    <col min="25" max="25" width="10" style="14" bestFit="1" customWidth="1"/>
    <col min="26" max="16384" width="9.140625" style="14"/>
  </cols>
  <sheetData>
    <row r="3" spans="4:25" x14ac:dyDescent="0.2">
      <c r="D3" s="763" t="s">
        <v>4648</v>
      </c>
      <c r="E3" s="763"/>
      <c r="F3" s="763"/>
      <c r="G3" s="763"/>
      <c r="H3" s="763"/>
      <c r="M3" s="414"/>
      <c r="N3" s="414"/>
      <c r="O3" s="414"/>
      <c r="P3" s="447"/>
      <c r="Q3" s="414"/>
      <c r="R3" s="414"/>
      <c r="S3" s="414"/>
      <c r="T3" s="414"/>
      <c r="U3" s="414"/>
      <c r="V3" s="414"/>
      <c r="W3" s="414"/>
      <c r="X3" s="414"/>
      <c r="Y3" s="414"/>
    </row>
    <row r="4" spans="4:25" ht="15.75" customHeight="1" thickBot="1" x14ac:dyDescent="0.25">
      <c r="L4" s="416"/>
      <c r="M4" s="416"/>
      <c r="N4" s="764" t="s">
        <v>4649</v>
      </c>
      <c r="O4" s="764"/>
      <c r="P4" s="765">
        <v>44651</v>
      </c>
      <c r="Q4" s="764"/>
      <c r="R4" s="414"/>
      <c r="S4" s="414"/>
      <c r="T4" s="761"/>
      <c r="U4" s="761"/>
      <c r="V4" s="761"/>
      <c r="W4" s="761"/>
      <c r="X4" s="761"/>
      <c r="Y4" s="761"/>
    </row>
    <row r="5" spans="4:25" x14ac:dyDescent="0.2">
      <c r="F5" s="762" t="s">
        <v>4650</v>
      </c>
      <c r="G5" s="762"/>
      <c r="H5" s="762"/>
      <c r="L5" s="417"/>
      <c r="M5" s="417"/>
      <c r="N5" s="688" t="s">
        <v>1762</v>
      </c>
      <c r="O5" s="689" t="s">
        <v>1764</v>
      </c>
      <c r="P5" s="691" t="s">
        <v>1762</v>
      </c>
      <c r="Q5" s="689" t="s">
        <v>1764</v>
      </c>
      <c r="R5" s="414"/>
      <c r="S5" s="414"/>
      <c r="T5" s="420"/>
      <c r="U5" s="420"/>
      <c r="V5" s="420"/>
      <c r="W5" s="420"/>
      <c r="X5" s="420"/>
      <c r="Y5" s="420"/>
    </row>
    <row r="6" spans="4:25" x14ac:dyDescent="0.2">
      <c r="F6" s="421">
        <v>45016</v>
      </c>
      <c r="H6" s="421">
        <v>44651</v>
      </c>
      <c r="L6" s="417" t="s">
        <v>4651</v>
      </c>
      <c r="M6" s="417"/>
      <c r="N6" s="680">
        <f>IRPJ_CSLL_2023!F11/1000+1</f>
        <v>3163.3452800000068</v>
      </c>
      <c r="O6" s="680">
        <f>N6</f>
        <v>3163.3452800000068</v>
      </c>
      <c r="P6" s="692">
        <f>IRPJ_CSLL_2022!F11/1000</f>
        <v>-475.11565999999874</v>
      </c>
      <c r="Q6" s="680">
        <f>P6</f>
        <v>-475.11565999999874</v>
      </c>
      <c r="R6" s="414"/>
      <c r="S6" s="701"/>
      <c r="T6" s="414"/>
      <c r="U6" s="414"/>
      <c r="V6" s="414"/>
      <c r="W6" s="414"/>
      <c r="X6" s="414"/>
      <c r="Y6" s="414"/>
    </row>
    <row r="7" spans="4:25" x14ac:dyDescent="0.2">
      <c r="H7" s="415"/>
      <c r="L7" s="417" t="s">
        <v>4652</v>
      </c>
      <c r="M7" s="417"/>
      <c r="N7" s="680">
        <f>IRPJ_CSLL_2023!F27/1000</f>
        <v>1560.2811099999999</v>
      </c>
      <c r="O7" s="680">
        <f>N7</f>
        <v>1560.2811099999999</v>
      </c>
      <c r="P7" s="692">
        <f>IRPJ_CSLL_2022!F27/1000</f>
        <v>513.11883</v>
      </c>
      <c r="Q7" s="680">
        <f>P7</f>
        <v>513.11883</v>
      </c>
      <c r="R7" s="414"/>
      <c r="S7" s="701"/>
      <c r="T7" s="422"/>
      <c r="U7" s="414"/>
      <c r="V7" s="422"/>
      <c r="W7" s="422"/>
      <c r="X7" s="414"/>
      <c r="Y7" s="422"/>
    </row>
    <row r="8" spans="4:25" s="187" customFormat="1" ht="13.5" thickBot="1" x14ac:dyDescent="0.25">
      <c r="D8" s="423" t="s">
        <v>4653</v>
      </c>
      <c r="E8" s="424"/>
      <c r="F8" s="704">
        <f>IRPJ_CSLL_2023!F54/1000</f>
        <v>3162.3452800000068</v>
      </c>
      <c r="G8" s="424"/>
      <c r="H8" s="704">
        <f>(IRPJ_CSLL_2022!F11)/1000</f>
        <v>-475.11565999999874</v>
      </c>
      <c r="L8" s="417" t="s">
        <v>4654</v>
      </c>
      <c r="M8" s="417"/>
      <c r="N8" s="681" t="s">
        <v>85</v>
      </c>
      <c r="O8" s="681" t="s">
        <v>85</v>
      </c>
      <c r="P8" s="693">
        <f>-IRPJ_CSLL_2022!F32/1000</f>
        <v>-22.945540000000001</v>
      </c>
      <c r="Q8" s="690">
        <f>P8</f>
        <v>-22.945540000000001</v>
      </c>
      <c r="R8" s="426"/>
      <c r="S8" s="702"/>
      <c r="T8" s="422"/>
      <c r="U8" s="414"/>
      <c r="V8" s="422"/>
      <c r="W8" s="422"/>
      <c r="X8" s="414"/>
      <c r="Y8" s="422"/>
    </row>
    <row r="9" spans="4:25" x14ac:dyDescent="0.2">
      <c r="D9" s="303" t="s">
        <v>4655</v>
      </c>
      <c r="E9" s="427"/>
      <c r="F9" s="705">
        <v>0.34</v>
      </c>
      <c r="G9" s="427"/>
      <c r="H9" s="705">
        <v>0.34</v>
      </c>
      <c r="L9" s="429" t="s">
        <v>1765</v>
      </c>
      <c r="M9" s="417"/>
      <c r="N9" s="683">
        <f>SUM(N6:N8)</f>
        <v>4723.6263900000067</v>
      </c>
      <c r="O9" s="683">
        <f>SUM(O6:O8)</f>
        <v>4723.6263900000067</v>
      </c>
      <c r="P9" s="694">
        <f>SUM(P6:P8)</f>
        <v>15.057630000001261</v>
      </c>
      <c r="Q9" s="683">
        <f>SUM(Q6:Q8)</f>
        <v>15.057630000001261</v>
      </c>
      <c r="R9" s="414"/>
      <c r="S9" s="414"/>
      <c r="T9" s="422"/>
      <c r="U9" s="414"/>
      <c r="V9" s="422"/>
      <c r="W9" s="422"/>
      <c r="X9" s="414"/>
      <c r="Y9" s="422"/>
    </row>
    <row r="10" spans="4:25" s="187" customFormat="1" ht="25.5" x14ac:dyDescent="0.2">
      <c r="D10" s="423" t="s">
        <v>4656</v>
      </c>
      <c r="E10" s="424"/>
      <c r="F10" s="704">
        <f>-F8*F9</f>
        <v>-1075.1973952000023</v>
      </c>
      <c r="G10" s="424"/>
      <c r="H10" s="704">
        <f>-H8*H9</f>
        <v>161.53932439999957</v>
      </c>
      <c r="L10" s="429"/>
      <c r="M10" s="417"/>
      <c r="N10" s="430"/>
      <c r="O10" s="683"/>
      <c r="P10" s="450"/>
      <c r="Q10" s="430"/>
      <c r="R10" s="426"/>
      <c r="S10" s="426"/>
      <c r="T10" s="431"/>
      <c r="U10" s="432"/>
      <c r="V10" s="432"/>
      <c r="W10" s="432"/>
      <c r="X10" s="432"/>
      <c r="Y10" s="432"/>
    </row>
    <row r="11" spans="4:25" s="187" customFormat="1" x14ac:dyDescent="0.2">
      <c r="D11" s="423"/>
      <c r="E11" s="424"/>
      <c r="F11" s="704"/>
      <c r="G11" s="424"/>
      <c r="H11" s="704"/>
      <c r="L11" s="417" t="s">
        <v>4657</v>
      </c>
      <c r="M11" s="417"/>
      <c r="N11" s="683">
        <f>N9*34%</f>
        <v>1606.0329726000025</v>
      </c>
      <c r="O11" s="683">
        <f>O9*34%</f>
        <v>1606.0329726000025</v>
      </c>
      <c r="P11" s="694">
        <f>P9*34%</f>
        <v>5.1195942000004289</v>
      </c>
      <c r="Q11" s="683">
        <f>Q9*34%</f>
        <v>5.1195942000004289</v>
      </c>
      <c r="R11" s="426"/>
      <c r="S11" s="426"/>
      <c r="T11" s="426"/>
      <c r="U11" s="426"/>
      <c r="V11" s="426"/>
      <c r="W11" s="426"/>
      <c r="X11" s="426"/>
      <c r="Y11" s="426"/>
    </row>
    <row r="12" spans="4:25" s="187" customFormat="1" x14ac:dyDescent="0.2">
      <c r="D12" s="423" t="s">
        <v>4658</v>
      </c>
      <c r="E12" s="424"/>
      <c r="F12" s="704"/>
      <c r="G12" s="424"/>
      <c r="H12" s="704"/>
      <c r="L12" s="429"/>
      <c r="M12" s="417"/>
      <c r="N12" s="430"/>
      <c r="O12" s="430"/>
      <c r="P12" s="450"/>
      <c r="Q12" s="430"/>
      <c r="R12" s="426"/>
      <c r="S12" s="426"/>
      <c r="T12" s="432"/>
      <c r="U12" s="426"/>
      <c r="V12" s="432"/>
      <c r="W12" s="432"/>
      <c r="X12" s="426"/>
      <c r="Y12" s="432"/>
    </row>
    <row r="13" spans="4:25" s="187" customFormat="1" x14ac:dyDescent="0.2">
      <c r="D13" s="423"/>
      <c r="E13" s="424"/>
      <c r="F13" s="704"/>
      <c r="G13" s="424"/>
      <c r="H13" s="704"/>
      <c r="L13" s="429" t="s">
        <v>4659</v>
      </c>
      <c r="M13" s="417"/>
      <c r="N13" s="430" t="s">
        <v>1763</v>
      </c>
      <c r="O13" s="433">
        <v>0.09</v>
      </c>
      <c r="P13" s="450" t="s">
        <v>1763</v>
      </c>
      <c r="Q13" s="433">
        <v>0.09</v>
      </c>
      <c r="R13" s="426"/>
      <c r="S13" s="426"/>
      <c r="T13" s="426"/>
      <c r="U13" s="426"/>
      <c r="V13" s="426"/>
      <c r="W13" s="426"/>
      <c r="X13" s="426"/>
      <c r="Y13" s="426"/>
    </row>
    <row r="14" spans="4:25" s="187" customFormat="1" x14ac:dyDescent="0.2">
      <c r="D14" s="423" t="s">
        <v>4660</v>
      </c>
      <c r="E14" s="424"/>
      <c r="F14" s="704"/>
      <c r="G14" s="424"/>
      <c r="H14" s="704"/>
      <c r="L14" s="417" t="s">
        <v>4661</v>
      </c>
      <c r="M14" s="417"/>
      <c r="N14" s="687">
        <f>-IRPJ_CSLL_2023!F92/1000</f>
        <v>-55.158420838000019</v>
      </c>
      <c r="O14" s="682" t="s">
        <v>85</v>
      </c>
      <c r="P14" s="696">
        <f>-IRPJ_CSLL_2022!F92/1000</f>
        <v>-16.346272046000006</v>
      </c>
      <c r="Q14" s="682" t="s">
        <v>85</v>
      </c>
      <c r="R14" s="426"/>
      <c r="S14" s="426"/>
      <c r="T14" s="426"/>
      <c r="U14" s="426"/>
      <c r="V14" s="426"/>
      <c r="W14" s="426"/>
      <c r="X14" s="426"/>
      <c r="Y14" s="426"/>
    </row>
    <row r="15" spans="4:25" x14ac:dyDescent="0.2">
      <c r="D15" s="434" t="s">
        <v>4662</v>
      </c>
      <c r="E15" s="427"/>
      <c r="F15" s="706">
        <f>(-IRPJ_CSLL_2023!F13-IRPJ_CSLL_2023!F14-IRPJ_CSLL_2023!F17-IRPJ_CSLL_2023!F18 )*F9/1000</f>
        <v>-12.0099526</v>
      </c>
      <c r="G15" s="427"/>
      <c r="H15" s="706">
        <f>(-IRPJ_CSLL_2022!F13-IRPJ_CSLL_2022!F14-IRPJ_CSLL_2022!F17-IRPJ_CSLL_2022!F18)*H9/1000+1</f>
        <v>-4.5362302000000012</v>
      </c>
      <c r="L15" s="417"/>
      <c r="M15" s="417"/>
      <c r="N15" s="682"/>
      <c r="O15" s="682"/>
      <c r="P15" s="695"/>
      <c r="Q15" s="682"/>
      <c r="R15" s="414"/>
      <c r="S15" s="414"/>
      <c r="T15" s="420"/>
      <c r="U15" s="414"/>
      <c r="V15" s="436"/>
      <c r="W15" s="420"/>
      <c r="X15" s="414"/>
      <c r="Y15" s="436"/>
    </row>
    <row r="16" spans="4:25" x14ac:dyDescent="0.2">
      <c r="D16" s="434" t="s">
        <v>4663</v>
      </c>
      <c r="E16" s="427"/>
      <c r="F16" s="706">
        <v>0</v>
      </c>
      <c r="G16" s="427"/>
      <c r="H16" s="706">
        <f>(-IRPJ_CSLL_2022!F20-IRPJ_CSLL_2022!F21-IRPJ_CSLL_2022!F22-IRPJ_CSLL_2022!F23)*H9/1000</f>
        <v>-60.694304400000007</v>
      </c>
      <c r="L16" s="429" t="s">
        <v>4664</v>
      </c>
      <c r="M16" s="429"/>
      <c r="N16" s="697">
        <f>IRPJ_CSLL_2023!F94/1000</f>
        <v>765.3011974120011</v>
      </c>
      <c r="O16" s="697">
        <f>IRPJ_CSLL_2023!F36/1000</f>
        <v>297.5254625700004</v>
      </c>
      <c r="P16" s="699">
        <v>0</v>
      </c>
      <c r="Q16" s="697">
        <f>IRPJ_CSLL_2022!F94</f>
        <v>0</v>
      </c>
      <c r="R16" s="414"/>
      <c r="S16" s="414"/>
      <c r="T16" s="422"/>
      <c r="U16" s="414"/>
      <c r="V16" s="422"/>
      <c r="W16" s="422"/>
      <c r="X16" s="414"/>
      <c r="Y16" s="422"/>
    </row>
    <row r="17" spans="4:25" x14ac:dyDescent="0.2">
      <c r="D17" s="434" t="s">
        <v>4665</v>
      </c>
      <c r="E17" s="427"/>
      <c r="F17" s="706">
        <f>(-IRPJ_CSLL_2023!F24*F9)/1000</f>
        <v>-517.50098480000008</v>
      </c>
      <c r="G17" s="427"/>
      <c r="H17" s="706">
        <f>(-IRPJ_CSLL_2022!F24)*H9/1000+1</f>
        <v>-95.556205600000013</v>
      </c>
      <c r="L17" s="429"/>
      <c r="M17" s="429"/>
      <c r="N17" s="430"/>
      <c r="O17" s="430"/>
      <c r="P17" s="450"/>
      <c r="Q17" s="430"/>
      <c r="R17" s="414"/>
      <c r="S17" s="414"/>
      <c r="T17" s="414"/>
      <c r="U17" s="414"/>
      <c r="V17" s="414"/>
      <c r="W17" s="414"/>
      <c r="X17" s="414"/>
      <c r="Y17" s="414"/>
    </row>
    <row r="18" spans="4:25" x14ac:dyDescent="0.2">
      <c r="D18" s="434" t="s">
        <v>4666</v>
      </c>
      <c r="E18" s="427"/>
      <c r="F18" s="706">
        <f>(-IRPJ_CSLL_2023!F19-IRPJ_CSLL_2023!F15*F9)/1000+1</f>
        <v>-1.2228000000000003</v>
      </c>
      <c r="G18" s="427"/>
      <c r="H18" s="706">
        <f>(-IRPJ_CSLL_2022!F15-IRPJ_CSLL_2022!F16-IRPJ_CSLL_2022!F19-IRPJ_CSLL_2022!F25*H9)/1000</f>
        <v>-13.853642000000001</v>
      </c>
      <c r="L18" s="417" t="s">
        <v>4667</v>
      </c>
      <c r="M18" s="417"/>
      <c r="N18" s="697">
        <f>-IRPJ_CSLL_2023!F98/1000</f>
        <v>-652.59242491600003</v>
      </c>
      <c r="O18" s="682">
        <v>-251</v>
      </c>
      <c r="P18" s="696">
        <f>-IRPJ_CSLL_2022!F98/1000</f>
        <v>-414.62283059200013</v>
      </c>
      <c r="Q18" s="687">
        <f>-IRPJ_CSLL_2022!F42/1000</f>
        <v>-165.36647736000006</v>
      </c>
      <c r="R18" s="426"/>
      <c r="S18" s="426"/>
      <c r="T18" s="431"/>
      <c r="U18" s="426"/>
      <c r="V18" s="431"/>
      <c r="W18" s="431"/>
      <c r="X18" s="426"/>
      <c r="Y18" s="431"/>
    </row>
    <row r="19" spans="4:25" ht="13.5" thickBot="1" x14ac:dyDescent="0.25">
      <c r="D19" s="434"/>
      <c r="E19" s="427"/>
      <c r="F19" s="706"/>
      <c r="G19" s="427"/>
      <c r="H19" s="706"/>
      <c r="L19" s="429"/>
      <c r="M19" s="429"/>
      <c r="N19" s="437"/>
      <c r="O19" s="437"/>
      <c r="P19" s="438"/>
      <c r="Q19" s="437"/>
      <c r="R19" s="414"/>
      <c r="S19" s="414"/>
      <c r="T19" s="414"/>
      <c r="U19" s="414"/>
      <c r="V19" s="414"/>
      <c r="W19" s="414"/>
      <c r="X19" s="414"/>
      <c r="Y19" s="414"/>
    </row>
    <row r="20" spans="4:25" s="187" customFormat="1" ht="13.5" thickBot="1" x14ac:dyDescent="0.25">
      <c r="D20" s="423" t="s">
        <v>4668</v>
      </c>
      <c r="E20" s="424"/>
      <c r="F20" s="704"/>
      <c r="G20" s="424"/>
      <c r="H20" s="704"/>
      <c r="L20" s="429" t="s">
        <v>4669</v>
      </c>
      <c r="M20" s="429"/>
      <c r="N20" s="698">
        <f>SUM(N16:N19)</f>
        <v>112.70877249600107</v>
      </c>
      <c r="O20" s="698">
        <f>SUM(O16:O19)</f>
        <v>46.5254625700004</v>
      </c>
      <c r="P20" s="700">
        <f>SUM(P16:P19)</f>
        <v>-414.62283059200013</v>
      </c>
      <c r="Q20" s="698">
        <f>SUM(Q16:Q19)</f>
        <v>-165.36647736000006</v>
      </c>
      <c r="R20" s="426"/>
      <c r="S20" s="426"/>
      <c r="T20" s="426"/>
      <c r="U20" s="426"/>
      <c r="V20" s="426"/>
      <c r="W20" s="426"/>
      <c r="X20" s="426"/>
      <c r="Y20" s="426"/>
    </row>
    <row r="21" spans="4:25" ht="15" x14ac:dyDescent="0.25">
      <c r="D21" s="434" t="s">
        <v>4670</v>
      </c>
      <c r="E21" s="427"/>
      <c r="F21" s="706">
        <f>((IRPJ_CSLL_2023!F29+IRPJ_CSLL_2023!F30+IRPJ_CSLL_2023!F31)*F9)/1000</f>
        <v>0</v>
      </c>
      <c r="G21" s="427"/>
      <c r="H21" s="706">
        <f>(IRPJ_CSLL_2022!F32*H9)/1000</f>
        <v>7.8014836000000001</v>
      </c>
      <c r="L21" s="439"/>
      <c r="M21"/>
      <c r="N21"/>
      <c r="O21"/>
      <c r="P21" s="414"/>
      <c r="Q21" s="414"/>
      <c r="R21" s="414"/>
      <c r="S21" s="414"/>
      <c r="T21" s="414"/>
      <c r="U21" s="414"/>
      <c r="V21" s="414"/>
      <c r="W21" s="414"/>
      <c r="X21" s="414"/>
      <c r="Y21" s="414"/>
    </row>
    <row r="22" spans="4:25" hidden="1" x14ac:dyDescent="0.2">
      <c r="D22" s="434" t="s">
        <v>4671</v>
      </c>
      <c r="E22" s="427"/>
      <c r="F22" s="707">
        <v>0</v>
      </c>
      <c r="G22" s="427"/>
      <c r="H22" s="707">
        <v>0</v>
      </c>
    </row>
    <row r="23" spans="4:25" hidden="1" x14ac:dyDescent="0.2">
      <c r="D23" s="434" t="s">
        <v>4672</v>
      </c>
      <c r="E23" s="427"/>
      <c r="F23" s="707">
        <v>0</v>
      </c>
      <c r="G23" s="427"/>
      <c r="H23" s="707">
        <v>0</v>
      </c>
      <c r="N23" s="703"/>
    </row>
    <row r="24" spans="4:25" hidden="1" x14ac:dyDescent="0.2">
      <c r="D24" s="434" t="s">
        <v>4673</v>
      </c>
      <c r="E24" s="427"/>
      <c r="F24" s="707">
        <v>0</v>
      </c>
      <c r="G24" s="427"/>
      <c r="H24" s="707">
        <v>0</v>
      </c>
      <c r="N24" s="427"/>
    </row>
    <row r="25" spans="4:25" hidden="1" x14ac:dyDescent="0.2">
      <c r="D25" s="434" t="s">
        <v>4674</v>
      </c>
      <c r="E25" s="427"/>
      <c r="F25" s="707">
        <v>0</v>
      </c>
      <c r="G25" s="427"/>
      <c r="H25" s="707">
        <v>0</v>
      </c>
    </row>
    <row r="26" spans="4:25" x14ac:dyDescent="0.2">
      <c r="D26" s="434"/>
      <c r="E26" s="427"/>
      <c r="F26" s="707"/>
      <c r="G26" s="427"/>
      <c r="H26" s="707"/>
    </row>
    <row r="27" spans="4:25" s="187" customFormat="1" ht="13.5" thickBot="1" x14ac:dyDescent="0.25">
      <c r="D27" s="473" t="s">
        <v>4675</v>
      </c>
      <c r="E27" s="424"/>
      <c r="F27" s="708">
        <f>SUM(F10:F24)</f>
        <v>-1605.9311326000025</v>
      </c>
      <c r="G27" s="424"/>
      <c r="H27" s="708">
        <f>SUM(H10:H24)</f>
        <v>-5.2995742000004542</v>
      </c>
      <c r="J27" s="443"/>
    </row>
    <row r="28" spans="4:25" ht="13.5" thickTop="1" x14ac:dyDescent="0.2">
      <c r="E28" s="427"/>
      <c r="F28" s="706"/>
      <c r="G28" s="440"/>
      <c r="H28" s="706"/>
    </row>
    <row r="29" spans="4:25" x14ac:dyDescent="0.2">
      <c r="D29" s="303" t="s">
        <v>4676</v>
      </c>
      <c r="E29" s="427"/>
      <c r="F29" s="706"/>
      <c r="G29" s="427"/>
      <c r="H29" s="706"/>
    </row>
    <row r="30" spans="4:25" x14ac:dyDescent="0.2">
      <c r="D30" s="303" t="s">
        <v>4677</v>
      </c>
      <c r="E30" s="427"/>
      <c r="F30" s="706">
        <f>+F27</f>
        <v>-1605.9311326000025</v>
      </c>
      <c r="G30" s="427"/>
      <c r="H30" s="707">
        <f>H27</f>
        <v>-5.2995742000004542</v>
      </c>
    </row>
    <row r="31" spans="4:25" x14ac:dyDescent="0.2">
      <c r="F31" s="709"/>
      <c r="H31" s="709"/>
    </row>
    <row r="32" spans="4:25" x14ac:dyDescent="0.2">
      <c r="F32" s="709"/>
      <c r="H32" s="195"/>
    </row>
    <row r="33" spans="4:8" s="187" customFormat="1" ht="13.5" thickBot="1" x14ac:dyDescent="0.25">
      <c r="D33" s="473" t="s">
        <v>4678</v>
      </c>
      <c r="F33" s="710">
        <f>-F27/F8</f>
        <v>0.50782915539191187</v>
      </c>
      <c r="H33" s="710">
        <f>-H30/H8</f>
        <v>-1.1154282306755513E-2</v>
      </c>
    </row>
    <row r="34" spans="4:8" ht="13.5" thickTop="1" x14ac:dyDescent="0.2"/>
    <row r="36" spans="4:8" x14ac:dyDescent="0.2">
      <c r="H36" s="445"/>
    </row>
  </sheetData>
  <mergeCells count="6">
    <mergeCell ref="W4:Y4"/>
    <mergeCell ref="F5:H5"/>
    <mergeCell ref="D3:H3"/>
    <mergeCell ref="N4:O4"/>
    <mergeCell ref="P4:Q4"/>
    <mergeCell ref="T4:V4"/>
  </mergeCells>
  <pageMargins left="0.511811024" right="0.511811024" top="0.78740157499999996" bottom="0.78740157499999996" header="0.31496062000000002" footer="0.31496062000000002"/>
  <pageSetup paperSize="9" orientation="portrait" horizontalDpi="4294967295" verticalDpi="4294967295" r:id="rId1"/>
  <ignoredErrors>
    <ignoredError sqref="P6:P7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3"/>
  <sheetViews>
    <sheetView showGridLines="0" workbookViewId="0">
      <selection activeCell="J21" sqref="J21"/>
    </sheetView>
  </sheetViews>
  <sheetFormatPr defaultColWidth="9.140625" defaultRowHeight="12.75" x14ac:dyDescent="0.2"/>
  <cols>
    <col min="1" max="1" width="39.85546875" style="53" bestFit="1" customWidth="1"/>
    <col min="2" max="2" width="11" style="53" customWidth="1"/>
    <col min="3" max="3" width="15" style="53" customWidth="1"/>
    <col min="4" max="4" width="3.42578125" style="161" customWidth="1"/>
    <col min="5" max="5" width="13.42578125" style="14" customWidth="1"/>
    <col min="6" max="6" width="9.140625" style="53"/>
    <col min="7" max="7" width="10.28515625" style="84" bestFit="1" customWidth="1"/>
    <col min="8" max="16384" width="9.140625" style="53"/>
  </cols>
  <sheetData>
    <row r="1" spans="1:9" x14ac:dyDescent="0.2">
      <c r="A1" s="53" t="s">
        <v>1247</v>
      </c>
    </row>
    <row r="2" spans="1:9" s="197" customFormat="1" x14ac:dyDescent="0.2">
      <c r="A2" s="195"/>
      <c r="B2" s="195"/>
      <c r="C2" s="196">
        <v>44926</v>
      </c>
      <c r="D2" s="210"/>
      <c r="E2" s="196">
        <v>44469</v>
      </c>
      <c r="G2" s="198"/>
    </row>
    <row r="3" spans="1:9" x14ac:dyDescent="0.2">
      <c r="A3" s="187" t="s">
        <v>1236</v>
      </c>
      <c r="B3" s="187"/>
      <c r="C3" s="14"/>
      <c r="D3" s="188"/>
      <c r="F3" s="84"/>
    </row>
    <row r="4" spans="1:9" x14ac:dyDescent="0.2">
      <c r="A4" s="189" t="s">
        <v>1237</v>
      </c>
      <c r="B4" s="189"/>
      <c r="C4" s="8" t="e">
        <f>#REF!</f>
        <v>#REF!</v>
      </c>
      <c r="D4" s="22"/>
      <c r="E4" s="8" t="e">
        <f>#REF!</f>
        <v>#REF!</v>
      </c>
      <c r="F4" s="84"/>
    </row>
    <row r="5" spans="1:9" x14ac:dyDescent="0.2">
      <c r="A5" s="190" t="s">
        <v>1238</v>
      </c>
      <c r="B5" s="190"/>
      <c r="C5" s="8" t="e">
        <f>#REF!</f>
        <v>#REF!</v>
      </c>
      <c r="D5" s="22"/>
      <c r="E5" s="8" t="e">
        <f>#REF!</f>
        <v>#REF!</v>
      </c>
      <c r="F5" s="84"/>
    </row>
    <row r="6" spans="1:9" x14ac:dyDescent="0.2">
      <c r="A6" s="14"/>
      <c r="B6" s="14"/>
      <c r="C6" s="25" t="e">
        <f>SUM(C4:C5)</f>
        <v>#REF!</v>
      </c>
      <c r="D6" s="7"/>
      <c r="E6" s="25" t="e">
        <f>SUM(E4:E5)</f>
        <v>#REF!</v>
      </c>
      <c r="F6" s="84"/>
    </row>
    <row r="7" spans="1:9" x14ac:dyDescent="0.2">
      <c r="A7" s="14"/>
      <c r="B7" s="14"/>
      <c r="C7" s="8"/>
      <c r="D7" s="22"/>
      <c r="E7" s="8"/>
      <c r="F7" s="84"/>
    </row>
    <row r="8" spans="1:9" x14ac:dyDescent="0.2">
      <c r="A8" s="187" t="s">
        <v>1239</v>
      </c>
      <c r="B8" s="187"/>
      <c r="C8" s="8"/>
      <c r="D8" s="22"/>
      <c r="E8" s="8"/>
      <c r="F8" s="84"/>
    </row>
    <row r="9" spans="1:9" x14ac:dyDescent="0.2">
      <c r="A9" s="14" t="s">
        <v>1240</v>
      </c>
      <c r="B9" s="14"/>
      <c r="C9" s="8" t="e">
        <f>#REF!+#REF!+#REF!+#REF!+#REF!+#REF!+#REF!</f>
        <v>#REF!</v>
      </c>
      <c r="D9" s="22"/>
      <c r="E9" s="8" t="e">
        <f>#REF!+#REF!+#REF!+#REF!+#REF!+#REF!</f>
        <v>#REF!</v>
      </c>
      <c r="F9" s="84"/>
    </row>
    <row r="10" spans="1:9" x14ac:dyDescent="0.2">
      <c r="A10" s="14" t="s">
        <v>1246</v>
      </c>
      <c r="B10" s="14"/>
      <c r="C10" s="8" t="e">
        <f>#REF!+#REF!</f>
        <v>#REF!</v>
      </c>
      <c r="D10" s="22"/>
      <c r="E10" s="8" t="e">
        <f>#REF!+#REF!</f>
        <v>#REF!</v>
      </c>
      <c r="F10" s="84"/>
    </row>
    <row r="11" spans="1:9" x14ac:dyDescent="0.2">
      <c r="A11" s="14" t="s">
        <v>1241</v>
      </c>
      <c r="B11" s="14"/>
      <c r="C11" s="8" t="e">
        <f>#REF!+#REF!</f>
        <v>#REF!</v>
      </c>
      <c r="D11" s="22"/>
      <c r="E11" s="8" t="e">
        <f>#REF!+#REF!</f>
        <v>#REF!</v>
      </c>
      <c r="F11" s="84"/>
    </row>
    <row r="12" spans="1:9" x14ac:dyDescent="0.2">
      <c r="A12" s="14" t="s">
        <v>1242</v>
      </c>
      <c r="B12" s="14"/>
      <c r="C12" s="8" t="e">
        <f>#REF!+#REF!</f>
        <v>#REF!</v>
      </c>
      <c r="D12" s="22"/>
      <c r="E12" s="8" t="e">
        <f>#REF!+#REF!</f>
        <v>#REF!</v>
      </c>
      <c r="F12" s="84"/>
    </row>
    <row r="13" spans="1:9" x14ac:dyDescent="0.2">
      <c r="A13" s="14" t="s">
        <v>1243</v>
      </c>
      <c r="B13" s="14"/>
      <c r="C13" s="8" t="e">
        <f>#REF!+#REF!</f>
        <v>#REF!</v>
      </c>
      <c r="D13" s="22"/>
      <c r="E13" s="8" t="e">
        <f>#REF!+#REF!</f>
        <v>#REF!</v>
      </c>
      <c r="F13" s="84"/>
    </row>
    <row r="14" spans="1:9" ht="15.75" x14ac:dyDescent="0.25">
      <c r="A14" s="14" t="s">
        <v>1244</v>
      </c>
      <c r="B14" s="14"/>
      <c r="C14" s="8" t="e">
        <f>#REF!+#REF!</f>
        <v>#REF!</v>
      </c>
      <c r="D14" s="22"/>
      <c r="E14" s="8" t="e">
        <f>#REF!+#REF!</f>
        <v>#REF!</v>
      </c>
      <c r="F14" s="84"/>
      <c r="I14" s="160"/>
    </row>
    <row r="15" spans="1:9" x14ac:dyDescent="0.2">
      <c r="A15" s="14" t="s">
        <v>1245</v>
      </c>
      <c r="B15" s="14"/>
      <c r="C15" s="8" t="e">
        <f>#REF!</f>
        <v>#REF!</v>
      </c>
      <c r="D15" s="22"/>
      <c r="E15" s="122" t="e">
        <f>#REF!</f>
        <v>#REF!</v>
      </c>
      <c r="F15" s="84"/>
    </row>
    <row r="16" spans="1:9" x14ac:dyDescent="0.2">
      <c r="A16" s="187" t="s">
        <v>53</v>
      </c>
      <c r="B16" s="187"/>
      <c r="C16" s="25" t="e">
        <f>SUM(C9:C15)</f>
        <v>#REF!</v>
      </c>
      <c r="D16" s="7"/>
      <c r="E16" s="25" t="e">
        <f>SUM(E9:E15)</f>
        <v>#REF!</v>
      </c>
      <c r="F16" s="84"/>
    </row>
    <row r="17" spans="1:7" x14ac:dyDescent="0.2">
      <c r="C17" s="8"/>
      <c r="D17" s="22"/>
      <c r="E17" s="8"/>
      <c r="F17" s="84"/>
    </row>
    <row r="18" spans="1:7" x14ac:dyDescent="0.2">
      <c r="C18" s="8"/>
      <c r="D18" s="22"/>
      <c r="E18" s="8"/>
      <c r="F18" s="84"/>
    </row>
    <row r="19" spans="1:7" x14ac:dyDescent="0.2">
      <c r="A19" s="53" t="s">
        <v>1248</v>
      </c>
      <c r="F19" s="84"/>
    </row>
    <row r="20" spans="1:7" x14ac:dyDescent="0.2">
      <c r="C20" s="192"/>
      <c r="D20" s="193"/>
      <c r="E20" s="257"/>
      <c r="F20" s="84"/>
    </row>
    <row r="21" spans="1:7" s="197" customFormat="1" x14ac:dyDescent="0.2">
      <c r="A21" s="199" t="s">
        <v>1249</v>
      </c>
      <c r="C21" s="196">
        <v>44926</v>
      </c>
      <c r="D21" s="210"/>
      <c r="E21" s="196">
        <v>44561</v>
      </c>
      <c r="F21" s="198"/>
      <c r="G21" s="198"/>
    </row>
    <row r="22" spans="1:7" x14ac:dyDescent="0.2">
      <c r="A22" s="53" t="s">
        <v>1250</v>
      </c>
      <c r="C22" s="8" t="e">
        <f>#REF!</f>
        <v>#REF!</v>
      </c>
      <c r="D22" s="22"/>
      <c r="E22" s="8" t="e">
        <f>#REF!</f>
        <v>#REF!</v>
      </c>
      <c r="F22" s="84"/>
    </row>
    <row r="23" spans="1:7" x14ac:dyDescent="0.2">
      <c r="A23" s="64" t="s">
        <v>1251</v>
      </c>
      <c r="C23" s="25" t="e">
        <f>SUM(C22)</f>
        <v>#REF!</v>
      </c>
      <c r="D23" s="7"/>
      <c r="E23" s="25" t="e">
        <f>SUM(E22)</f>
        <v>#REF!</v>
      </c>
      <c r="F23" s="84"/>
    </row>
    <row r="24" spans="1:7" x14ac:dyDescent="0.2">
      <c r="C24" s="8"/>
      <c r="D24" s="22"/>
      <c r="E24" s="8"/>
      <c r="F24" s="84"/>
    </row>
    <row r="25" spans="1:7" x14ac:dyDescent="0.2">
      <c r="A25" s="64" t="s">
        <v>1252</v>
      </c>
      <c r="C25" s="8"/>
      <c r="D25" s="22"/>
      <c r="E25" s="8"/>
      <c r="F25" s="84"/>
    </row>
    <row r="26" spans="1:7" x14ac:dyDescent="0.2">
      <c r="A26" s="53" t="s">
        <v>1253</v>
      </c>
      <c r="C26" s="8" t="e">
        <f>#REF!</f>
        <v>#REF!</v>
      </c>
      <c r="D26" s="22"/>
      <c r="E26" s="8" t="e">
        <f>#REF!</f>
        <v>#REF!</v>
      </c>
      <c r="F26" s="84"/>
    </row>
    <row r="27" spans="1:7" x14ac:dyDescent="0.2">
      <c r="A27" s="64" t="s">
        <v>1251</v>
      </c>
      <c r="C27" s="25" t="e">
        <f>SUM(C26)</f>
        <v>#REF!</v>
      </c>
      <c r="D27" s="7"/>
      <c r="E27" s="25" t="e">
        <f>SUM(E26)</f>
        <v>#REF!</v>
      </c>
      <c r="F27" s="84"/>
    </row>
    <row r="28" spans="1:7" x14ac:dyDescent="0.2">
      <c r="C28" s="8"/>
      <c r="D28" s="22"/>
      <c r="E28" s="8"/>
      <c r="F28" s="84"/>
    </row>
    <row r="29" spans="1:7" x14ac:dyDescent="0.2">
      <c r="A29" s="64" t="s">
        <v>1254</v>
      </c>
      <c r="C29" s="25" t="e">
        <f>C23+C27</f>
        <v>#REF!</v>
      </c>
      <c r="D29" s="7"/>
      <c r="E29" s="25" t="e">
        <f>E23+E27</f>
        <v>#REF!</v>
      </c>
      <c r="F29" s="84"/>
    </row>
    <row r="30" spans="1:7" x14ac:dyDescent="0.2">
      <c r="C30" s="8"/>
      <c r="D30" s="22"/>
      <c r="E30" s="8"/>
      <c r="F30" s="84"/>
    </row>
    <row r="31" spans="1:7" x14ac:dyDescent="0.2">
      <c r="C31" s="8"/>
      <c r="D31" s="22"/>
      <c r="E31" s="8"/>
      <c r="F31" s="84"/>
    </row>
    <row r="32" spans="1:7" x14ac:dyDescent="0.2">
      <c r="C32" s="192"/>
      <c r="D32" s="193"/>
      <c r="E32" s="257"/>
      <c r="F32" s="84"/>
    </row>
    <row r="33" spans="1:8" x14ac:dyDescent="0.2">
      <c r="C33" s="162"/>
      <c r="D33" s="194"/>
      <c r="E33" s="258"/>
      <c r="F33" s="84"/>
    </row>
    <row r="34" spans="1:8" x14ac:dyDescent="0.2">
      <c r="A34" s="64"/>
      <c r="C34" s="8"/>
      <c r="D34" s="22"/>
      <c r="E34" s="8"/>
      <c r="F34" s="84"/>
    </row>
    <row r="35" spans="1:8" x14ac:dyDescent="0.2">
      <c r="A35" s="64"/>
      <c r="C35" s="8"/>
      <c r="D35" s="22"/>
      <c r="E35" s="8"/>
      <c r="F35" s="84"/>
    </row>
    <row r="36" spans="1:8" x14ac:dyDescent="0.2">
      <c r="A36" s="64"/>
      <c r="C36" s="8"/>
      <c r="D36" s="22"/>
      <c r="E36" s="8"/>
      <c r="F36" s="84"/>
      <c r="G36" s="8"/>
    </row>
    <row r="37" spans="1:8" x14ac:dyDescent="0.2">
      <c r="A37" s="64"/>
      <c r="C37" s="8"/>
      <c r="D37" s="22"/>
      <c r="E37" s="8"/>
      <c r="F37" s="84"/>
    </row>
    <row r="38" spans="1:8" x14ac:dyDescent="0.2">
      <c r="A38" s="64"/>
      <c r="C38" s="8"/>
      <c r="D38" s="22"/>
      <c r="E38" s="8"/>
      <c r="F38" s="84"/>
    </row>
    <row r="39" spans="1:8" x14ac:dyDescent="0.2">
      <c r="C39" s="8"/>
      <c r="D39" s="22"/>
      <c r="E39" s="8"/>
      <c r="F39" s="84"/>
    </row>
    <row r="40" spans="1:8" x14ac:dyDescent="0.2">
      <c r="C40" s="8"/>
      <c r="D40" s="22"/>
      <c r="E40" s="8"/>
      <c r="F40" s="84"/>
    </row>
    <row r="41" spans="1:8" x14ac:dyDescent="0.2">
      <c r="C41" s="8"/>
      <c r="D41" s="22"/>
      <c r="E41" s="8"/>
      <c r="F41" s="84"/>
    </row>
    <row r="42" spans="1:8" x14ac:dyDescent="0.2">
      <c r="A42" s="64"/>
      <c r="C42" s="8"/>
      <c r="D42" s="22"/>
      <c r="E42" s="8"/>
      <c r="F42" s="84"/>
    </row>
    <row r="43" spans="1:8" x14ac:dyDescent="0.2">
      <c r="C43" s="8"/>
      <c r="D43" s="22"/>
      <c r="E43" s="8"/>
      <c r="F43" s="84"/>
    </row>
    <row r="44" spans="1:8" x14ac:dyDescent="0.2">
      <c r="A44" s="64"/>
      <c r="C44" s="8"/>
      <c r="D44" s="22"/>
      <c r="E44" s="8"/>
      <c r="F44" s="84"/>
      <c r="G44" s="163"/>
      <c r="H44" s="84"/>
    </row>
    <row r="45" spans="1:8" x14ac:dyDescent="0.2">
      <c r="C45" s="8"/>
      <c r="D45" s="22"/>
      <c r="E45" s="8"/>
      <c r="F45" s="84"/>
    </row>
    <row r="46" spans="1:8" x14ac:dyDescent="0.2">
      <c r="C46" s="8"/>
      <c r="D46" s="22"/>
      <c r="E46" s="8"/>
      <c r="F46" s="84"/>
    </row>
    <row r="47" spans="1:8" x14ac:dyDescent="0.2">
      <c r="C47" s="8"/>
      <c r="D47" s="22"/>
      <c r="E47" s="8"/>
      <c r="F47" s="84"/>
    </row>
    <row r="48" spans="1:8" x14ac:dyDescent="0.2">
      <c r="C48" s="8"/>
      <c r="D48" s="22"/>
      <c r="E48" s="8"/>
      <c r="F48" s="84"/>
    </row>
    <row r="49" spans="3:6" x14ac:dyDescent="0.2">
      <c r="C49" s="8"/>
      <c r="D49" s="22"/>
      <c r="E49" s="8"/>
      <c r="F49" s="84"/>
    </row>
    <row r="50" spans="3:6" x14ac:dyDescent="0.2">
      <c r="C50" s="8"/>
      <c r="D50" s="22"/>
      <c r="E50" s="8"/>
      <c r="F50" s="84"/>
    </row>
    <row r="51" spans="3:6" x14ac:dyDescent="0.2">
      <c r="C51" s="8"/>
      <c r="E51" s="8"/>
      <c r="F51" s="84"/>
    </row>
    <row r="52" spans="3:6" x14ac:dyDescent="0.2">
      <c r="C52" s="8"/>
      <c r="D52" s="22"/>
      <c r="E52" s="8"/>
    </row>
    <row r="53" spans="3:6" x14ac:dyDescent="0.2">
      <c r="C53" s="8"/>
      <c r="D53" s="22"/>
      <c r="E53" s="8"/>
    </row>
    <row r="54" spans="3:6" x14ac:dyDescent="0.2">
      <c r="C54" s="8"/>
      <c r="D54" s="22"/>
      <c r="E54" s="8"/>
    </row>
    <row r="55" spans="3:6" x14ac:dyDescent="0.2">
      <c r="C55" s="8"/>
      <c r="D55" s="22"/>
      <c r="E55" s="8"/>
    </row>
    <row r="56" spans="3:6" x14ac:dyDescent="0.2">
      <c r="C56" s="8"/>
      <c r="D56" s="22"/>
      <c r="E56" s="8"/>
    </row>
    <row r="57" spans="3:6" x14ac:dyDescent="0.2">
      <c r="C57" s="8"/>
      <c r="D57" s="22"/>
      <c r="E57" s="8"/>
    </row>
    <row r="58" spans="3:6" x14ac:dyDescent="0.2">
      <c r="C58" s="8"/>
      <c r="D58" s="22"/>
      <c r="E58" s="8"/>
    </row>
    <row r="59" spans="3:6" x14ac:dyDescent="0.2">
      <c r="C59" s="8"/>
      <c r="D59" s="22"/>
      <c r="E59" s="8"/>
    </row>
    <row r="60" spans="3:6" x14ac:dyDescent="0.2">
      <c r="C60" s="8"/>
      <c r="D60" s="22"/>
      <c r="E60" s="8"/>
    </row>
    <row r="61" spans="3:6" x14ac:dyDescent="0.2">
      <c r="C61" s="8"/>
      <c r="D61" s="22"/>
      <c r="E61" s="8"/>
    </row>
    <row r="62" spans="3:6" x14ac:dyDescent="0.2">
      <c r="C62" s="8"/>
      <c r="D62" s="22"/>
      <c r="E62" s="8"/>
    </row>
    <row r="63" spans="3:6" x14ac:dyDescent="0.2">
      <c r="C63" s="8"/>
      <c r="D63" s="22"/>
      <c r="E63" s="8"/>
    </row>
    <row r="64" spans="3:6" x14ac:dyDescent="0.2">
      <c r="C64" s="8"/>
      <c r="D64" s="22"/>
      <c r="E64" s="8"/>
    </row>
    <row r="65" spans="3:5" x14ac:dyDescent="0.2">
      <c r="C65" s="8"/>
      <c r="D65" s="22"/>
      <c r="E65" s="8"/>
    </row>
    <row r="66" spans="3:5" x14ac:dyDescent="0.2">
      <c r="C66" s="8"/>
      <c r="D66" s="22"/>
      <c r="E66" s="8"/>
    </row>
    <row r="67" spans="3:5" x14ac:dyDescent="0.2">
      <c r="C67" s="8"/>
      <c r="D67" s="22"/>
      <c r="E67" s="8"/>
    </row>
    <row r="68" spans="3:5" x14ac:dyDescent="0.2">
      <c r="C68" s="8"/>
      <c r="D68" s="22"/>
      <c r="E68" s="8"/>
    </row>
    <row r="69" spans="3:5" x14ac:dyDescent="0.2">
      <c r="C69" s="8"/>
      <c r="D69" s="22"/>
      <c r="E69" s="8"/>
    </row>
    <row r="70" spans="3:5" x14ac:dyDescent="0.2">
      <c r="C70" s="8"/>
      <c r="D70" s="22"/>
      <c r="E70" s="8"/>
    </row>
    <row r="71" spans="3:5" x14ac:dyDescent="0.2">
      <c r="C71" s="8"/>
      <c r="D71" s="22"/>
      <c r="E71" s="8"/>
    </row>
    <row r="72" spans="3:5" x14ac:dyDescent="0.2">
      <c r="C72" s="8"/>
      <c r="D72" s="22"/>
      <c r="E72" s="8"/>
    </row>
    <row r="73" spans="3:5" x14ac:dyDescent="0.2">
      <c r="C73" s="8"/>
      <c r="D73" s="22"/>
      <c r="E73" s="8"/>
    </row>
    <row r="74" spans="3:5" x14ac:dyDescent="0.2">
      <c r="C74" s="8"/>
      <c r="D74" s="22"/>
      <c r="E74" s="8"/>
    </row>
    <row r="75" spans="3:5" x14ac:dyDescent="0.2">
      <c r="C75" s="8"/>
      <c r="D75" s="22"/>
      <c r="E75" s="8"/>
    </row>
    <row r="76" spans="3:5" x14ac:dyDescent="0.2">
      <c r="C76" s="8"/>
      <c r="D76" s="22"/>
      <c r="E76" s="8"/>
    </row>
    <row r="77" spans="3:5" x14ac:dyDescent="0.2">
      <c r="C77" s="8"/>
      <c r="D77" s="22"/>
      <c r="E77" s="8"/>
    </row>
    <row r="78" spans="3:5" x14ac:dyDescent="0.2">
      <c r="C78" s="8"/>
      <c r="D78" s="22"/>
      <c r="E78" s="8"/>
    </row>
    <row r="79" spans="3:5" x14ac:dyDescent="0.2">
      <c r="C79" s="8"/>
      <c r="D79" s="22"/>
      <c r="E79" s="8"/>
    </row>
    <row r="80" spans="3:5" x14ac:dyDescent="0.2">
      <c r="C80" s="8"/>
      <c r="D80" s="22"/>
      <c r="E80" s="8"/>
    </row>
    <row r="81" spans="3:5" x14ac:dyDescent="0.2">
      <c r="C81" s="8"/>
      <c r="D81" s="22"/>
      <c r="E81" s="8"/>
    </row>
    <row r="82" spans="3:5" x14ac:dyDescent="0.2">
      <c r="C82" s="8"/>
      <c r="D82" s="22"/>
      <c r="E82" s="8"/>
    </row>
    <row r="83" spans="3:5" x14ac:dyDescent="0.2">
      <c r="C83" s="8"/>
      <c r="D83" s="22"/>
      <c r="E83" s="8"/>
    </row>
    <row r="84" spans="3:5" x14ac:dyDescent="0.2">
      <c r="C84" s="8"/>
      <c r="D84" s="22"/>
      <c r="E84" s="8"/>
    </row>
    <row r="85" spans="3:5" x14ac:dyDescent="0.2">
      <c r="C85" s="8"/>
      <c r="D85" s="22"/>
      <c r="E85" s="8"/>
    </row>
    <row r="86" spans="3:5" x14ac:dyDescent="0.2">
      <c r="C86" s="8"/>
      <c r="D86" s="22"/>
      <c r="E86" s="8"/>
    </row>
    <row r="87" spans="3:5" x14ac:dyDescent="0.2">
      <c r="C87" s="8"/>
      <c r="D87" s="22"/>
      <c r="E87" s="8"/>
    </row>
    <row r="88" spans="3:5" x14ac:dyDescent="0.2">
      <c r="C88" s="8"/>
      <c r="D88" s="22"/>
      <c r="E88" s="8"/>
    </row>
    <row r="89" spans="3:5" x14ac:dyDescent="0.2">
      <c r="C89" s="8"/>
      <c r="D89" s="22"/>
      <c r="E89" s="8"/>
    </row>
    <row r="90" spans="3:5" x14ac:dyDescent="0.2">
      <c r="C90" s="8"/>
      <c r="D90" s="22"/>
      <c r="E90" s="8"/>
    </row>
    <row r="91" spans="3:5" x14ac:dyDescent="0.2">
      <c r="C91" s="8"/>
      <c r="D91" s="22"/>
      <c r="E91" s="8"/>
    </row>
    <row r="92" spans="3:5" x14ac:dyDescent="0.2">
      <c r="C92" s="8"/>
      <c r="D92" s="22"/>
      <c r="E92" s="8"/>
    </row>
    <row r="93" spans="3:5" x14ac:dyDescent="0.2">
      <c r="C93" s="8"/>
      <c r="D93" s="22"/>
      <c r="E93" s="8"/>
    </row>
    <row r="94" spans="3:5" x14ac:dyDescent="0.2">
      <c r="C94" s="8"/>
      <c r="D94" s="22"/>
      <c r="E94" s="8"/>
    </row>
    <row r="95" spans="3:5" x14ac:dyDescent="0.2">
      <c r="C95" s="8"/>
      <c r="D95" s="22"/>
      <c r="E95" s="8"/>
    </row>
    <row r="96" spans="3:5" x14ac:dyDescent="0.2">
      <c r="C96" s="8"/>
      <c r="D96" s="22"/>
      <c r="E96" s="8"/>
    </row>
    <row r="97" spans="3:5" x14ac:dyDescent="0.2">
      <c r="C97" s="8"/>
      <c r="D97" s="22"/>
      <c r="E97" s="8"/>
    </row>
    <row r="98" spans="3:5" x14ac:dyDescent="0.2">
      <c r="C98" s="8"/>
      <c r="D98" s="22"/>
      <c r="E98" s="8"/>
    </row>
    <row r="99" spans="3:5" x14ac:dyDescent="0.2">
      <c r="C99" s="8"/>
      <c r="D99" s="22"/>
      <c r="E99" s="8"/>
    </row>
    <row r="100" spans="3:5" x14ac:dyDescent="0.2">
      <c r="C100" s="8"/>
      <c r="D100" s="22"/>
      <c r="E100" s="8"/>
    </row>
    <row r="101" spans="3:5" x14ac:dyDescent="0.2">
      <c r="C101" s="8"/>
      <c r="D101" s="22"/>
      <c r="E101" s="8"/>
    </row>
    <row r="102" spans="3:5" x14ac:dyDescent="0.2">
      <c r="C102" s="8"/>
      <c r="D102" s="22"/>
      <c r="E102" s="8"/>
    </row>
    <row r="103" spans="3:5" x14ac:dyDescent="0.2">
      <c r="C103" s="8"/>
      <c r="D103" s="22"/>
      <c r="E103" s="8"/>
    </row>
    <row r="104" spans="3:5" x14ac:dyDescent="0.2">
      <c r="C104" s="8"/>
      <c r="D104" s="22"/>
      <c r="E104" s="8"/>
    </row>
    <row r="105" spans="3:5" x14ac:dyDescent="0.2">
      <c r="C105" s="8"/>
      <c r="D105" s="22"/>
      <c r="E105" s="8"/>
    </row>
    <row r="106" spans="3:5" x14ac:dyDescent="0.2">
      <c r="C106" s="8"/>
      <c r="D106" s="22"/>
      <c r="E106" s="8"/>
    </row>
    <row r="107" spans="3:5" x14ac:dyDescent="0.2">
      <c r="C107" s="8"/>
      <c r="D107" s="22"/>
      <c r="E107" s="8"/>
    </row>
    <row r="108" spans="3:5" x14ac:dyDescent="0.2">
      <c r="C108" s="8"/>
      <c r="D108" s="22"/>
      <c r="E108" s="8"/>
    </row>
    <row r="109" spans="3:5" x14ac:dyDescent="0.2">
      <c r="C109" s="8"/>
      <c r="D109" s="22"/>
      <c r="E109" s="8"/>
    </row>
    <row r="110" spans="3:5" x14ac:dyDescent="0.2">
      <c r="C110" s="8"/>
      <c r="D110" s="22"/>
      <c r="E110" s="8"/>
    </row>
    <row r="111" spans="3:5" x14ac:dyDescent="0.2">
      <c r="C111" s="8"/>
      <c r="D111" s="22"/>
      <c r="E111" s="8"/>
    </row>
    <row r="112" spans="3:5" x14ac:dyDescent="0.2">
      <c r="C112" s="8"/>
      <c r="D112" s="22"/>
      <c r="E112" s="8"/>
    </row>
    <row r="113" spans="3:5" x14ac:dyDescent="0.2">
      <c r="C113" s="8"/>
      <c r="D113" s="22"/>
      <c r="E113" s="8"/>
    </row>
    <row r="114" spans="3:5" x14ac:dyDescent="0.2">
      <c r="C114" s="8"/>
      <c r="D114" s="22"/>
      <c r="E114" s="8"/>
    </row>
    <row r="115" spans="3:5" x14ac:dyDescent="0.2">
      <c r="C115" s="8"/>
      <c r="D115" s="22"/>
      <c r="E115" s="8"/>
    </row>
    <row r="116" spans="3:5" x14ac:dyDescent="0.2">
      <c r="C116" s="8"/>
      <c r="D116" s="22"/>
      <c r="E116" s="8"/>
    </row>
    <row r="117" spans="3:5" x14ac:dyDescent="0.2">
      <c r="C117" s="8"/>
      <c r="D117" s="22"/>
      <c r="E117" s="8"/>
    </row>
    <row r="118" spans="3:5" x14ac:dyDescent="0.2">
      <c r="C118" s="8"/>
      <c r="D118" s="22"/>
      <c r="E118" s="8"/>
    </row>
    <row r="119" spans="3:5" x14ac:dyDescent="0.2">
      <c r="C119" s="8"/>
      <c r="D119" s="22"/>
      <c r="E119" s="8"/>
    </row>
    <row r="120" spans="3:5" x14ac:dyDescent="0.2">
      <c r="C120" s="8"/>
      <c r="D120" s="22"/>
      <c r="E120" s="8"/>
    </row>
    <row r="121" spans="3:5" x14ac:dyDescent="0.2">
      <c r="C121" s="8"/>
      <c r="D121" s="22"/>
      <c r="E121" s="8"/>
    </row>
    <row r="122" spans="3:5" x14ac:dyDescent="0.2">
      <c r="C122" s="8"/>
      <c r="D122" s="22"/>
      <c r="E122" s="8"/>
    </row>
    <row r="123" spans="3:5" x14ac:dyDescent="0.2">
      <c r="C123" s="8"/>
      <c r="D123" s="22"/>
      <c r="E123" s="8"/>
    </row>
    <row r="124" spans="3:5" x14ac:dyDescent="0.2">
      <c r="C124" s="8"/>
      <c r="D124" s="22"/>
      <c r="E124" s="8"/>
    </row>
    <row r="125" spans="3:5" x14ac:dyDescent="0.2">
      <c r="C125" s="8"/>
      <c r="D125" s="22"/>
      <c r="E125" s="8"/>
    </row>
    <row r="126" spans="3:5" x14ac:dyDescent="0.2">
      <c r="C126" s="8"/>
      <c r="D126" s="22"/>
      <c r="E126" s="8"/>
    </row>
    <row r="127" spans="3:5" x14ac:dyDescent="0.2">
      <c r="C127" s="8"/>
      <c r="D127" s="22"/>
      <c r="E127" s="8"/>
    </row>
    <row r="128" spans="3:5" x14ac:dyDescent="0.2">
      <c r="C128" s="8"/>
      <c r="D128" s="22"/>
      <c r="E128" s="8"/>
    </row>
    <row r="129" spans="3:5" x14ac:dyDescent="0.2">
      <c r="C129" s="8"/>
      <c r="D129" s="22"/>
      <c r="E129" s="8"/>
    </row>
    <row r="130" spans="3:5" x14ac:dyDescent="0.2">
      <c r="C130" s="8"/>
      <c r="D130" s="22"/>
      <c r="E130" s="8"/>
    </row>
    <row r="131" spans="3:5" x14ac:dyDescent="0.2">
      <c r="C131" s="8"/>
      <c r="D131" s="22"/>
      <c r="E131" s="8"/>
    </row>
    <row r="132" spans="3:5" x14ac:dyDescent="0.2">
      <c r="C132" s="8"/>
      <c r="D132" s="22"/>
      <c r="E132" s="8"/>
    </row>
    <row r="133" spans="3:5" x14ac:dyDescent="0.2">
      <c r="C133" s="8"/>
      <c r="D133" s="22"/>
      <c r="E133" s="8"/>
    </row>
    <row r="134" spans="3:5" x14ac:dyDescent="0.2">
      <c r="C134" s="8"/>
      <c r="D134" s="22"/>
      <c r="E134" s="8"/>
    </row>
    <row r="135" spans="3:5" x14ac:dyDescent="0.2">
      <c r="C135" s="8"/>
      <c r="D135" s="22"/>
      <c r="E135" s="8"/>
    </row>
    <row r="136" spans="3:5" x14ac:dyDescent="0.2">
      <c r="C136" s="8"/>
      <c r="D136" s="22"/>
      <c r="E136" s="8"/>
    </row>
    <row r="137" spans="3:5" x14ac:dyDescent="0.2">
      <c r="C137" s="8"/>
      <c r="D137" s="22"/>
      <c r="E137" s="8"/>
    </row>
    <row r="138" spans="3:5" x14ac:dyDescent="0.2">
      <c r="C138" s="8"/>
      <c r="D138" s="22"/>
      <c r="E138" s="8"/>
    </row>
    <row r="139" spans="3:5" x14ac:dyDescent="0.2">
      <c r="C139" s="8"/>
      <c r="D139" s="22"/>
      <c r="E139" s="8"/>
    </row>
    <row r="140" spans="3:5" x14ac:dyDescent="0.2">
      <c r="C140" s="8"/>
      <c r="D140" s="22"/>
      <c r="E140" s="8"/>
    </row>
    <row r="141" spans="3:5" x14ac:dyDescent="0.2">
      <c r="C141" s="8"/>
      <c r="D141" s="22"/>
      <c r="E141" s="8"/>
    </row>
    <row r="142" spans="3:5" x14ac:dyDescent="0.2">
      <c r="C142" s="8"/>
      <c r="D142" s="22"/>
      <c r="E142" s="8"/>
    </row>
    <row r="143" spans="3:5" x14ac:dyDescent="0.2">
      <c r="C143" s="8"/>
      <c r="D143" s="22"/>
      <c r="E143" s="8"/>
    </row>
    <row r="144" spans="3:5" x14ac:dyDescent="0.2">
      <c r="C144" s="8"/>
      <c r="D144" s="22"/>
      <c r="E144" s="8"/>
    </row>
    <row r="145" spans="3:5" x14ac:dyDescent="0.2">
      <c r="C145" s="8"/>
      <c r="D145" s="22"/>
      <c r="E145" s="8"/>
    </row>
    <row r="146" spans="3:5" x14ac:dyDescent="0.2">
      <c r="C146" s="8"/>
      <c r="D146" s="22"/>
      <c r="E146" s="8"/>
    </row>
    <row r="147" spans="3:5" x14ac:dyDescent="0.2">
      <c r="C147" s="8"/>
      <c r="D147" s="22"/>
      <c r="E147" s="8"/>
    </row>
    <row r="148" spans="3:5" x14ac:dyDescent="0.2">
      <c r="C148" s="8"/>
      <c r="D148" s="22"/>
      <c r="E148" s="8"/>
    </row>
    <row r="149" spans="3:5" x14ac:dyDescent="0.2">
      <c r="C149" s="8"/>
      <c r="D149" s="22"/>
      <c r="E149" s="8"/>
    </row>
    <row r="150" spans="3:5" x14ac:dyDescent="0.2">
      <c r="C150" s="8"/>
      <c r="D150" s="22"/>
      <c r="E150" s="8"/>
    </row>
    <row r="151" spans="3:5" x14ac:dyDescent="0.2">
      <c r="C151" s="8"/>
      <c r="D151" s="22"/>
      <c r="E151" s="8"/>
    </row>
    <row r="152" spans="3:5" x14ac:dyDescent="0.2">
      <c r="C152" s="8"/>
      <c r="D152" s="22"/>
      <c r="E152" s="8"/>
    </row>
    <row r="153" spans="3:5" x14ac:dyDescent="0.2">
      <c r="C153" s="8"/>
      <c r="D153" s="22"/>
      <c r="E153" s="8"/>
    </row>
    <row r="154" spans="3:5" x14ac:dyDescent="0.2">
      <c r="C154" s="8"/>
      <c r="D154" s="22"/>
      <c r="E154" s="8"/>
    </row>
    <row r="155" spans="3:5" x14ac:dyDescent="0.2">
      <c r="C155" s="8"/>
      <c r="D155" s="22"/>
      <c r="E155" s="8"/>
    </row>
    <row r="156" spans="3:5" x14ac:dyDescent="0.2">
      <c r="C156" s="8"/>
      <c r="D156" s="22"/>
      <c r="E156" s="8"/>
    </row>
    <row r="157" spans="3:5" x14ac:dyDescent="0.2">
      <c r="C157" s="8"/>
      <c r="D157" s="22"/>
      <c r="E157" s="8"/>
    </row>
    <row r="158" spans="3:5" x14ac:dyDescent="0.2">
      <c r="C158" s="8"/>
      <c r="D158" s="22"/>
      <c r="E158" s="8"/>
    </row>
    <row r="159" spans="3:5" x14ac:dyDescent="0.2">
      <c r="C159" s="8"/>
      <c r="D159" s="22"/>
      <c r="E159" s="8"/>
    </row>
    <row r="160" spans="3:5" x14ac:dyDescent="0.2">
      <c r="C160" s="8"/>
      <c r="D160" s="22"/>
      <c r="E160" s="8"/>
    </row>
    <row r="161" spans="3:5" x14ac:dyDescent="0.2">
      <c r="C161" s="8"/>
      <c r="D161" s="22"/>
      <c r="E161" s="8"/>
    </row>
    <row r="162" spans="3:5" x14ac:dyDescent="0.2">
      <c r="C162" s="8"/>
      <c r="D162" s="22"/>
      <c r="E162" s="8"/>
    </row>
    <row r="163" spans="3:5" x14ac:dyDescent="0.2">
      <c r="C163" s="8"/>
      <c r="D163" s="22"/>
      <c r="E163" s="8"/>
    </row>
    <row r="164" spans="3:5" x14ac:dyDescent="0.2">
      <c r="C164" s="8"/>
      <c r="D164" s="22"/>
      <c r="E164" s="8"/>
    </row>
    <row r="165" spans="3:5" x14ac:dyDescent="0.2">
      <c r="C165" s="8"/>
      <c r="D165" s="22"/>
      <c r="E165" s="8"/>
    </row>
    <row r="166" spans="3:5" x14ac:dyDescent="0.2">
      <c r="C166" s="8"/>
      <c r="D166" s="22"/>
      <c r="E166" s="8"/>
    </row>
    <row r="167" spans="3:5" x14ac:dyDescent="0.2">
      <c r="C167" s="8"/>
      <c r="D167" s="22"/>
      <c r="E167" s="8"/>
    </row>
    <row r="168" spans="3:5" x14ac:dyDescent="0.2">
      <c r="C168" s="8"/>
      <c r="D168" s="22"/>
      <c r="E168" s="8"/>
    </row>
    <row r="169" spans="3:5" x14ac:dyDescent="0.2">
      <c r="C169" s="8"/>
      <c r="D169" s="22"/>
      <c r="E169" s="8"/>
    </row>
    <row r="170" spans="3:5" x14ac:dyDescent="0.2">
      <c r="C170" s="8"/>
      <c r="D170" s="22"/>
      <c r="E170" s="8"/>
    </row>
    <row r="171" spans="3:5" x14ac:dyDescent="0.2">
      <c r="C171" s="8"/>
      <c r="D171" s="22"/>
      <c r="E171" s="8"/>
    </row>
    <row r="172" spans="3:5" x14ac:dyDescent="0.2">
      <c r="C172" s="8"/>
      <c r="D172" s="22"/>
      <c r="E172" s="8"/>
    </row>
    <row r="173" spans="3:5" x14ac:dyDescent="0.2">
      <c r="C173" s="8"/>
      <c r="D173" s="22"/>
      <c r="E173" s="8"/>
    </row>
    <row r="174" spans="3:5" x14ac:dyDescent="0.2">
      <c r="C174" s="8"/>
      <c r="D174" s="22"/>
      <c r="E174" s="8"/>
    </row>
    <row r="175" spans="3:5" x14ac:dyDescent="0.2">
      <c r="C175" s="8"/>
      <c r="D175" s="22"/>
      <c r="E175" s="8"/>
    </row>
    <row r="176" spans="3:5" x14ac:dyDescent="0.2">
      <c r="C176" s="8"/>
      <c r="D176" s="22"/>
      <c r="E176" s="8"/>
    </row>
    <row r="177" spans="3:5" x14ac:dyDescent="0.2">
      <c r="C177" s="8"/>
      <c r="D177" s="22"/>
      <c r="E177" s="8"/>
    </row>
    <row r="178" spans="3:5" x14ac:dyDescent="0.2">
      <c r="C178" s="8"/>
      <c r="D178" s="22"/>
      <c r="E178" s="8"/>
    </row>
    <row r="179" spans="3:5" x14ac:dyDescent="0.2">
      <c r="C179" s="8"/>
      <c r="D179" s="22"/>
      <c r="E179" s="8"/>
    </row>
    <row r="180" spans="3:5" x14ac:dyDescent="0.2">
      <c r="C180" s="8"/>
      <c r="D180" s="22"/>
      <c r="E180" s="8"/>
    </row>
    <row r="181" spans="3:5" x14ac:dyDescent="0.2">
      <c r="C181" s="8"/>
      <c r="D181" s="22"/>
      <c r="E181" s="8"/>
    </row>
    <row r="182" spans="3:5" x14ac:dyDescent="0.2">
      <c r="C182" s="8"/>
      <c r="D182" s="22"/>
      <c r="E182" s="8"/>
    </row>
    <row r="183" spans="3:5" x14ac:dyDescent="0.2">
      <c r="C183" s="8"/>
      <c r="D183" s="22"/>
      <c r="E183" s="8"/>
    </row>
    <row r="184" spans="3:5" x14ac:dyDescent="0.2">
      <c r="C184" s="8"/>
      <c r="D184" s="22"/>
      <c r="E184" s="8"/>
    </row>
    <row r="185" spans="3:5" x14ac:dyDescent="0.2">
      <c r="C185" s="8"/>
      <c r="D185" s="22"/>
      <c r="E185" s="8"/>
    </row>
    <row r="186" spans="3:5" x14ac:dyDescent="0.2">
      <c r="C186" s="8"/>
      <c r="D186" s="22"/>
      <c r="E186" s="8"/>
    </row>
    <row r="187" spans="3:5" x14ac:dyDescent="0.2">
      <c r="C187" s="8"/>
      <c r="D187" s="22"/>
      <c r="E187" s="8"/>
    </row>
    <row r="188" spans="3:5" x14ac:dyDescent="0.2">
      <c r="C188" s="8"/>
      <c r="D188" s="22"/>
      <c r="E188" s="8"/>
    </row>
    <row r="189" spans="3:5" x14ac:dyDescent="0.2">
      <c r="C189" s="8"/>
      <c r="D189" s="22"/>
      <c r="E189" s="8"/>
    </row>
    <row r="190" spans="3:5" x14ac:dyDescent="0.2">
      <c r="C190" s="8"/>
      <c r="D190" s="22"/>
      <c r="E190" s="8"/>
    </row>
    <row r="191" spans="3:5" x14ac:dyDescent="0.2">
      <c r="C191" s="8"/>
      <c r="D191" s="22"/>
      <c r="E191" s="8"/>
    </row>
    <row r="192" spans="3:5" x14ac:dyDescent="0.2">
      <c r="C192" s="8"/>
      <c r="D192" s="22"/>
      <c r="E192" s="8"/>
    </row>
    <row r="193" spans="3:5" x14ac:dyDescent="0.2">
      <c r="C193" s="8"/>
      <c r="D193" s="22"/>
      <c r="E193" s="8"/>
    </row>
    <row r="194" spans="3:5" x14ac:dyDescent="0.2">
      <c r="C194" s="8"/>
      <c r="D194" s="22"/>
      <c r="E194" s="8"/>
    </row>
    <row r="195" spans="3:5" x14ac:dyDescent="0.2">
      <c r="C195" s="8"/>
      <c r="D195" s="22"/>
      <c r="E195" s="8"/>
    </row>
    <row r="196" spans="3:5" x14ac:dyDescent="0.2">
      <c r="C196" s="8"/>
      <c r="D196" s="22"/>
      <c r="E196" s="8"/>
    </row>
    <row r="197" spans="3:5" x14ac:dyDescent="0.2">
      <c r="C197" s="8"/>
      <c r="D197" s="22"/>
      <c r="E197" s="8"/>
    </row>
    <row r="198" spans="3:5" x14ac:dyDescent="0.2">
      <c r="C198" s="8"/>
      <c r="D198" s="22"/>
      <c r="E198" s="8"/>
    </row>
    <row r="199" spans="3:5" x14ac:dyDescent="0.2">
      <c r="C199" s="8"/>
      <c r="D199" s="22"/>
      <c r="E199" s="8"/>
    </row>
    <row r="200" spans="3:5" x14ac:dyDescent="0.2">
      <c r="C200" s="8"/>
      <c r="D200" s="22"/>
      <c r="E200" s="8"/>
    </row>
    <row r="201" spans="3:5" x14ac:dyDescent="0.2">
      <c r="C201" s="8"/>
      <c r="D201" s="22"/>
      <c r="E201" s="8"/>
    </row>
    <row r="202" spans="3:5" x14ac:dyDescent="0.2">
      <c r="C202" s="8"/>
      <c r="D202" s="22"/>
      <c r="E202" s="8"/>
    </row>
    <row r="203" spans="3:5" x14ac:dyDescent="0.2">
      <c r="C203" s="8"/>
      <c r="D203" s="22"/>
      <c r="E203" s="8"/>
    </row>
    <row r="204" spans="3:5" x14ac:dyDescent="0.2">
      <c r="C204" s="8"/>
      <c r="D204" s="22"/>
      <c r="E204" s="8"/>
    </row>
    <row r="205" spans="3:5" x14ac:dyDescent="0.2">
      <c r="C205" s="8"/>
      <c r="D205" s="22"/>
      <c r="E205" s="8"/>
    </row>
    <row r="206" spans="3:5" x14ac:dyDescent="0.2">
      <c r="C206" s="8"/>
      <c r="D206" s="22"/>
      <c r="E206" s="8"/>
    </row>
    <row r="207" spans="3:5" x14ac:dyDescent="0.2">
      <c r="C207" s="8"/>
      <c r="D207" s="22"/>
      <c r="E207" s="8"/>
    </row>
    <row r="208" spans="3:5" x14ac:dyDescent="0.2">
      <c r="C208" s="8"/>
      <c r="D208" s="22"/>
      <c r="E208" s="8"/>
    </row>
    <row r="209" spans="3:5" x14ac:dyDescent="0.2">
      <c r="C209" s="8"/>
      <c r="D209" s="22"/>
      <c r="E209" s="8"/>
    </row>
    <row r="210" spans="3:5" x14ac:dyDescent="0.2">
      <c r="C210" s="8"/>
      <c r="D210" s="22"/>
      <c r="E210" s="8"/>
    </row>
    <row r="211" spans="3:5" x14ac:dyDescent="0.2">
      <c r="C211" s="8"/>
      <c r="D211" s="22"/>
      <c r="E211" s="8"/>
    </row>
    <row r="212" spans="3:5" x14ac:dyDescent="0.2">
      <c r="C212" s="8"/>
      <c r="D212" s="22"/>
      <c r="E212" s="8"/>
    </row>
    <row r="213" spans="3:5" x14ac:dyDescent="0.2">
      <c r="C213" s="8"/>
      <c r="D213" s="22"/>
      <c r="E213" s="8"/>
    </row>
    <row r="214" spans="3:5" x14ac:dyDescent="0.2">
      <c r="C214" s="8"/>
      <c r="D214" s="22"/>
      <c r="E214" s="8"/>
    </row>
    <row r="215" spans="3:5" x14ac:dyDescent="0.2">
      <c r="C215" s="8"/>
      <c r="D215" s="22"/>
      <c r="E215" s="8"/>
    </row>
    <row r="216" spans="3:5" x14ac:dyDescent="0.2">
      <c r="C216" s="8"/>
      <c r="D216" s="22"/>
      <c r="E216" s="8"/>
    </row>
    <row r="217" spans="3:5" x14ac:dyDescent="0.2">
      <c r="C217" s="8"/>
      <c r="D217" s="22"/>
      <c r="E217" s="8"/>
    </row>
    <row r="218" spans="3:5" x14ac:dyDescent="0.2">
      <c r="C218" s="8"/>
      <c r="D218" s="22"/>
      <c r="E218" s="8"/>
    </row>
    <row r="219" spans="3:5" x14ac:dyDescent="0.2">
      <c r="C219" s="8"/>
      <c r="D219" s="22"/>
      <c r="E219" s="8"/>
    </row>
    <row r="220" spans="3:5" x14ac:dyDescent="0.2">
      <c r="C220" s="8"/>
      <c r="D220" s="22"/>
      <c r="E220" s="8"/>
    </row>
    <row r="221" spans="3:5" x14ac:dyDescent="0.2">
      <c r="C221" s="8"/>
      <c r="D221" s="22"/>
      <c r="E221" s="8"/>
    </row>
    <row r="222" spans="3:5" x14ac:dyDescent="0.2">
      <c r="C222" s="8"/>
      <c r="D222" s="22"/>
      <c r="E222" s="8"/>
    </row>
    <row r="223" spans="3:5" x14ac:dyDescent="0.2">
      <c r="C223" s="8"/>
      <c r="D223" s="22"/>
      <c r="E223" s="8"/>
    </row>
    <row r="224" spans="3:5" x14ac:dyDescent="0.2">
      <c r="C224" s="8"/>
      <c r="D224" s="22"/>
      <c r="E224" s="8"/>
    </row>
    <row r="225" spans="3:5" x14ac:dyDescent="0.2">
      <c r="C225" s="8"/>
      <c r="D225" s="22"/>
      <c r="E225" s="8"/>
    </row>
    <row r="226" spans="3:5" x14ac:dyDescent="0.2">
      <c r="C226" s="8"/>
      <c r="D226" s="22"/>
      <c r="E226" s="8"/>
    </row>
    <row r="227" spans="3:5" x14ac:dyDescent="0.2">
      <c r="C227" s="8"/>
      <c r="D227" s="22"/>
      <c r="E227" s="8"/>
    </row>
    <row r="228" spans="3:5" x14ac:dyDescent="0.2">
      <c r="C228" s="8"/>
      <c r="D228" s="22"/>
      <c r="E228" s="8"/>
    </row>
    <row r="229" spans="3:5" x14ac:dyDescent="0.2">
      <c r="C229" s="8"/>
      <c r="D229" s="22"/>
      <c r="E229" s="8"/>
    </row>
    <row r="230" spans="3:5" x14ac:dyDescent="0.2">
      <c r="C230" s="8"/>
      <c r="D230" s="22"/>
      <c r="E230" s="8"/>
    </row>
    <row r="231" spans="3:5" x14ac:dyDescent="0.2">
      <c r="C231" s="8"/>
      <c r="D231" s="22"/>
      <c r="E231" s="8"/>
    </row>
    <row r="232" spans="3:5" x14ac:dyDescent="0.2">
      <c r="C232" s="8"/>
      <c r="D232" s="22"/>
      <c r="E232" s="8"/>
    </row>
    <row r="233" spans="3:5" x14ac:dyDescent="0.2">
      <c r="C233" s="8"/>
      <c r="D233" s="22"/>
      <c r="E233" s="8"/>
    </row>
  </sheetData>
  <pageMargins left="0.511811024" right="0.511811024" top="0.78740157499999996" bottom="0.78740157499999996" header="0.31496062000000002" footer="0.31496062000000002"/>
  <pageSetup paperSize="9" orientation="portrait" horizontalDpi="4294967295" verticalDpi="4294967295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9"/>
  <sheetViews>
    <sheetView showGridLines="0" workbookViewId="0">
      <selection activeCell="A2" sqref="A2:L9"/>
    </sheetView>
  </sheetViews>
  <sheetFormatPr defaultColWidth="9.140625" defaultRowHeight="14.25" x14ac:dyDescent="0.2"/>
  <cols>
    <col min="1" max="1" width="25.140625" style="170" customWidth="1"/>
    <col min="2" max="2" width="14.42578125" style="170" customWidth="1"/>
    <col min="3" max="3" width="1.42578125" style="170" customWidth="1"/>
    <col min="4" max="4" width="11.42578125" style="170" customWidth="1"/>
    <col min="5" max="5" width="2" style="170" customWidth="1"/>
    <col min="6" max="6" width="10.140625" style="170" bestFit="1" customWidth="1"/>
    <col min="7" max="7" width="3.42578125" style="170" customWidth="1"/>
    <col min="8" max="8" width="9.7109375" style="170" customWidth="1"/>
    <col min="9" max="9" width="2" style="170" customWidth="1"/>
    <col min="10" max="10" width="10.140625" style="170" bestFit="1" customWidth="1"/>
    <col min="11" max="11" width="2" style="170" customWidth="1"/>
    <col min="12" max="12" width="14.7109375" style="170" bestFit="1" customWidth="1"/>
    <col min="13" max="13" width="10.5703125" style="170" bestFit="1" customWidth="1"/>
    <col min="14" max="14" width="24.85546875" style="170" bestFit="1" customWidth="1"/>
    <col min="15" max="15" width="15.28515625" style="170" bestFit="1" customWidth="1"/>
    <col min="16" max="16" width="16" style="170" bestFit="1" customWidth="1"/>
    <col min="17" max="17" width="11.7109375" style="170" bestFit="1" customWidth="1"/>
    <col min="18" max="16384" width="9.140625" style="170"/>
  </cols>
  <sheetData>
    <row r="1" spans="1:23" x14ac:dyDescent="0.2">
      <c r="G1" s="53"/>
      <c r="H1" s="53"/>
      <c r="I1" s="766"/>
      <c r="J1" s="766"/>
      <c r="K1" s="766"/>
      <c r="L1" s="161"/>
      <c r="M1" s="766"/>
      <c r="N1" s="766"/>
      <c r="O1" s="766"/>
      <c r="P1" s="310"/>
      <c r="Q1" s="310"/>
      <c r="R1" s="310"/>
      <c r="S1" s="310"/>
      <c r="T1" s="310"/>
      <c r="U1" s="310"/>
      <c r="V1" s="310"/>
      <c r="W1" s="310"/>
    </row>
    <row r="2" spans="1:23" ht="12" customHeight="1" thickBot="1" x14ac:dyDescent="0.25">
      <c r="A2" s="53"/>
      <c r="B2" s="467"/>
      <c r="C2" s="467"/>
      <c r="D2" s="468">
        <v>45016</v>
      </c>
      <c r="E2" s="468"/>
      <c r="F2" s="469"/>
      <c r="G2" s="53"/>
      <c r="H2" s="470"/>
      <c r="I2" s="470"/>
      <c r="J2" s="468">
        <v>44926</v>
      </c>
      <c r="K2" s="471"/>
      <c r="L2" s="472"/>
      <c r="M2" s="313"/>
      <c r="N2" s="313"/>
      <c r="O2" s="313"/>
      <c r="P2" s="7"/>
      <c r="Q2" s="409"/>
      <c r="R2" s="409"/>
      <c r="S2" s="410"/>
      <c r="T2" s="411"/>
      <c r="U2" s="412"/>
      <c r="V2" s="310"/>
      <c r="W2" s="310"/>
    </row>
    <row r="3" spans="1:23" x14ac:dyDescent="0.2">
      <c r="A3" s="64" t="s">
        <v>1255</v>
      </c>
      <c r="B3" s="166" t="s">
        <v>1256</v>
      </c>
      <c r="C3" s="167"/>
      <c r="D3" s="168" t="s">
        <v>1257</v>
      </c>
      <c r="E3" s="169"/>
      <c r="F3" s="168" t="s">
        <v>1258</v>
      </c>
      <c r="G3" s="53"/>
      <c r="H3" s="166" t="s">
        <v>1256</v>
      </c>
      <c r="I3" s="167"/>
      <c r="J3" s="168" t="s">
        <v>1257</v>
      </c>
      <c r="K3" s="169"/>
      <c r="L3" s="168" t="s">
        <v>1258</v>
      </c>
      <c r="M3" s="56"/>
      <c r="N3" s="306"/>
      <c r="O3" s="56"/>
      <c r="P3" s="22"/>
      <c r="Q3" s="167"/>
      <c r="R3" s="167"/>
      <c r="S3" s="169"/>
      <c r="T3" s="169"/>
      <c r="U3" s="169"/>
      <c r="V3" s="310"/>
      <c r="W3" s="310"/>
    </row>
    <row r="4" spans="1:23" ht="13.5" customHeight="1" x14ac:dyDescent="0.2">
      <c r="A4" s="53" t="s">
        <v>1259</v>
      </c>
      <c r="B4" s="122">
        <f>BP!D10</f>
        <v>34003</v>
      </c>
      <c r="C4" s="197"/>
      <c r="D4" s="405" t="s">
        <v>85</v>
      </c>
      <c r="E4" s="122"/>
      <c r="F4" s="406" t="s">
        <v>85</v>
      </c>
      <c r="G4" s="197"/>
      <c r="H4" s="122">
        <f>BP!F10</f>
        <v>30622</v>
      </c>
      <c r="I4" s="407"/>
      <c r="J4" s="406" t="s">
        <v>85</v>
      </c>
      <c r="K4" s="407"/>
      <c r="L4" s="406" t="s">
        <v>85</v>
      </c>
      <c r="M4" s="56"/>
      <c r="N4" s="306"/>
      <c r="O4" s="56"/>
      <c r="P4" s="22"/>
      <c r="Q4" s="22"/>
      <c r="R4" s="310"/>
      <c r="S4" s="171"/>
      <c r="T4" s="310"/>
      <c r="U4" s="171"/>
      <c r="V4" s="310"/>
      <c r="W4" s="310"/>
    </row>
    <row r="5" spans="1:23" ht="11.25" customHeight="1" thickBot="1" x14ac:dyDescent="0.25">
      <c r="A5" s="53" t="s">
        <v>1229</v>
      </c>
      <c r="B5" s="464">
        <v>0</v>
      </c>
      <c r="C5" s="407"/>
      <c r="D5" s="465" t="s">
        <v>85</v>
      </c>
      <c r="E5" s="407"/>
      <c r="F5" s="466" t="s">
        <v>85</v>
      </c>
      <c r="G5" s="197"/>
      <c r="H5" s="466" t="s">
        <v>85</v>
      </c>
      <c r="I5" s="407"/>
      <c r="J5" s="466" t="s">
        <v>85</v>
      </c>
      <c r="K5" s="407"/>
      <c r="L5" s="466" t="s">
        <v>85</v>
      </c>
      <c r="M5" s="56"/>
      <c r="N5" s="306"/>
      <c r="O5" s="56"/>
      <c r="P5" s="310"/>
      <c r="Q5" s="171"/>
      <c r="R5" s="310"/>
      <c r="S5" s="171"/>
      <c r="T5" s="310"/>
      <c r="U5" s="171"/>
      <c r="V5" s="310"/>
      <c r="W5" s="310"/>
    </row>
    <row r="6" spans="1:23" ht="15" thickBot="1" x14ac:dyDescent="0.25">
      <c r="A6" s="53"/>
      <c r="B6" s="461">
        <f>SUM(B4:B5)</f>
        <v>34003</v>
      </c>
      <c r="C6" s="408"/>
      <c r="D6" s="462" t="s">
        <v>85</v>
      </c>
      <c r="E6" s="408"/>
      <c r="F6" s="462" t="s">
        <v>85</v>
      </c>
      <c r="G6" s="350"/>
      <c r="H6" s="461">
        <f t="shared" ref="H6" si="0">SUM(H4:H5)</f>
        <v>30622</v>
      </c>
      <c r="I6" s="408"/>
      <c r="J6" s="463" t="s">
        <v>85</v>
      </c>
      <c r="K6" s="408"/>
      <c r="L6" s="463" t="s">
        <v>85</v>
      </c>
      <c r="M6" s="63"/>
      <c r="N6" s="307"/>
      <c r="O6" s="63"/>
      <c r="P6" s="7"/>
      <c r="Q6" s="7"/>
      <c r="R6" s="7"/>
      <c r="S6" s="413"/>
      <c r="T6" s="7"/>
      <c r="U6" s="413"/>
      <c r="V6" s="310"/>
      <c r="W6" s="310"/>
    </row>
    <row r="7" spans="1:23" x14ac:dyDescent="0.2">
      <c r="A7" s="64" t="s">
        <v>1260</v>
      </c>
      <c r="B7" s="407"/>
      <c r="C7" s="407"/>
      <c r="D7" s="407"/>
      <c r="E7" s="407"/>
      <c r="F7" s="407"/>
      <c r="G7" s="197"/>
      <c r="H7" s="407"/>
      <c r="I7" s="407"/>
      <c r="J7" s="407"/>
      <c r="K7" s="407"/>
      <c r="L7" s="407"/>
      <c r="M7" s="304"/>
      <c r="N7" s="304"/>
      <c r="O7" s="304"/>
      <c r="P7" s="310"/>
      <c r="Q7" s="310"/>
      <c r="R7" s="310"/>
      <c r="S7" s="310"/>
      <c r="T7" s="310"/>
      <c r="U7" s="310"/>
      <c r="V7" s="310"/>
      <c r="W7" s="310"/>
    </row>
    <row r="8" spans="1:23" ht="15" thickBot="1" x14ac:dyDescent="0.25">
      <c r="A8" s="53" t="s">
        <v>1261</v>
      </c>
      <c r="B8" s="464">
        <f>BP!D31</f>
        <v>555</v>
      </c>
      <c r="C8" s="197"/>
      <c r="D8" s="462" t="s">
        <v>85</v>
      </c>
      <c r="E8" s="122"/>
      <c r="F8" s="465" t="s">
        <v>85</v>
      </c>
      <c r="G8" s="197"/>
      <c r="H8" s="464">
        <f>BP!F31</f>
        <v>305</v>
      </c>
      <c r="I8" s="407"/>
      <c r="J8" s="466" t="s">
        <v>85</v>
      </c>
      <c r="K8" s="407"/>
      <c r="L8" s="466" t="s">
        <v>85</v>
      </c>
      <c r="M8" s="161"/>
      <c r="N8" s="161"/>
      <c r="O8" s="161"/>
      <c r="P8" s="310"/>
      <c r="Q8" s="22"/>
      <c r="R8" s="310"/>
      <c r="S8" s="171"/>
      <c r="T8" s="310"/>
      <c r="U8" s="171"/>
      <c r="V8" s="310"/>
      <c r="W8" s="310"/>
    </row>
    <row r="9" spans="1:23" ht="12.75" customHeight="1" thickBot="1" x14ac:dyDescent="0.25">
      <c r="B9" s="461">
        <f>SUM(B8)</f>
        <v>555</v>
      </c>
      <c r="C9" s="408"/>
      <c r="D9" s="462">
        <v>0</v>
      </c>
      <c r="E9" s="408"/>
      <c r="F9" s="462">
        <v>0</v>
      </c>
      <c r="G9" s="197"/>
      <c r="H9" s="461">
        <f>SUM(H8:H8)</f>
        <v>305</v>
      </c>
      <c r="I9" s="408"/>
      <c r="J9" s="463" t="s">
        <v>85</v>
      </c>
      <c r="K9" s="408"/>
      <c r="L9" s="463" t="s">
        <v>85</v>
      </c>
      <c r="M9" s="313"/>
      <c r="N9" s="308"/>
      <c r="O9" s="311"/>
      <c r="P9" s="310"/>
      <c r="Q9" s="7"/>
      <c r="R9" s="7"/>
      <c r="S9" s="413"/>
      <c r="T9" s="7"/>
      <c r="U9" s="413"/>
      <c r="V9" s="310"/>
      <c r="W9" s="310"/>
    </row>
    <row r="10" spans="1:23" x14ac:dyDescent="0.2">
      <c r="G10" s="53"/>
      <c r="H10" s="53"/>
      <c r="I10" s="56"/>
      <c r="J10" s="161"/>
      <c r="K10" s="56"/>
      <c r="L10" s="161"/>
      <c r="M10" s="56"/>
      <c r="N10" s="161"/>
      <c r="O10" s="56"/>
      <c r="P10" s="310"/>
      <c r="Q10" s="310"/>
      <c r="R10" s="310"/>
      <c r="S10" s="310"/>
      <c r="T10" s="310"/>
      <c r="U10" s="310"/>
      <c r="V10" s="310"/>
      <c r="W10" s="310"/>
    </row>
    <row r="11" spans="1:23" x14ac:dyDescent="0.2">
      <c r="A11" s="53" t="s">
        <v>1262</v>
      </c>
      <c r="G11" s="53"/>
      <c r="H11" s="53"/>
      <c r="I11" s="309"/>
      <c r="J11" s="309"/>
      <c r="K11" s="309"/>
      <c r="L11" s="161"/>
      <c r="M11" s="309"/>
      <c r="N11" s="309"/>
      <c r="O11" s="309"/>
    </row>
    <row r="12" spans="1:23" x14ac:dyDescent="0.2">
      <c r="A12" s="53" t="s">
        <v>1263</v>
      </c>
      <c r="G12" s="53"/>
      <c r="H12" s="53"/>
      <c r="I12" s="309"/>
      <c r="J12" s="309"/>
      <c r="K12" s="309"/>
      <c r="L12" s="161"/>
      <c r="M12" s="309"/>
      <c r="N12" s="309"/>
      <c r="O12" s="309"/>
    </row>
    <row r="13" spans="1:23" x14ac:dyDescent="0.2">
      <c r="A13" s="53" t="s">
        <v>1264</v>
      </c>
      <c r="G13" s="53"/>
      <c r="H13" s="53"/>
      <c r="I13" s="161"/>
      <c r="J13" s="161"/>
      <c r="K13" s="161"/>
      <c r="L13" s="161"/>
      <c r="M13" s="161"/>
      <c r="N13" s="161"/>
      <c r="O13" s="161"/>
    </row>
    <row r="14" spans="1:23" x14ac:dyDescent="0.2">
      <c r="G14" s="64"/>
      <c r="H14" s="64"/>
      <c r="I14" s="63"/>
      <c r="J14" s="312"/>
      <c r="K14" s="63"/>
      <c r="L14" s="308"/>
      <c r="M14" s="63"/>
      <c r="N14" s="312"/>
      <c r="O14" s="63"/>
    </row>
    <row r="15" spans="1:23" x14ac:dyDescent="0.2">
      <c r="I15" s="310"/>
      <c r="J15" s="310"/>
      <c r="K15" s="310"/>
      <c r="L15" s="310"/>
      <c r="M15" s="310"/>
      <c r="N15" s="310"/>
      <c r="O15" s="310"/>
    </row>
    <row r="16" spans="1:23" ht="25.5" x14ac:dyDescent="0.2">
      <c r="A16" s="175" t="s">
        <v>1266</v>
      </c>
      <c r="D16" s="172" t="s">
        <v>1267</v>
      </c>
      <c r="F16" s="172" t="s">
        <v>1268</v>
      </c>
    </row>
    <row r="17" spans="1:14" x14ac:dyDescent="0.2">
      <c r="A17" s="53" t="s">
        <v>1265</v>
      </c>
      <c r="D17" s="165">
        <v>195</v>
      </c>
      <c r="E17" s="173"/>
      <c r="F17" s="174">
        <v>45291</v>
      </c>
    </row>
    <row r="18" spans="1:14" x14ac:dyDescent="0.2">
      <c r="A18" s="53"/>
      <c r="D18" s="22"/>
      <c r="E18" s="173"/>
      <c r="F18" s="352"/>
    </row>
    <row r="19" spans="1:14" x14ac:dyDescent="0.2">
      <c r="G19" s="310"/>
      <c r="H19" s="310"/>
      <c r="I19" s="310"/>
      <c r="L19" s="348"/>
      <c r="N19" s="347"/>
    </row>
  </sheetData>
  <mergeCells count="2">
    <mergeCell ref="I1:K1"/>
    <mergeCell ref="M1:O1"/>
  </mergeCells>
  <pageMargins left="0.511811024" right="0.511811024" top="0.78740157499999996" bottom="0.78740157499999996" header="0.31496062000000002" footer="0.31496062000000002"/>
  <pageSetup paperSize="9" orientation="portrait" horizontalDpi="4294967295" verticalDpi="4294967295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X36"/>
  <sheetViews>
    <sheetView showGridLines="0" topLeftCell="E18" workbookViewId="0">
      <selection activeCell="L30" sqref="L30"/>
    </sheetView>
  </sheetViews>
  <sheetFormatPr defaultColWidth="9.140625" defaultRowHeight="12.75" x14ac:dyDescent="0.2"/>
  <cols>
    <col min="1" max="3" width="9.140625" style="14"/>
    <col min="4" max="4" width="50.85546875" style="303" customWidth="1"/>
    <col min="5" max="5" width="1.7109375" style="14" customWidth="1"/>
    <col min="6" max="6" width="14.7109375" style="415" customWidth="1"/>
    <col min="7" max="7" width="1.28515625" style="14" customWidth="1"/>
    <col min="8" max="8" width="14.140625" style="14" customWidth="1"/>
    <col min="9" max="9" width="9.140625" style="14"/>
    <col min="10" max="10" width="10.42578125" style="14" bestFit="1" customWidth="1"/>
    <col min="11" max="11" width="9.140625" style="14"/>
    <col min="12" max="12" width="48.5703125" style="14" customWidth="1"/>
    <col min="13" max="13" width="12.7109375" style="14" customWidth="1"/>
    <col min="14" max="14" width="10.5703125" style="14" customWidth="1"/>
    <col min="15" max="15" width="12" style="14" customWidth="1"/>
    <col min="16" max="16" width="11.42578125" style="14" customWidth="1"/>
    <col min="17" max="18" width="9.140625" style="14"/>
    <col min="19" max="19" width="11.28515625" style="14" customWidth="1"/>
    <col min="20" max="20" width="3.5703125" style="14" customWidth="1"/>
    <col min="21" max="21" width="10.28515625" style="14" bestFit="1" customWidth="1"/>
    <col min="22" max="22" width="15.28515625" style="14" bestFit="1" customWidth="1"/>
    <col min="23" max="23" width="3.5703125" style="14" customWidth="1"/>
    <col min="24" max="24" width="10" style="14" bestFit="1" customWidth="1"/>
    <col min="25" max="16384" width="9.140625" style="14"/>
  </cols>
  <sheetData>
    <row r="3" spans="4:24" x14ac:dyDescent="0.2">
      <c r="D3" s="763" t="s">
        <v>4648</v>
      </c>
      <c r="E3" s="763"/>
      <c r="F3" s="763"/>
      <c r="G3" s="763"/>
      <c r="H3" s="763"/>
      <c r="M3" s="414"/>
      <c r="N3" s="414"/>
      <c r="O3" s="447"/>
      <c r="P3" s="414"/>
      <c r="Q3" s="414"/>
      <c r="R3" s="414"/>
      <c r="S3" s="414"/>
      <c r="T3" s="414"/>
      <c r="U3" s="414"/>
      <c r="V3" s="414"/>
      <c r="W3" s="414"/>
      <c r="X3" s="414"/>
    </row>
    <row r="4" spans="4:24" ht="15.75" customHeight="1" thickBot="1" x14ac:dyDescent="0.25">
      <c r="L4" s="416"/>
      <c r="M4" s="764" t="s">
        <v>4649</v>
      </c>
      <c r="N4" s="764"/>
      <c r="O4" s="767" t="s">
        <v>4649</v>
      </c>
      <c r="P4" s="764"/>
      <c r="Q4" s="414"/>
      <c r="R4" s="414"/>
      <c r="S4" s="761"/>
      <c r="T4" s="761"/>
      <c r="U4" s="761"/>
      <c r="V4" s="761"/>
      <c r="W4" s="761"/>
      <c r="X4" s="761"/>
    </row>
    <row r="5" spans="4:24" ht="13.5" thickBot="1" x14ac:dyDescent="0.25">
      <c r="F5" s="762" t="s">
        <v>4650</v>
      </c>
      <c r="G5" s="762"/>
      <c r="H5" s="762"/>
      <c r="L5" s="417"/>
      <c r="M5" s="418" t="s">
        <v>1762</v>
      </c>
      <c r="N5" s="419" t="s">
        <v>1764</v>
      </c>
      <c r="O5" s="448" t="s">
        <v>1762</v>
      </c>
      <c r="P5" s="419" t="s">
        <v>1764</v>
      </c>
      <c r="Q5" s="414"/>
      <c r="R5" s="414"/>
      <c r="S5" s="420"/>
      <c r="T5" s="420"/>
      <c r="U5" s="420"/>
      <c r="V5" s="420"/>
      <c r="W5" s="420"/>
      <c r="X5" s="420"/>
    </row>
    <row r="6" spans="4:24" x14ac:dyDescent="0.2">
      <c r="F6" s="421">
        <v>45016</v>
      </c>
      <c r="H6" s="421">
        <v>44651</v>
      </c>
      <c r="L6" s="417" t="s">
        <v>4651</v>
      </c>
      <c r="M6" s="451">
        <v>3163</v>
      </c>
      <c r="N6" s="451">
        <v>3163</v>
      </c>
      <c r="O6" s="452">
        <v>-297</v>
      </c>
      <c r="P6" s="451">
        <v>-297</v>
      </c>
      <c r="Q6" s="414"/>
      <c r="R6" s="414"/>
      <c r="S6" s="414"/>
      <c r="T6" s="414"/>
      <c r="U6" s="414"/>
      <c r="V6" s="414"/>
      <c r="W6" s="414"/>
      <c r="X6" s="414"/>
    </row>
    <row r="7" spans="4:24" x14ac:dyDescent="0.2">
      <c r="H7" s="415"/>
      <c r="L7" s="417" t="s">
        <v>4652</v>
      </c>
      <c r="M7" s="453">
        <v>1560</v>
      </c>
      <c r="N7" s="453">
        <v>1560</v>
      </c>
      <c r="O7" s="454">
        <v>335</v>
      </c>
      <c r="P7" s="453">
        <v>335</v>
      </c>
      <c r="Q7" s="414"/>
      <c r="R7" s="414"/>
      <c r="S7" s="422"/>
      <c r="T7" s="414"/>
      <c r="U7" s="422"/>
      <c r="V7" s="422"/>
      <c r="W7" s="414"/>
      <c r="X7" s="422"/>
    </row>
    <row r="8" spans="4:24" s="187" customFormat="1" ht="13.5" thickBot="1" x14ac:dyDescent="0.25">
      <c r="D8" s="423" t="s">
        <v>4653</v>
      </c>
      <c r="E8" s="424"/>
      <c r="F8" s="425">
        <f>[2]IRPJ_CSLL_2023!F54/1000</f>
        <v>3162.3452800000068</v>
      </c>
      <c r="G8" s="424"/>
      <c r="H8" s="425">
        <f>([2]IRPJ_CSLL_2022!F11)/1000</f>
        <v>-296.60299999999859</v>
      </c>
      <c r="L8" s="417" t="s">
        <v>4654</v>
      </c>
      <c r="M8" s="455" t="s">
        <v>85</v>
      </c>
      <c r="N8" s="455" t="s">
        <v>85</v>
      </c>
      <c r="O8" s="456">
        <v>-23</v>
      </c>
      <c r="P8" s="455">
        <v>-23</v>
      </c>
      <c r="Q8" s="426"/>
      <c r="R8" s="426"/>
      <c r="S8" s="422"/>
      <c r="T8" s="414"/>
      <c r="U8" s="422"/>
      <c r="V8" s="422"/>
      <c r="W8" s="414"/>
      <c r="X8" s="422"/>
    </row>
    <row r="9" spans="4:24" x14ac:dyDescent="0.2">
      <c r="D9" s="303" t="s">
        <v>4655</v>
      </c>
      <c r="E9" s="427"/>
      <c r="F9" s="428">
        <v>0.34</v>
      </c>
      <c r="G9" s="427"/>
      <c r="H9" s="428">
        <v>0.34</v>
      </c>
      <c r="L9" s="429" t="s">
        <v>1765</v>
      </c>
      <c r="M9" s="457">
        <f>SUM(M6:M8)</f>
        <v>4723</v>
      </c>
      <c r="N9" s="457">
        <f>SUM(N6:N8)</f>
        <v>4723</v>
      </c>
      <c r="O9" s="458">
        <f>SUM(O6:O8)</f>
        <v>15</v>
      </c>
      <c r="P9" s="457">
        <f>SUM(P6:P8)</f>
        <v>15</v>
      </c>
      <c r="Q9" s="414"/>
      <c r="R9" s="414"/>
      <c r="S9" s="422"/>
      <c r="T9" s="414"/>
      <c r="U9" s="422"/>
      <c r="V9" s="422"/>
      <c r="W9" s="414"/>
      <c r="X9" s="422"/>
    </row>
    <row r="10" spans="4:24" s="187" customFormat="1" ht="25.5" x14ac:dyDescent="0.2">
      <c r="D10" s="423" t="s">
        <v>4656</v>
      </c>
      <c r="E10" s="424"/>
      <c r="F10" s="425">
        <f>-F8*F9</f>
        <v>-1075.1973952000023</v>
      </c>
      <c r="G10" s="424"/>
      <c r="H10" s="425">
        <f>-H8*H9</f>
        <v>100.84501999999952</v>
      </c>
      <c r="I10" s="425">
        <v>100.84501999999952</v>
      </c>
      <c r="J10" s="424">
        <f>ROUND(I10,0)</f>
        <v>101</v>
      </c>
      <c r="K10" s="424"/>
      <c r="L10" s="429"/>
      <c r="M10" s="446"/>
      <c r="N10" s="446"/>
      <c r="O10" s="449"/>
      <c r="P10" s="446"/>
      <c r="Q10" s="426"/>
      <c r="R10" s="426"/>
      <c r="S10" s="431"/>
      <c r="T10" s="432"/>
      <c r="U10" s="432"/>
      <c r="V10" s="432"/>
      <c r="W10" s="432"/>
      <c r="X10" s="432"/>
    </row>
    <row r="11" spans="4:24" s="187" customFormat="1" x14ac:dyDescent="0.2">
      <c r="D11" s="423"/>
      <c r="E11" s="424"/>
      <c r="F11" s="425"/>
      <c r="G11" s="424"/>
      <c r="H11" s="425"/>
      <c r="I11" s="425"/>
      <c r="J11" s="424">
        <f t="shared" ref="J11:J21" si="0">ROUND(I11,0)</f>
        <v>0</v>
      </c>
      <c r="L11" s="417" t="s">
        <v>4657</v>
      </c>
      <c r="M11" s="457">
        <f>M9*34%</f>
        <v>1605.8200000000002</v>
      </c>
      <c r="N11" s="457">
        <f>N9*34%</f>
        <v>1605.8200000000002</v>
      </c>
      <c r="O11" s="458">
        <f>O9*34%</f>
        <v>5.1000000000000005</v>
      </c>
      <c r="P11" s="457">
        <f>P9*34%</f>
        <v>5.1000000000000005</v>
      </c>
      <c r="Q11" s="426"/>
      <c r="R11" s="432"/>
      <c r="S11" s="426"/>
      <c r="T11" s="426"/>
      <c r="U11" s="426"/>
      <c r="V11" s="426"/>
      <c r="W11" s="426"/>
      <c r="X11" s="426"/>
    </row>
    <row r="12" spans="4:24" s="187" customFormat="1" x14ac:dyDescent="0.2">
      <c r="D12" s="423" t="s">
        <v>4658</v>
      </c>
      <c r="E12" s="424"/>
      <c r="F12" s="425"/>
      <c r="G12" s="424"/>
      <c r="H12" s="425"/>
      <c r="I12" s="425"/>
      <c r="J12" s="424">
        <f t="shared" si="0"/>
        <v>0</v>
      </c>
      <c r="L12" s="429"/>
      <c r="M12" s="430"/>
      <c r="N12" s="430"/>
      <c r="O12" s="450"/>
      <c r="P12" s="430"/>
      <c r="Q12" s="426"/>
      <c r="R12" s="426"/>
      <c r="S12" s="432"/>
      <c r="T12" s="426"/>
      <c r="U12" s="432"/>
      <c r="V12" s="432"/>
      <c r="W12" s="426"/>
      <c r="X12" s="432"/>
    </row>
    <row r="13" spans="4:24" s="187" customFormat="1" x14ac:dyDescent="0.2">
      <c r="D13" s="423"/>
      <c r="E13" s="424"/>
      <c r="F13" s="425"/>
      <c r="G13" s="424"/>
      <c r="H13" s="425"/>
      <c r="I13" s="425"/>
      <c r="J13" s="424">
        <f t="shared" si="0"/>
        <v>0</v>
      </c>
      <c r="L13" s="429" t="s">
        <v>4659</v>
      </c>
      <c r="M13" s="430" t="s">
        <v>1763</v>
      </c>
      <c r="N13" s="433">
        <v>0.09</v>
      </c>
      <c r="O13" s="450" t="s">
        <v>1763</v>
      </c>
      <c r="P13" s="433">
        <v>0.09</v>
      </c>
      <c r="Q13" s="426"/>
      <c r="R13" s="426"/>
      <c r="S13" s="426"/>
      <c r="T13" s="426"/>
      <c r="U13" s="426"/>
      <c r="V13" s="426"/>
      <c r="W13" s="426"/>
      <c r="X13" s="426"/>
    </row>
    <row r="14" spans="4:24" s="187" customFormat="1" x14ac:dyDescent="0.2">
      <c r="D14" s="423" t="s">
        <v>4660</v>
      </c>
      <c r="E14" s="424"/>
      <c r="F14" s="425"/>
      <c r="G14" s="424"/>
      <c r="H14" s="425"/>
      <c r="I14" s="425"/>
      <c r="J14" s="424">
        <f t="shared" si="0"/>
        <v>0</v>
      </c>
      <c r="L14" s="417" t="s">
        <v>4661</v>
      </c>
      <c r="M14" s="453">
        <v>-55</v>
      </c>
      <c r="N14" s="453" t="s">
        <v>85</v>
      </c>
      <c r="O14" s="454">
        <v>-16</v>
      </c>
      <c r="P14" s="453" t="s">
        <v>85</v>
      </c>
      <c r="Q14" s="426"/>
      <c r="R14" s="426"/>
      <c r="S14" s="426"/>
      <c r="T14" s="426"/>
      <c r="U14" s="426"/>
      <c r="V14" s="426"/>
      <c r="W14" s="426"/>
      <c r="X14" s="426"/>
    </row>
    <row r="15" spans="4:24" x14ac:dyDescent="0.2">
      <c r="D15" s="434" t="s">
        <v>4662</v>
      </c>
      <c r="E15" s="427"/>
      <c r="F15" s="435">
        <f>(-([2]IRPJ_CSLL_2023!F13+[2]IRPJ_CSLL_2023!F14+[2]IRPJ_CSLL_2023!F17+[2]IRPJ_CSLL_2023!F18)*F9)/1000</f>
        <v>-12.0099526</v>
      </c>
      <c r="G15" s="427"/>
      <c r="H15" s="435">
        <f>(-([2]IRPJ_CSLL_2022!F13+[2]IRPJ_CSLL_2022!F14+[2]IRPJ_CSLL_2022!F17+[2]IRPJ_CSLL_2022!F18)*H9)/1000</f>
        <v>-5.5362302000000012</v>
      </c>
      <c r="I15" s="435">
        <v>-5.5362302000000012</v>
      </c>
      <c r="J15" s="424">
        <f t="shared" si="0"/>
        <v>-6</v>
      </c>
      <c r="K15" s="427"/>
      <c r="L15" s="417"/>
      <c r="M15" s="446"/>
      <c r="N15" s="446"/>
      <c r="O15" s="449"/>
      <c r="P15" s="446"/>
      <c r="Q15" s="414"/>
      <c r="R15" s="414"/>
      <c r="S15" s="420"/>
      <c r="T15" s="414"/>
      <c r="U15" s="436"/>
      <c r="V15" s="420"/>
      <c r="W15" s="414"/>
      <c r="X15" s="436"/>
    </row>
    <row r="16" spans="4:24" x14ac:dyDescent="0.2">
      <c r="D16" s="434" t="s">
        <v>4663</v>
      </c>
      <c r="E16" s="427"/>
      <c r="F16" s="435">
        <f>-(([2]IRPJ_CSLL_2023!F20+[2]IRPJ_CSLL_2023!F21+[2]IRPJ_CSLL_2023!F22+[2]IRPJ_CSLL_2023!F23)*F9)/1000</f>
        <v>0</v>
      </c>
      <c r="G16" s="427"/>
      <c r="H16" s="435">
        <f>-(([2]IRPJ_CSLL_2022!F20+[2]IRPJ_CSLL_2022!F21+[2]IRPJ_CSLL_2022!F22+[2]IRPJ_CSLL_2022!F23)*H9)/1000</f>
        <v>0</v>
      </c>
      <c r="I16" s="435">
        <v>0</v>
      </c>
      <c r="J16" s="424">
        <f t="shared" si="0"/>
        <v>0</v>
      </c>
      <c r="K16" s="427"/>
      <c r="L16" s="429" t="s">
        <v>4664</v>
      </c>
      <c r="M16" s="453">
        <v>765</v>
      </c>
      <c r="N16" s="453">
        <v>298</v>
      </c>
      <c r="O16" s="454" t="s">
        <v>85</v>
      </c>
      <c r="P16" s="453" t="s">
        <v>85</v>
      </c>
      <c r="Q16" s="414"/>
      <c r="R16" s="414"/>
      <c r="S16" s="422"/>
      <c r="T16" s="414"/>
      <c r="U16" s="422"/>
      <c r="V16" s="422"/>
      <c r="W16" s="414"/>
      <c r="X16" s="422"/>
    </row>
    <row r="17" spans="4:24" x14ac:dyDescent="0.2">
      <c r="D17" s="434" t="s">
        <v>4665</v>
      </c>
      <c r="E17" s="427"/>
      <c r="F17" s="435">
        <f>-([2]IRPJ_CSLL_2023!F24*F9)/1000</f>
        <v>-517.50098480000008</v>
      </c>
      <c r="G17" s="427"/>
      <c r="H17" s="435">
        <f>-([2]IRPJ_CSLL_2022!F24*H9)/1000-0.05</f>
        <v>-96.60620560000001</v>
      </c>
      <c r="I17" s="435">
        <v>-96.60620560000001</v>
      </c>
      <c r="J17" s="424">
        <f t="shared" si="0"/>
        <v>-97</v>
      </c>
      <c r="K17" s="427"/>
      <c r="L17" s="429"/>
      <c r="M17" s="446"/>
      <c r="N17" s="446"/>
      <c r="O17" s="449"/>
      <c r="P17" s="446"/>
      <c r="Q17" s="414"/>
      <c r="R17" s="414"/>
      <c r="S17" s="414"/>
      <c r="T17" s="414"/>
      <c r="U17" s="414"/>
      <c r="V17" s="414"/>
      <c r="W17" s="414"/>
      <c r="X17" s="414"/>
    </row>
    <row r="18" spans="4:24" x14ac:dyDescent="0.2">
      <c r="D18" s="434" t="s">
        <v>4666</v>
      </c>
      <c r="E18" s="427"/>
      <c r="F18" s="435">
        <f>(-([2]IRPJ_CSLL_2023!F15+[2]IRPJ_CSLL_2023!F19+[2]IRPJ_CSLL_2023!F25)*'IRPJ eCSLL'!F9)/1000</f>
        <v>-0.98464000000000007</v>
      </c>
      <c r="G18" s="427"/>
      <c r="H18" s="435">
        <f>(-([2]IRPJ_CSLL_2022!F15+[2]IRPJ_CSLL_2022!F19+[2]IRPJ_CSLL_2022!F25)*'IRPJ eCSLL'!H9)/1000</f>
        <v>-11.673662000000002</v>
      </c>
      <c r="I18" s="435">
        <v>-11.673662000000002</v>
      </c>
      <c r="J18" s="424">
        <f t="shared" si="0"/>
        <v>-12</v>
      </c>
      <c r="K18" s="427"/>
      <c r="L18" s="417" t="s">
        <v>4667</v>
      </c>
      <c r="M18" s="453">
        <v>-653</v>
      </c>
      <c r="N18" s="453">
        <v>-251</v>
      </c>
      <c r="O18" s="454">
        <v>-415</v>
      </c>
      <c r="P18" s="453">
        <v>-165</v>
      </c>
      <c r="Q18" s="426"/>
      <c r="R18" s="426"/>
      <c r="S18" s="431"/>
      <c r="T18" s="426"/>
      <c r="U18" s="431"/>
      <c r="V18" s="431"/>
      <c r="W18" s="426"/>
      <c r="X18" s="431"/>
    </row>
    <row r="19" spans="4:24" ht="13.5" thickBot="1" x14ac:dyDescent="0.25">
      <c r="D19" s="434"/>
      <c r="E19" s="427"/>
      <c r="F19" s="435"/>
      <c r="G19" s="427"/>
      <c r="H19" s="435"/>
      <c r="I19" s="435"/>
      <c r="J19" s="424">
        <f t="shared" si="0"/>
        <v>0</v>
      </c>
      <c r="K19" s="427"/>
      <c r="L19" s="429"/>
      <c r="M19" s="437"/>
      <c r="N19" s="437"/>
      <c r="O19" s="438"/>
      <c r="P19" s="437"/>
      <c r="Q19" s="414"/>
      <c r="R19" s="414"/>
      <c r="S19" s="414"/>
      <c r="T19" s="414"/>
      <c r="U19" s="414"/>
      <c r="V19" s="414"/>
      <c r="W19" s="414"/>
      <c r="X19" s="414"/>
    </row>
    <row r="20" spans="4:24" s="187" customFormat="1" ht="13.5" thickBot="1" x14ac:dyDescent="0.25">
      <c r="D20" s="423" t="s">
        <v>4668</v>
      </c>
      <c r="E20" s="424"/>
      <c r="F20" s="425"/>
      <c r="G20" s="424"/>
      <c r="H20" s="425"/>
      <c r="I20" s="425"/>
      <c r="J20" s="424">
        <f t="shared" si="0"/>
        <v>0</v>
      </c>
      <c r="K20" s="427"/>
      <c r="L20" s="429" t="s">
        <v>4669</v>
      </c>
      <c r="M20" s="459">
        <v>112</v>
      </c>
      <c r="N20" s="459">
        <v>47</v>
      </c>
      <c r="O20" s="460">
        <f>SUM(O16:O18)</f>
        <v>-415</v>
      </c>
      <c r="P20" s="459">
        <f>SUM(P16:P18)</f>
        <v>-165</v>
      </c>
      <c r="Q20" s="426"/>
      <c r="R20" s="426"/>
      <c r="S20" s="426"/>
      <c r="T20" s="426"/>
      <c r="U20" s="426"/>
      <c r="V20" s="426"/>
      <c r="W20" s="426"/>
      <c r="X20" s="426"/>
    </row>
    <row r="21" spans="4:24" ht="15" x14ac:dyDescent="0.25">
      <c r="D21" s="434" t="s">
        <v>4670</v>
      </c>
      <c r="E21" s="427"/>
      <c r="F21" s="435">
        <f>(([2]IRPJ_CSLL_2023!F29+[2]IRPJ_CSLL_2023!F30+[2]IRPJ_CSLL_2023!F31)*F9)/1000</f>
        <v>0</v>
      </c>
      <c r="G21" s="427"/>
      <c r="H21" s="435">
        <f>(([2]IRPJ_CSLL_2022!F29+[2]IRPJ_CSLL_2022!F30+[2]IRPJ_CSLL_2022!F31)*H9)/1000</f>
        <v>7.8014836000000001</v>
      </c>
      <c r="I21" s="435">
        <v>7.8014836000000001</v>
      </c>
      <c r="J21" s="424">
        <f t="shared" si="0"/>
        <v>8</v>
      </c>
      <c r="K21" s="427"/>
      <c r="L21" s="439"/>
      <c r="M21"/>
      <c r="N21"/>
      <c r="O21" s="414"/>
      <c r="P21" s="414"/>
      <c r="Q21" s="414"/>
      <c r="R21" s="414"/>
      <c r="S21" s="414"/>
      <c r="T21" s="414"/>
      <c r="U21" s="414"/>
      <c r="V21" s="414"/>
      <c r="W21" s="414"/>
      <c r="X21" s="414"/>
    </row>
    <row r="22" spans="4:24" x14ac:dyDescent="0.2">
      <c r="D22" s="434" t="s">
        <v>4671</v>
      </c>
      <c r="E22" s="427"/>
      <c r="F22" s="440">
        <f>(-[2]IRPJ_CSLL_2022!O34*'IRPJ eCSLL'!F9)/1000</f>
        <v>0</v>
      </c>
      <c r="G22" s="427"/>
      <c r="H22" s="440">
        <v>0</v>
      </c>
    </row>
    <row r="23" spans="4:24" x14ac:dyDescent="0.2">
      <c r="D23" s="434" t="s">
        <v>4672</v>
      </c>
      <c r="E23" s="427"/>
      <c r="F23" s="440">
        <f>[2]IRPJ_CSLL_2022!O82</f>
        <v>0</v>
      </c>
      <c r="G23" s="427"/>
      <c r="H23" s="440">
        <v>0</v>
      </c>
      <c r="L23" s="14">
        <v>-1075</v>
      </c>
    </row>
    <row r="24" spans="4:24" x14ac:dyDescent="0.2">
      <c r="D24" s="434" t="s">
        <v>4673</v>
      </c>
      <c r="E24" s="427"/>
      <c r="F24" s="440">
        <v>0</v>
      </c>
      <c r="G24" s="427"/>
      <c r="H24" s="440">
        <v>0</v>
      </c>
      <c r="L24" s="14">
        <v>-12</v>
      </c>
    </row>
    <row r="25" spans="4:24" x14ac:dyDescent="0.2">
      <c r="D25" s="434" t="s">
        <v>4674</v>
      </c>
      <c r="E25" s="427"/>
      <c r="F25" s="440">
        <v>0</v>
      </c>
      <c r="G25" s="427"/>
      <c r="H25" s="440">
        <v>0</v>
      </c>
      <c r="L25" s="14">
        <v>-518</v>
      </c>
    </row>
    <row r="26" spans="4:24" x14ac:dyDescent="0.2">
      <c r="D26" s="434"/>
      <c r="E26" s="427"/>
      <c r="F26" s="440"/>
      <c r="G26" s="427"/>
      <c r="H26" s="440"/>
      <c r="J26" s="14">
        <f>101-6-97-12+8</f>
        <v>-6</v>
      </c>
      <c r="L26" s="14">
        <v>-1</v>
      </c>
    </row>
    <row r="27" spans="4:24" s="187" customFormat="1" ht="13.5" thickBot="1" x14ac:dyDescent="0.25">
      <c r="D27" s="441" t="s">
        <v>4675</v>
      </c>
      <c r="E27" s="424"/>
      <c r="F27" s="442">
        <f>SUM(F10:F24)</f>
        <v>-1605.6929726000023</v>
      </c>
      <c r="G27" s="424"/>
      <c r="H27" s="442">
        <f>SUM(H10:H24)</f>
        <v>-5.1695942000004953</v>
      </c>
      <c r="J27" s="443"/>
      <c r="L27" s="187">
        <v>0</v>
      </c>
    </row>
    <row r="28" spans="4:24" ht="13.5" thickTop="1" x14ac:dyDescent="0.2">
      <c r="E28" s="427"/>
      <c r="F28" s="435"/>
      <c r="G28" s="440"/>
      <c r="H28" s="435"/>
      <c r="L28" s="14">
        <f>SUM(L23:L27)</f>
        <v>-1606</v>
      </c>
    </row>
    <row r="29" spans="4:24" x14ac:dyDescent="0.2">
      <c r="D29" s="303" t="s">
        <v>4676</v>
      </c>
      <c r="E29" s="427"/>
      <c r="F29" s="435"/>
      <c r="G29" s="427"/>
      <c r="H29" s="435"/>
    </row>
    <row r="30" spans="4:24" x14ac:dyDescent="0.2">
      <c r="D30" s="303" t="s">
        <v>4677</v>
      </c>
      <c r="E30" s="427"/>
      <c r="F30" s="435">
        <f>+F27</f>
        <v>-1605.6929726000023</v>
      </c>
      <c r="G30" s="427"/>
      <c r="H30" s="440">
        <f>H27</f>
        <v>-5.1695942000004953</v>
      </c>
    </row>
    <row r="31" spans="4:24" x14ac:dyDescent="0.2">
      <c r="H31" s="415"/>
    </row>
    <row r="33" spans="4:8" s="187" customFormat="1" ht="13.5" thickBot="1" x14ac:dyDescent="0.25">
      <c r="D33" s="441" t="s">
        <v>4678</v>
      </c>
      <c r="F33" s="444">
        <f>-F27/F8</f>
        <v>0.50775384419755676</v>
      </c>
      <c r="H33" s="444">
        <f>-H30/H8</f>
        <v>-1.742933888059298E-2</v>
      </c>
    </row>
    <row r="34" spans="4:8" ht="13.5" thickTop="1" x14ac:dyDescent="0.2"/>
    <row r="36" spans="4:8" x14ac:dyDescent="0.2">
      <c r="H36" s="445"/>
    </row>
  </sheetData>
  <mergeCells count="6">
    <mergeCell ref="V4:X4"/>
    <mergeCell ref="F5:H5"/>
    <mergeCell ref="D3:H3"/>
    <mergeCell ref="M4:N4"/>
    <mergeCell ref="O4:P4"/>
    <mergeCell ref="S4:U4"/>
  </mergeCells>
  <pageMargins left="0.511811024" right="0.511811024" top="0.78740157499999996" bottom="0.78740157499999996" header="0.31496062000000002" footer="0.31496062000000002"/>
  <pageSetup paperSize="9" orientation="portrait" horizontalDpi="4294967295" verticalDpi="4294967295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showGridLines="0" topLeftCell="A4" workbookViewId="0">
      <selection activeCell="I22" sqref="I22"/>
    </sheetView>
  </sheetViews>
  <sheetFormatPr defaultColWidth="9.140625" defaultRowHeight="15" x14ac:dyDescent="0.25"/>
  <cols>
    <col min="1" max="1" width="26.7109375" style="140" bestFit="1" customWidth="1"/>
    <col min="2" max="2" width="27.140625" style="140" bestFit="1" customWidth="1"/>
    <col min="3" max="3" width="14.140625" style="140" bestFit="1" customWidth="1"/>
    <col min="4" max="4" width="13.7109375" style="140" customWidth="1"/>
    <col min="5" max="5" width="14.42578125" style="140" customWidth="1"/>
    <col min="6" max="6" width="13.7109375" style="140" customWidth="1"/>
    <col min="7" max="7" width="13.7109375" style="140" bestFit="1" customWidth="1"/>
    <col min="8" max="8" width="11.28515625" style="140" bestFit="1" customWidth="1"/>
    <col min="9" max="9" width="22.5703125" style="140" bestFit="1" customWidth="1"/>
    <col min="10" max="10" width="2.28515625" style="140" customWidth="1"/>
    <col min="11" max="11" width="10.28515625" style="140" bestFit="1" customWidth="1"/>
    <col min="12" max="12" width="2" style="140" customWidth="1"/>
    <col min="13" max="13" width="10.7109375" style="140" bestFit="1" customWidth="1"/>
    <col min="14" max="16384" width="9.140625" style="140"/>
  </cols>
  <sheetData>
    <row r="1" spans="1:12" x14ac:dyDescent="0.25">
      <c r="A1" s="154"/>
      <c r="B1" s="768" t="s">
        <v>283</v>
      </c>
      <c r="C1" s="147"/>
      <c r="D1" s="147" t="s">
        <v>285</v>
      </c>
      <c r="E1" s="147" t="s">
        <v>4597</v>
      </c>
      <c r="F1" s="147" t="s">
        <v>1599</v>
      </c>
    </row>
    <row r="2" spans="1:12" x14ac:dyDescent="0.25">
      <c r="A2" s="155" t="s">
        <v>281</v>
      </c>
      <c r="B2" s="768"/>
      <c r="C2" s="147" t="s">
        <v>286</v>
      </c>
      <c r="D2" s="147" t="s">
        <v>287</v>
      </c>
      <c r="E2" s="147" t="s">
        <v>288</v>
      </c>
      <c r="F2" s="147" t="s">
        <v>288</v>
      </c>
    </row>
    <row r="3" spans="1:12" x14ac:dyDescent="0.25">
      <c r="A3" s="156" t="s">
        <v>123</v>
      </c>
      <c r="B3" s="201">
        <v>0.1</v>
      </c>
      <c r="C3" s="248">
        <f>SUMIF('Balancete 03.2023'!C:C,12313,'Balancete 03.2023'!I:I)</f>
        <v>2400</v>
      </c>
      <c r="D3" s="248">
        <f>SUMIF('Balancete 03.2023'!C:C,123982,'Balancete 03.2023'!I:I)</f>
        <v>-539</v>
      </c>
      <c r="E3" s="248">
        <f>C3+D3</f>
        <v>1861</v>
      </c>
      <c r="F3" s="248">
        <f>B15</f>
        <v>1921</v>
      </c>
    </row>
    <row r="4" spans="1:12" x14ac:dyDescent="0.25">
      <c r="A4" s="156" t="s">
        <v>124</v>
      </c>
      <c r="B4" s="201">
        <v>0.1</v>
      </c>
      <c r="C4" s="249">
        <f>SUMIF('Balancete 03.2023'!C:C,12314,'Balancete 03.2023'!I:I)</f>
        <v>792</v>
      </c>
      <c r="D4" s="249">
        <f>SUMIF('Balancete 03.2023'!C:C,123983,'Balancete 03.2023'!I:I)</f>
        <v>-721</v>
      </c>
      <c r="E4" s="249">
        <f>C4+D4</f>
        <v>71</v>
      </c>
      <c r="F4" s="248">
        <f>B16</f>
        <v>77</v>
      </c>
    </row>
    <row r="5" spans="1:12" x14ac:dyDescent="0.25">
      <c r="A5" s="156" t="s">
        <v>125</v>
      </c>
      <c r="B5" s="201">
        <v>0.2</v>
      </c>
      <c r="C5" s="249">
        <f>SUMIF('Balancete 03.2023'!C:C,12315,'Balancete 03.2023'!I:I)</f>
        <v>11492</v>
      </c>
      <c r="D5" s="249">
        <f>SUMIF('Balancete 03.2023'!C:C,123984,'Balancete 03.2023'!I:I)</f>
        <v>-7171</v>
      </c>
      <c r="E5" s="249">
        <f>C5+D5</f>
        <v>4321</v>
      </c>
      <c r="F5" s="248">
        <f t="shared" ref="F5:F7" si="0">B17</f>
        <v>4644</v>
      </c>
    </row>
    <row r="6" spans="1:12" x14ac:dyDescent="0.25">
      <c r="A6" s="156" t="s">
        <v>126</v>
      </c>
      <c r="B6" s="201">
        <v>0.1</v>
      </c>
      <c r="C6" s="249">
        <f>SUMIF('Balancete 03.2023'!C:C,12317,'Balancete 03.2023'!I:I)</f>
        <v>2202</v>
      </c>
      <c r="D6" s="249">
        <f>SUMIF('Balancete 03.2023'!C:C,123986,'Balancete 03.2023'!I:I)</f>
        <v>-2006</v>
      </c>
      <c r="E6" s="249">
        <f>C6+D6</f>
        <v>196</v>
      </c>
      <c r="F6" s="248">
        <f t="shared" si="0"/>
        <v>189</v>
      </c>
    </row>
    <row r="7" spans="1:12" x14ac:dyDescent="0.25">
      <c r="A7" s="156" t="s">
        <v>289</v>
      </c>
      <c r="B7" s="148" t="s">
        <v>290</v>
      </c>
      <c r="C7" s="249">
        <v>0</v>
      </c>
      <c r="D7" s="249"/>
      <c r="E7" s="249">
        <f>C7+D7</f>
        <v>0</v>
      </c>
      <c r="F7" s="248">
        <f t="shared" si="0"/>
        <v>0</v>
      </c>
    </row>
    <row r="8" spans="1:12" x14ac:dyDescent="0.25">
      <c r="A8" s="155" t="s">
        <v>53</v>
      </c>
      <c r="B8" s="149"/>
      <c r="C8" s="250">
        <f>SUM(C3:C7)</f>
        <v>16886</v>
      </c>
      <c r="D8" s="251">
        <f>SUM(D3:D7)</f>
        <v>-10437</v>
      </c>
      <c r="E8" s="252">
        <f>SUM(E3:E7)</f>
        <v>6449</v>
      </c>
      <c r="F8" s="250">
        <f>SUM(F3:F7)</f>
        <v>6831</v>
      </c>
    </row>
    <row r="9" spans="1:12" x14ac:dyDescent="0.25">
      <c r="C9" s="253"/>
      <c r="D9" s="253"/>
      <c r="E9" s="253"/>
      <c r="F9" s="253"/>
    </row>
    <row r="10" spans="1:12" x14ac:dyDescent="0.25">
      <c r="C10" s="140">
        <f>-'Mov imob'!F20-'Mov imob'!F20</f>
        <v>856</v>
      </c>
    </row>
    <row r="13" spans="1:12" x14ac:dyDescent="0.25">
      <c r="A13" s="154"/>
      <c r="B13" s="150" t="s">
        <v>1599</v>
      </c>
      <c r="C13" s="769" t="s">
        <v>282</v>
      </c>
      <c r="D13" s="769" t="s">
        <v>1734</v>
      </c>
      <c r="E13" s="768" t="s">
        <v>300</v>
      </c>
      <c r="F13" s="769" t="s">
        <v>285</v>
      </c>
      <c r="G13" s="147" t="s">
        <v>292</v>
      </c>
      <c r="H13" s="147" t="s">
        <v>4597</v>
      </c>
    </row>
    <row r="14" spans="1:12" x14ac:dyDescent="0.25">
      <c r="A14" s="155" t="s">
        <v>281</v>
      </c>
      <c r="B14" s="150" t="s">
        <v>288</v>
      </c>
      <c r="C14" s="769"/>
      <c r="D14" s="769"/>
      <c r="E14" s="768"/>
      <c r="F14" s="769"/>
      <c r="G14" s="147" t="s">
        <v>285</v>
      </c>
      <c r="H14" s="147" t="s">
        <v>288</v>
      </c>
    </row>
    <row r="15" spans="1:12" x14ac:dyDescent="0.25">
      <c r="A15" s="156" t="s">
        <v>123</v>
      </c>
      <c r="B15" s="248">
        <f>SUM(SUMIF('Balancete 03.2023'!C:C,12313,'Balancete 03.2023'!E:E),SUMIF('Balancete 03.2023'!C:C,123982,'Balancete 03.2023'!E:E))</f>
        <v>1921</v>
      </c>
      <c r="C15" s="248">
        <v>0</v>
      </c>
      <c r="D15" s="248">
        <v>0</v>
      </c>
      <c r="E15" s="248">
        <v>0</v>
      </c>
      <c r="F15" s="248">
        <f>'Balancete 03.2023'!H171</f>
        <v>-60</v>
      </c>
      <c r="G15" s="248">
        <v>0</v>
      </c>
      <c r="H15" s="248">
        <f>SUM(B15:G15)</f>
        <v>1861</v>
      </c>
      <c r="J15" s="151"/>
      <c r="L15" s="200"/>
    </row>
    <row r="16" spans="1:12" x14ac:dyDescent="0.25">
      <c r="A16" s="158" t="s">
        <v>124</v>
      </c>
      <c r="B16" s="248">
        <f>SUM(SUMIF('Balancete 03.2023'!C:C,12314,'Balancete 03.2023'!E:E),SUMIF('Balancete 03.2023'!C:C,123983,'Balancete 03.2023'!E:E))</f>
        <v>77</v>
      </c>
      <c r="C16" s="248">
        <f>+'Balancete 03.2023'!F55+'Balancete 03.2023'!G55</f>
        <v>0</v>
      </c>
      <c r="D16" s="248">
        <v>0</v>
      </c>
      <c r="E16" s="248">
        <v>0</v>
      </c>
      <c r="F16" s="248">
        <v>-6</v>
      </c>
      <c r="G16" s="248">
        <v>0</v>
      </c>
      <c r="H16" s="249">
        <f>SUM(B16:G16)</f>
        <v>71</v>
      </c>
      <c r="J16" s="151"/>
      <c r="L16" s="200"/>
    </row>
    <row r="17" spans="1:12" x14ac:dyDescent="0.25">
      <c r="A17" s="158" t="s">
        <v>293</v>
      </c>
      <c r="B17" s="248">
        <f>SUM(SUMIF('Balancete 03.2023'!C:C,12315,'Balancete 03.2023'!E:E),SUMIF('Balancete 03.2023'!C:C,123984,'Balancete 03.2023'!E:E))</f>
        <v>4644</v>
      </c>
      <c r="C17" s="248">
        <f>'Balancete 03.2023'!F161</f>
        <v>30</v>
      </c>
      <c r="D17" s="248">
        <v>0</v>
      </c>
      <c r="E17" s="248">
        <v>0</v>
      </c>
      <c r="F17" s="248">
        <f>'Balancete 03.2023'!H173</f>
        <v>-353</v>
      </c>
      <c r="G17" s="248">
        <v>0</v>
      </c>
      <c r="H17" s="249">
        <f>SUM(B17:G17)</f>
        <v>4321</v>
      </c>
      <c r="J17" s="151"/>
      <c r="L17" s="200"/>
    </row>
    <row r="18" spans="1:12" x14ac:dyDescent="0.25">
      <c r="A18" s="158" t="s">
        <v>294</v>
      </c>
      <c r="B18" s="248">
        <f>SUM(SUMIF('Balancete 03.2023'!C:C,12317,'Balancete 03.2023'!E:E),SUMIF('Balancete 03.2023'!C:C,123986,'Balancete 03.2023'!E:E))-1</f>
        <v>189</v>
      </c>
      <c r="C18" s="248">
        <f>'Balancete 03.2023'!F162</f>
        <v>16</v>
      </c>
      <c r="D18" s="248">
        <v>0</v>
      </c>
      <c r="E18" s="248">
        <v>0</v>
      </c>
      <c r="F18" s="248">
        <v>-9</v>
      </c>
      <c r="G18" s="248">
        <v>0</v>
      </c>
      <c r="H18" s="249">
        <f>SUM(B18:G18)</f>
        <v>196</v>
      </c>
      <c r="J18" s="151"/>
      <c r="L18" s="200"/>
    </row>
    <row r="19" spans="1:12" x14ac:dyDescent="0.25">
      <c r="A19" s="156" t="s">
        <v>289</v>
      </c>
      <c r="B19" s="248">
        <v>0</v>
      </c>
      <c r="C19" s="248">
        <v>0</v>
      </c>
      <c r="D19" s="248">
        <v>0</v>
      </c>
      <c r="E19" s="248">
        <v>0</v>
      </c>
      <c r="F19" s="248">
        <v>0</v>
      </c>
      <c r="G19" s="248">
        <v>0</v>
      </c>
      <c r="H19" s="249">
        <f>SUM(B19:G19)</f>
        <v>0</v>
      </c>
    </row>
    <row r="20" spans="1:12" x14ac:dyDescent="0.25">
      <c r="A20" s="155" t="s">
        <v>53</v>
      </c>
      <c r="B20" s="250">
        <f t="shared" ref="B20:G20" si="1">SUM(B15:B19)</f>
        <v>6831</v>
      </c>
      <c r="C20" s="251">
        <f>SUM(C15:C19)</f>
        <v>46</v>
      </c>
      <c r="D20" s="251">
        <f t="shared" ref="D20:E20" si="2">SUM(D15:D19)</f>
        <v>0</v>
      </c>
      <c r="E20" s="251">
        <f t="shared" si="2"/>
        <v>0</v>
      </c>
      <c r="F20" s="252">
        <f>SUM(F15:F19)</f>
        <v>-428</v>
      </c>
      <c r="G20" s="252">
        <f t="shared" si="1"/>
        <v>0</v>
      </c>
      <c r="H20" s="251">
        <f>SUM(H15:H19)</f>
        <v>6449</v>
      </c>
    </row>
    <row r="21" spans="1:12" x14ac:dyDescent="0.25">
      <c r="B21" s="153"/>
      <c r="C21" s="153"/>
      <c r="D21" s="153"/>
      <c r="E21" s="153"/>
      <c r="F21" s="153"/>
      <c r="G21" s="153"/>
    </row>
    <row r="23" spans="1:12" x14ac:dyDescent="0.25">
      <c r="A23" s="140">
        <v>11</v>
      </c>
    </row>
    <row r="24" spans="1:12" x14ac:dyDescent="0.25">
      <c r="A24" s="202"/>
      <c r="B24" s="770" t="s">
        <v>295</v>
      </c>
      <c r="C24" s="203" t="s">
        <v>284</v>
      </c>
      <c r="D24" s="203" t="s">
        <v>296</v>
      </c>
      <c r="E24" s="203" t="s">
        <v>1599</v>
      </c>
      <c r="F24" s="203" t="s">
        <v>4597</v>
      </c>
      <c r="G24" s="153"/>
    </row>
    <row r="25" spans="1:12" x14ac:dyDescent="0.25">
      <c r="A25" s="204" t="s">
        <v>281</v>
      </c>
      <c r="B25" s="770"/>
      <c r="C25" s="203" t="s">
        <v>286</v>
      </c>
      <c r="D25" s="203" t="s">
        <v>287</v>
      </c>
      <c r="E25" s="203" t="s">
        <v>288</v>
      </c>
      <c r="F25" s="203" t="s">
        <v>288</v>
      </c>
      <c r="G25" s="153"/>
    </row>
    <row r="26" spans="1:12" x14ac:dyDescent="0.25">
      <c r="A26" s="205" t="s">
        <v>132</v>
      </c>
      <c r="B26" s="208">
        <v>0.2</v>
      </c>
      <c r="C26" s="269">
        <f>SUMIF('Balancete 03.2023'!C:C,124101,'Balancete 03.2023'!I:I)</f>
        <v>12791</v>
      </c>
      <c r="D26" s="269">
        <f>SUMIF('Balancete 03.2023'!C:C,1242,'Balancete 03.2023'!I:I)</f>
        <v>-8991</v>
      </c>
      <c r="E26" s="269">
        <f>SUM(C26:D26)</f>
        <v>3800</v>
      </c>
      <c r="F26" s="269">
        <f>B32</f>
        <v>4179</v>
      </c>
      <c r="G26" s="152"/>
    </row>
    <row r="27" spans="1:12" x14ac:dyDescent="0.25">
      <c r="A27" s="206" t="s">
        <v>53</v>
      </c>
      <c r="B27" s="207"/>
      <c r="C27" s="270">
        <f>SUM(C26)</f>
        <v>12791</v>
      </c>
      <c r="D27" s="270">
        <f>SUM(D26)</f>
        <v>-8991</v>
      </c>
      <c r="E27" s="270">
        <f>SUM(E26)</f>
        <v>3800</v>
      </c>
      <c r="F27" s="270">
        <f>SUM(F26)</f>
        <v>4179</v>
      </c>
      <c r="G27" s="157"/>
    </row>
    <row r="28" spans="1:12" x14ac:dyDescent="0.25">
      <c r="A28" s="153"/>
      <c r="B28" s="153"/>
      <c r="C28" s="153"/>
      <c r="D28" s="153"/>
      <c r="E28" s="153"/>
      <c r="F28" s="153"/>
      <c r="G28" s="153"/>
    </row>
    <row r="29" spans="1:12" x14ac:dyDescent="0.25">
      <c r="A29" s="153"/>
      <c r="B29" s="153"/>
      <c r="C29" s="153"/>
      <c r="D29" s="153"/>
      <c r="E29" s="153"/>
      <c r="F29" s="153"/>
      <c r="G29" s="153"/>
    </row>
    <row r="30" spans="1:12" x14ac:dyDescent="0.25">
      <c r="A30" s="202"/>
      <c r="B30" s="203" t="s">
        <v>1599</v>
      </c>
      <c r="C30" s="771" t="s">
        <v>282</v>
      </c>
      <c r="D30" s="770" t="s">
        <v>291</v>
      </c>
      <c r="E30" s="772" t="s">
        <v>296</v>
      </c>
      <c r="F30" s="203" t="s">
        <v>292</v>
      </c>
      <c r="G30" s="203" t="s">
        <v>4597</v>
      </c>
    </row>
    <row r="31" spans="1:12" x14ac:dyDescent="0.25">
      <c r="A31" s="204" t="s">
        <v>281</v>
      </c>
      <c r="B31" s="203" t="s">
        <v>288</v>
      </c>
      <c r="C31" s="771"/>
      <c r="D31" s="770"/>
      <c r="E31" s="772"/>
      <c r="F31" s="203" t="s">
        <v>296</v>
      </c>
      <c r="G31" s="203" t="s">
        <v>288</v>
      </c>
    </row>
    <row r="32" spans="1:12" x14ac:dyDescent="0.25">
      <c r="A32" s="205" t="s">
        <v>132</v>
      </c>
      <c r="B32" s="269">
        <f>SUM(SUMIF('Balancete 03.2023'!C:C,124101,'Balancete 03.2023'!E:E),SUMIF('Balancete 03.2023'!C:C,1242,'Balancete 03.2023'!E:E))</f>
        <v>4179</v>
      </c>
      <c r="C32" s="269">
        <f>'Balancete 03.2023'!F65+'Balancete 03.2023'!G65</f>
        <v>0</v>
      </c>
      <c r="D32" s="269">
        <v>0</v>
      </c>
      <c r="E32" s="269">
        <f>'Balancete 03.2023'!H186</f>
        <v>-379</v>
      </c>
      <c r="F32" s="269" t="s">
        <v>85</v>
      </c>
      <c r="G32" s="269">
        <f>SUM(B32:F32)</f>
        <v>3800</v>
      </c>
    </row>
    <row r="33" spans="1:13" x14ac:dyDescent="0.25">
      <c r="A33" s="206" t="s">
        <v>53</v>
      </c>
      <c r="B33" s="270">
        <f t="shared" ref="B33:E33" si="3">SUM(B32)</f>
        <v>4179</v>
      </c>
      <c r="C33" s="270">
        <f>SUM(C32)</f>
        <v>0</v>
      </c>
      <c r="D33" s="270">
        <f t="shared" si="3"/>
        <v>0</v>
      </c>
      <c r="E33" s="270">
        <f t="shared" si="3"/>
        <v>-379</v>
      </c>
      <c r="F33" s="270">
        <f>SUM(F32)</f>
        <v>0</v>
      </c>
      <c r="G33" s="270">
        <f>SUM(G32)</f>
        <v>3800</v>
      </c>
      <c r="I33" s="140" t="s">
        <v>1771</v>
      </c>
    </row>
    <row r="37" spans="1:13" s="282" customFormat="1" x14ac:dyDescent="0.25">
      <c r="A37" s="289" t="s">
        <v>1235</v>
      </c>
      <c r="B37" s="290">
        <v>44561</v>
      </c>
      <c r="C37" s="289" t="s">
        <v>1232</v>
      </c>
      <c r="D37" s="289" t="s">
        <v>1233</v>
      </c>
      <c r="E37" s="289" t="s">
        <v>1234</v>
      </c>
      <c r="F37" s="290">
        <v>44926</v>
      </c>
    </row>
    <row r="38" spans="1:13" x14ac:dyDescent="0.25">
      <c r="A38" s="153" t="s">
        <v>1230</v>
      </c>
      <c r="B38" s="253">
        <v>2844</v>
      </c>
      <c r="C38" s="253">
        <f>-'Razão Provisões p. Contigências'!H81-'Razão Provisões p. Contigências'!H63-D38</f>
        <v>157</v>
      </c>
      <c r="D38" s="153">
        <f>-'Razão Provisões p. Contigências'!H52-'Razão Provisões p. Contigências'!H70-'Razão Provisões p. Contigências'!H77</f>
        <v>342</v>
      </c>
      <c r="E38" s="153">
        <f>-'Razão Provisões p. Contigências'!G81</f>
        <v>-114</v>
      </c>
      <c r="F38" s="153">
        <f>SUM(B38:E38)</f>
        <v>3229</v>
      </c>
    </row>
    <row r="39" spans="1:13" x14ac:dyDescent="0.25">
      <c r="A39" s="153" t="s">
        <v>1231</v>
      </c>
      <c r="B39" s="253">
        <v>24</v>
      </c>
      <c r="C39" s="153">
        <f>'Razão Provisões p. Contigências'!H96</f>
        <v>23</v>
      </c>
      <c r="D39" s="153">
        <f>-'Razão Provisões p. Contigências'!G96</f>
        <v>-24</v>
      </c>
      <c r="E39" s="153">
        <v>-23</v>
      </c>
      <c r="F39" s="153">
        <f t="shared" ref="F39" si="4">SUM(B39:E39)</f>
        <v>0</v>
      </c>
    </row>
    <row r="40" spans="1:13" x14ac:dyDescent="0.25">
      <c r="A40" s="153" t="s">
        <v>1746</v>
      </c>
      <c r="B40" s="253">
        <v>5888</v>
      </c>
      <c r="C40" s="153">
        <f>-'Razão Provisões p. Contigências'!H111-D40</f>
        <v>791</v>
      </c>
      <c r="D40" s="153">
        <f>-'Razão Provisões p. Contigências'!H107</f>
        <v>5</v>
      </c>
      <c r="E40" s="153">
        <f>-'Razão Provisões p. Contigências'!G110</f>
        <v>-50</v>
      </c>
      <c r="F40" s="153">
        <f>SUM(B40:E40)</f>
        <v>6634</v>
      </c>
    </row>
    <row r="41" spans="1:13" x14ac:dyDescent="0.25">
      <c r="A41" s="153" t="s">
        <v>1747</v>
      </c>
      <c r="B41" s="253">
        <v>0</v>
      </c>
      <c r="C41" s="153">
        <f>-'Razão Provisões p. Contigências'!H115-'Razão Provisões p. Contigências'!H116</f>
        <v>0</v>
      </c>
      <c r="D41" s="153">
        <f>-'Razão Provisões p. Contigências'!H114</f>
        <v>2</v>
      </c>
      <c r="E41" s="153">
        <f>-'Razão Provisões p. Contigências'!G117</f>
        <v>0</v>
      </c>
      <c r="F41" s="153">
        <f>SUM(B41:E41)</f>
        <v>2</v>
      </c>
    </row>
    <row r="42" spans="1:13" x14ac:dyDescent="0.25">
      <c r="A42" s="153"/>
      <c r="B42" s="213">
        <f>SUM(B38:B41)</f>
        <v>8756</v>
      </c>
      <c r="C42" s="213">
        <f>SUM(C38:C41)</f>
        <v>971</v>
      </c>
      <c r="D42" s="213">
        <f>SUM(D38:D41)</f>
        <v>325</v>
      </c>
      <c r="E42" s="213">
        <f>SUM(E38:E41)</f>
        <v>-187</v>
      </c>
      <c r="F42" s="213">
        <f>SUM(F38:F41)</f>
        <v>9865</v>
      </c>
    </row>
    <row r="44" spans="1:13" ht="36.75" customHeight="1" x14ac:dyDescent="0.25"/>
    <row r="45" spans="1:13" ht="30" x14ac:dyDescent="0.25">
      <c r="A45" s="299" t="s">
        <v>1766</v>
      </c>
      <c r="C45" s="301" t="s">
        <v>1767</v>
      </c>
      <c r="E45" s="299" t="s">
        <v>1768</v>
      </c>
      <c r="I45" s="299" t="s">
        <v>1766</v>
      </c>
      <c r="K45" s="301" t="s">
        <v>1767</v>
      </c>
      <c r="M45" s="299" t="s">
        <v>1768</v>
      </c>
    </row>
    <row r="46" spans="1:13" x14ac:dyDescent="0.25">
      <c r="A46" s="140" t="s">
        <v>1769</v>
      </c>
      <c r="C46" s="302">
        <v>195</v>
      </c>
      <c r="E46" s="300">
        <v>45291</v>
      </c>
      <c r="I46" s="140" t="s">
        <v>1769</v>
      </c>
      <c r="K46" s="302">
        <v>195</v>
      </c>
      <c r="M46" s="300">
        <v>45291</v>
      </c>
    </row>
    <row r="50" spans="9:13" ht="33" customHeight="1" x14ac:dyDescent="0.25">
      <c r="I50" s="299" t="s">
        <v>1766</v>
      </c>
      <c r="K50" s="301" t="s">
        <v>1767</v>
      </c>
      <c r="M50" s="299" t="s">
        <v>1768</v>
      </c>
    </row>
    <row r="51" spans="9:13" x14ac:dyDescent="0.25">
      <c r="I51" s="140" t="s">
        <v>1769</v>
      </c>
      <c r="K51" s="302">
        <v>195</v>
      </c>
      <c r="M51" s="300">
        <v>45291</v>
      </c>
    </row>
  </sheetData>
  <mergeCells count="9">
    <mergeCell ref="C30:C31"/>
    <mergeCell ref="D30:D31"/>
    <mergeCell ref="E30:E31"/>
    <mergeCell ref="B1:B2"/>
    <mergeCell ref="C13:C14"/>
    <mergeCell ref="E13:E14"/>
    <mergeCell ref="F13:F14"/>
    <mergeCell ref="B24:B25"/>
    <mergeCell ref="D13:D1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3"/>
  <sheetViews>
    <sheetView topLeftCell="D95" workbookViewId="0">
      <selection activeCell="H102" sqref="H102"/>
    </sheetView>
  </sheetViews>
  <sheetFormatPr defaultRowHeight="15" x14ac:dyDescent="0.25"/>
  <cols>
    <col min="1" max="1" width="18.5703125" customWidth="1"/>
    <col min="2" max="2" width="22.5703125" bestFit="1" customWidth="1"/>
    <col min="3" max="3" width="42.28515625" customWidth="1"/>
    <col min="4" max="4" width="35.7109375" style="214" bestFit="1" customWidth="1"/>
    <col min="5" max="5" width="8.42578125" bestFit="1" customWidth="1"/>
    <col min="6" max="6" width="20.7109375" style="215" bestFit="1" customWidth="1"/>
    <col min="7" max="8" width="11.7109375" bestFit="1" customWidth="1"/>
    <col min="9" max="9" width="13.28515625" bestFit="1" customWidth="1"/>
    <col min="11" max="12" width="21.5703125" bestFit="1" customWidth="1"/>
    <col min="13" max="13" width="17.42578125" bestFit="1" customWidth="1"/>
  </cols>
  <sheetData>
    <row r="1" spans="1:9" x14ac:dyDescent="0.25">
      <c r="A1" t="s">
        <v>1357</v>
      </c>
      <c r="B1" t="s">
        <v>1358</v>
      </c>
      <c r="C1" t="s">
        <v>1359</v>
      </c>
      <c r="D1" s="214" t="s">
        <v>1360</v>
      </c>
      <c r="E1" t="s">
        <v>1361</v>
      </c>
      <c r="F1" s="215" t="s">
        <v>1362</v>
      </c>
      <c r="G1" t="s">
        <v>1363</v>
      </c>
      <c r="H1" t="s">
        <v>1364</v>
      </c>
      <c r="I1" t="s">
        <v>1365</v>
      </c>
    </row>
    <row r="2" spans="1:9" x14ac:dyDescent="0.25">
      <c r="A2" t="s">
        <v>1366</v>
      </c>
    </row>
    <row r="4" spans="1:9" ht="15.75" x14ac:dyDescent="0.25">
      <c r="A4" s="773" t="s">
        <v>1367</v>
      </c>
      <c r="B4" s="773"/>
      <c r="C4" s="773"/>
      <c r="D4" s="216"/>
      <c r="E4" s="217"/>
      <c r="F4" s="218"/>
      <c r="G4" s="217"/>
      <c r="H4" s="217"/>
      <c r="I4" s="217"/>
    </row>
    <row r="5" spans="1:9" x14ac:dyDescent="0.25">
      <c r="A5" s="217" t="s">
        <v>1368</v>
      </c>
      <c r="B5" s="217" t="s">
        <v>1050</v>
      </c>
      <c r="C5" s="217">
        <v>211111</v>
      </c>
      <c r="D5" s="216" t="s">
        <v>872</v>
      </c>
      <c r="E5" s="217" t="s">
        <v>1369</v>
      </c>
      <c r="F5" s="219">
        <v>-2182987.29</v>
      </c>
      <c r="G5" s="217"/>
      <c r="H5" s="217"/>
      <c r="I5" s="217"/>
    </row>
    <row r="6" spans="1:9" s="220" customFormat="1" x14ac:dyDescent="0.25">
      <c r="A6" s="220" t="s">
        <v>1370</v>
      </c>
      <c r="B6" s="220" t="s">
        <v>1371</v>
      </c>
      <c r="C6" s="220" t="s">
        <v>1372</v>
      </c>
      <c r="D6" s="221" t="s">
        <v>1373</v>
      </c>
      <c r="E6" s="220" t="s">
        <v>1374</v>
      </c>
      <c r="F6" s="222" t="s">
        <v>1375</v>
      </c>
      <c r="G6" s="220" t="s">
        <v>1288</v>
      </c>
      <c r="H6" s="220" t="s">
        <v>1289</v>
      </c>
      <c r="I6" s="220" t="s">
        <v>1290</v>
      </c>
    </row>
    <row r="7" spans="1:9" x14ac:dyDescent="0.25">
      <c r="A7" s="223">
        <v>44286</v>
      </c>
      <c r="B7" s="217">
        <v>267303</v>
      </c>
      <c r="C7" s="217" t="s">
        <v>1376</v>
      </c>
      <c r="D7" s="224">
        <v>32021</v>
      </c>
      <c r="E7" s="217"/>
      <c r="F7" s="218" t="s">
        <v>1377</v>
      </c>
      <c r="G7" s="217"/>
      <c r="H7" s="225">
        <v>-28870.17</v>
      </c>
      <c r="I7" s="225">
        <v>-2211857.46</v>
      </c>
    </row>
    <row r="8" spans="1:9" x14ac:dyDescent="0.25">
      <c r="A8" s="223">
        <v>44286</v>
      </c>
      <c r="B8" s="217">
        <v>267304</v>
      </c>
      <c r="C8" s="217" t="s">
        <v>1378</v>
      </c>
      <c r="D8" s="224">
        <v>32021</v>
      </c>
      <c r="E8" s="217"/>
      <c r="F8" s="218" t="s">
        <v>1379</v>
      </c>
      <c r="G8" s="225">
        <v>61731.28</v>
      </c>
      <c r="H8" s="217"/>
      <c r="I8" s="225">
        <v>-2150126.1800000002</v>
      </c>
    </row>
    <row r="9" spans="1:9" x14ac:dyDescent="0.25">
      <c r="A9" s="223">
        <v>44286</v>
      </c>
      <c r="B9" s="217">
        <v>267305</v>
      </c>
      <c r="C9" s="217" t="s">
        <v>1380</v>
      </c>
      <c r="D9" s="224">
        <v>32021</v>
      </c>
      <c r="E9" s="217"/>
      <c r="F9" s="218" t="s">
        <v>1379</v>
      </c>
      <c r="G9" s="225">
        <v>50262.12</v>
      </c>
      <c r="H9" s="217"/>
      <c r="I9" s="225">
        <v>-2099864.06</v>
      </c>
    </row>
    <row r="10" spans="1:9" x14ac:dyDescent="0.25">
      <c r="A10" s="223">
        <v>44377</v>
      </c>
      <c r="B10" s="217">
        <v>268880</v>
      </c>
      <c r="C10" s="217" t="s">
        <v>1381</v>
      </c>
      <c r="D10" s="224">
        <v>62021</v>
      </c>
      <c r="E10" s="217"/>
      <c r="F10" s="218" t="s">
        <v>1377</v>
      </c>
      <c r="G10" s="217"/>
      <c r="H10" s="225">
        <v>-438381.28</v>
      </c>
      <c r="I10" s="225">
        <v>-2538245.34</v>
      </c>
    </row>
    <row r="11" spans="1:9" x14ac:dyDescent="0.25">
      <c r="A11" s="223">
        <v>44408</v>
      </c>
      <c r="B11" s="217">
        <v>269355</v>
      </c>
      <c r="C11" s="217" t="s">
        <v>1382</v>
      </c>
      <c r="D11" s="216" t="s">
        <v>1383</v>
      </c>
      <c r="E11" s="217"/>
      <c r="F11" s="218" t="s">
        <v>1377</v>
      </c>
      <c r="G11" s="217"/>
      <c r="H11" s="225">
        <v>-69597</v>
      </c>
      <c r="I11" s="225">
        <v>-2607842.34</v>
      </c>
    </row>
    <row r="12" spans="1:9" x14ac:dyDescent="0.25">
      <c r="A12" s="223">
        <v>44469</v>
      </c>
      <c r="B12" s="217">
        <v>270365</v>
      </c>
      <c r="C12" s="217" t="s">
        <v>1384</v>
      </c>
      <c r="D12" s="216" t="s">
        <v>1385</v>
      </c>
      <c r="E12" s="217"/>
      <c r="F12" s="218" t="s">
        <v>1386</v>
      </c>
      <c r="G12" s="225">
        <v>57164.68</v>
      </c>
      <c r="H12" s="217"/>
      <c r="I12" s="225">
        <v>-2550677.66</v>
      </c>
    </row>
    <row r="13" spans="1:9" x14ac:dyDescent="0.25">
      <c r="A13" s="223">
        <v>44500</v>
      </c>
      <c r="B13" s="217">
        <v>270883</v>
      </c>
      <c r="C13" s="217" t="s">
        <v>1387</v>
      </c>
      <c r="D13" s="216" t="s">
        <v>1388</v>
      </c>
      <c r="E13" s="217"/>
      <c r="F13" s="218" t="s">
        <v>1377</v>
      </c>
      <c r="G13" s="217"/>
      <c r="H13" s="225">
        <v>-34798.5</v>
      </c>
      <c r="I13" s="225">
        <v>-2585476.16</v>
      </c>
    </row>
    <row r="14" spans="1:9" x14ac:dyDescent="0.25">
      <c r="A14" s="223">
        <v>44530</v>
      </c>
      <c r="B14" s="217">
        <v>271409</v>
      </c>
      <c r="C14" s="217" t="s">
        <v>1389</v>
      </c>
      <c r="D14" s="216" t="s">
        <v>1390</v>
      </c>
      <c r="E14" s="217"/>
      <c r="F14" s="218" t="s">
        <v>1377</v>
      </c>
      <c r="G14" s="217"/>
      <c r="H14" s="225">
        <v>-34798.5</v>
      </c>
      <c r="I14" s="225">
        <v>-2620274.66</v>
      </c>
    </row>
    <row r="15" spans="1:9" x14ac:dyDescent="0.25">
      <c r="A15" s="223">
        <v>44561</v>
      </c>
      <c r="B15" s="217">
        <v>272374</v>
      </c>
      <c r="C15" s="217" t="s">
        <v>1391</v>
      </c>
      <c r="D15" s="216" t="s">
        <v>1392</v>
      </c>
      <c r="E15" s="217"/>
      <c r="F15" s="218" t="s">
        <v>1393</v>
      </c>
      <c r="G15" s="225">
        <v>49184.44</v>
      </c>
      <c r="H15" s="217"/>
      <c r="I15" s="225">
        <v>-2571090.2200000002</v>
      </c>
    </row>
    <row r="16" spans="1:9" s="220" customFormat="1" x14ac:dyDescent="0.25">
      <c r="A16" s="220" t="s">
        <v>1368</v>
      </c>
      <c r="B16" s="220" t="s">
        <v>1059</v>
      </c>
      <c r="C16" s="220">
        <v>22151</v>
      </c>
      <c r="D16" s="221" t="s">
        <v>872</v>
      </c>
      <c r="E16" s="220" t="s">
        <v>1369</v>
      </c>
      <c r="F16" s="226">
        <v>-155994.99</v>
      </c>
    </row>
    <row r="17" spans="1:9" x14ac:dyDescent="0.25">
      <c r="A17" s="223">
        <v>44286</v>
      </c>
      <c r="B17" s="217">
        <v>267304</v>
      </c>
      <c r="C17" s="217" t="s">
        <v>1378</v>
      </c>
      <c r="D17" s="224">
        <v>32021</v>
      </c>
      <c r="E17" s="217"/>
      <c r="F17" s="218" t="s">
        <v>1379</v>
      </c>
      <c r="G17" s="217"/>
      <c r="H17" s="225">
        <v>-61731.28</v>
      </c>
      <c r="I17" s="225">
        <v>-217726.27</v>
      </c>
    </row>
    <row r="18" spans="1:9" x14ac:dyDescent="0.25">
      <c r="A18" s="223">
        <v>44286</v>
      </c>
      <c r="B18" s="217">
        <v>267305</v>
      </c>
      <c r="C18" s="217" t="s">
        <v>1380</v>
      </c>
      <c r="D18" s="224">
        <v>32021</v>
      </c>
      <c r="E18" s="217"/>
      <c r="F18" s="218" t="s">
        <v>1379</v>
      </c>
      <c r="G18" s="217"/>
      <c r="H18" s="225">
        <v>-50262.12</v>
      </c>
      <c r="I18" s="225">
        <v>-267988.39</v>
      </c>
    </row>
    <row r="19" spans="1:9" x14ac:dyDescent="0.25">
      <c r="A19" s="223">
        <v>44286</v>
      </c>
      <c r="B19" s="217">
        <v>267306</v>
      </c>
      <c r="C19" s="217" t="s">
        <v>1376</v>
      </c>
      <c r="D19" s="224">
        <v>32021</v>
      </c>
      <c r="E19" s="217"/>
      <c r="F19" s="218" t="s">
        <v>1377</v>
      </c>
      <c r="G19" s="217"/>
      <c r="H19" s="217">
        <v>-431.35</v>
      </c>
      <c r="I19" s="225">
        <v>-268419.74</v>
      </c>
    </row>
    <row r="20" spans="1:9" x14ac:dyDescent="0.25">
      <c r="A20" s="223">
        <v>44377</v>
      </c>
      <c r="B20" s="217">
        <v>268881</v>
      </c>
      <c r="C20" s="217" t="s">
        <v>1394</v>
      </c>
      <c r="D20" s="224">
        <v>62021</v>
      </c>
      <c r="E20" s="217"/>
      <c r="F20" s="218" t="s">
        <v>1377</v>
      </c>
      <c r="G20" s="217"/>
      <c r="H20" s="225">
        <v>-1228.45</v>
      </c>
      <c r="I20" s="225">
        <v>-269648.19</v>
      </c>
    </row>
    <row r="21" spans="1:9" x14ac:dyDescent="0.25">
      <c r="A21" s="223">
        <v>44408</v>
      </c>
      <c r="B21" s="217">
        <v>269356</v>
      </c>
      <c r="C21" s="217" t="s">
        <v>1382</v>
      </c>
      <c r="D21" s="216" t="s">
        <v>1395</v>
      </c>
      <c r="E21" s="217"/>
      <c r="F21" s="218" t="s">
        <v>1377</v>
      </c>
      <c r="G21" s="217"/>
      <c r="H21" s="225">
        <v>-8602</v>
      </c>
      <c r="I21" s="225">
        <v>-278250.19</v>
      </c>
    </row>
    <row r="22" spans="1:9" x14ac:dyDescent="0.25">
      <c r="A22" s="223">
        <v>44439</v>
      </c>
      <c r="B22" s="217">
        <v>269809</v>
      </c>
      <c r="C22" s="217" t="s">
        <v>1396</v>
      </c>
      <c r="D22" s="216" t="s">
        <v>1397</v>
      </c>
      <c r="E22" s="217"/>
      <c r="F22" s="218" t="s">
        <v>1377</v>
      </c>
      <c r="G22" s="217"/>
      <c r="H22" s="225">
        <v>-8602</v>
      </c>
      <c r="I22" s="225">
        <v>-286852.19</v>
      </c>
    </row>
    <row r="23" spans="1:9" x14ac:dyDescent="0.25">
      <c r="A23" s="223">
        <v>44469</v>
      </c>
      <c r="B23" s="217">
        <v>270366</v>
      </c>
      <c r="C23" s="217" t="s">
        <v>1384</v>
      </c>
      <c r="D23" s="216" t="s">
        <v>1385</v>
      </c>
      <c r="E23" s="217"/>
      <c r="F23" s="218" t="s">
        <v>1386</v>
      </c>
      <c r="G23" s="225">
        <v>15983.26</v>
      </c>
      <c r="H23" s="217"/>
      <c r="I23" s="225">
        <v>-270868.93</v>
      </c>
    </row>
    <row r="24" spans="1:9" x14ac:dyDescent="0.25">
      <c r="A24" s="223">
        <v>44500</v>
      </c>
      <c r="B24" s="217">
        <v>270884</v>
      </c>
      <c r="C24" s="217" t="s">
        <v>1387</v>
      </c>
      <c r="D24" s="216" t="s">
        <v>1388</v>
      </c>
      <c r="E24" s="217"/>
      <c r="F24" s="218" t="s">
        <v>1377</v>
      </c>
      <c r="G24" s="217"/>
      <c r="H24" s="225">
        <v>-8502</v>
      </c>
      <c r="I24" s="225">
        <v>-279370.93</v>
      </c>
    </row>
    <row r="25" spans="1:9" x14ac:dyDescent="0.25">
      <c r="A25" s="223">
        <v>44530</v>
      </c>
      <c r="B25" s="217">
        <v>271410</v>
      </c>
      <c r="C25" s="217" t="s">
        <v>1389</v>
      </c>
      <c r="D25" s="216" t="s">
        <v>1390</v>
      </c>
      <c r="E25" s="217"/>
      <c r="F25" s="218" t="s">
        <v>1377</v>
      </c>
      <c r="G25" s="217"/>
      <c r="H25" s="225">
        <v>-8502</v>
      </c>
      <c r="I25" s="225">
        <v>-287872.93</v>
      </c>
    </row>
    <row r="26" spans="1:9" x14ac:dyDescent="0.25">
      <c r="A26" s="223">
        <v>44561</v>
      </c>
      <c r="B26" s="217">
        <v>272375</v>
      </c>
      <c r="C26" s="217" t="s">
        <v>1398</v>
      </c>
      <c r="D26" s="216" t="s">
        <v>1392</v>
      </c>
      <c r="E26" s="217"/>
      <c r="F26" s="218" t="s">
        <v>1393</v>
      </c>
      <c r="G26" s="225">
        <v>14735.49</v>
      </c>
      <c r="H26" s="217"/>
      <c r="I26" s="225">
        <v>-273137.44</v>
      </c>
    </row>
    <row r="27" spans="1:9" s="220" customFormat="1" x14ac:dyDescent="0.25">
      <c r="A27" s="220" t="s">
        <v>1368</v>
      </c>
      <c r="B27" s="220" t="s">
        <v>1060</v>
      </c>
      <c r="C27" s="220">
        <v>22152</v>
      </c>
      <c r="D27" s="221" t="s">
        <v>188</v>
      </c>
      <c r="E27" s="220" t="s">
        <v>1369</v>
      </c>
      <c r="F27" s="226">
        <v>-148359.63</v>
      </c>
    </row>
    <row r="28" spans="1:9" x14ac:dyDescent="0.25">
      <c r="A28" s="223">
        <v>44286</v>
      </c>
      <c r="B28" s="217">
        <v>267319</v>
      </c>
      <c r="C28" s="217" t="s">
        <v>1399</v>
      </c>
      <c r="D28" s="224">
        <v>32021</v>
      </c>
      <c r="E28" s="217"/>
      <c r="F28" s="218" t="s">
        <v>201</v>
      </c>
      <c r="G28" s="225">
        <v>115063.05</v>
      </c>
      <c r="H28" s="217"/>
      <c r="I28" s="225">
        <v>-33296.58</v>
      </c>
    </row>
    <row r="29" spans="1:9" x14ac:dyDescent="0.25">
      <c r="A29" s="223">
        <v>44286</v>
      </c>
      <c r="B29" s="217">
        <v>267320</v>
      </c>
      <c r="C29" s="217" t="s">
        <v>1399</v>
      </c>
      <c r="D29" s="224">
        <v>32021</v>
      </c>
      <c r="E29" s="217"/>
      <c r="F29" s="218" t="s">
        <v>1386</v>
      </c>
      <c r="G29" s="225">
        <v>8868.7900000000009</v>
      </c>
      <c r="H29" s="217"/>
      <c r="I29" s="225">
        <v>-24427.79</v>
      </c>
    </row>
    <row r="30" spans="1:9" x14ac:dyDescent="0.25">
      <c r="A30" s="223">
        <v>44286</v>
      </c>
      <c r="B30" s="217">
        <v>267321</v>
      </c>
      <c r="C30" s="217" t="s">
        <v>1400</v>
      </c>
      <c r="D30" s="224">
        <v>32021</v>
      </c>
      <c r="E30" s="217"/>
      <c r="F30" s="218" t="s">
        <v>1377</v>
      </c>
      <c r="G30" s="217"/>
      <c r="H30" s="217">
        <v>-180.57</v>
      </c>
      <c r="I30" s="225">
        <v>-24608.36</v>
      </c>
    </row>
    <row r="31" spans="1:9" x14ac:dyDescent="0.25">
      <c r="A31" s="223">
        <v>44377</v>
      </c>
      <c r="B31" s="217">
        <v>268873</v>
      </c>
      <c r="C31" s="217" t="s">
        <v>1401</v>
      </c>
      <c r="D31" s="224">
        <v>62021</v>
      </c>
      <c r="E31" s="217"/>
      <c r="F31" s="218" t="s">
        <v>1379</v>
      </c>
      <c r="G31" s="225">
        <v>1047.82</v>
      </c>
      <c r="H31" s="217"/>
      <c r="I31" s="225">
        <v>-23560.54</v>
      </c>
    </row>
    <row r="32" spans="1:9" x14ac:dyDescent="0.25">
      <c r="A32" s="223">
        <v>44377</v>
      </c>
      <c r="B32" s="217">
        <v>268879</v>
      </c>
      <c r="C32" s="217" t="s">
        <v>1402</v>
      </c>
      <c r="D32" s="224">
        <v>62021</v>
      </c>
      <c r="E32" s="217"/>
      <c r="F32" s="218" t="s">
        <v>1377</v>
      </c>
      <c r="G32" s="217"/>
      <c r="H32" s="217">
        <v>-103.52</v>
      </c>
      <c r="I32" s="225">
        <v>-23664.06</v>
      </c>
    </row>
    <row r="33" spans="1:13" x14ac:dyDescent="0.25">
      <c r="A33" s="223">
        <v>44469</v>
      </c>
      <c r="B33" s="217">
        <v>270368</v>
      </c>
      <c r="C33" s="217" t="s">
        <v>1403</v>
      </c>
      <c r="D33" s="216" t="s">
        <v>1385</v>
      </c>
      <c r="E33" s="217"/>
      <c r="F33" s="218" t="s">
        <v>1377</v>
      </c>
      <c r="G33" s="217"/>
      <c r="H33" s="217">
        <v>-115.91</v>
      </c>
      <c r="I33" s="225">
        <v>-23779.97</v>
      </c>
    </row>
    <row r="34" spans="1:13" x14ac:dyDescent="0.25">
      <c r="A34" s="223">
        <v>44500</v>
      </c>
      <c r="B34" s="217">
        <v>270885</v>
      </c>
      <c r="C34" s="217" t="s">
        <v>1387</v>
      </c>
      <c r="D34" s="216" t="s">
        <v>1388</v>
      </c>
      <c r="E34" s="217"/>
      <c r="F34" s="218" t="s">
        <v>1377</v>
      </c>
      <c r="G34" s="217"/>
      <c r="H34" s="217">
        <v>-38.64</v>
      </c>
      <c r="I34" s="225">
        <v>-23818.61</v>
      </c>
    </row>
    <row r="35" spans="1:13" x14ac:dyDescent="0.25">
      <c r="A35" s="223">
        <v>44530</v>
      </c>
      <c r="B35" s="217">
        <v>271411</v>
      </c>
      <c r="C35" s="217" t="s">
        <v>1389</v>
      </c>
      <c r="D35" s="216" t="s">
        <v>1390</v>
      </c>
      <c r="E35" s="217"/>
      <c r="F35" s="218" t="s">
        <v>1377</v>
      </c>
      <c r="G35" s="217"/>
      <c r="H35" s="217">
        <v>-38.64</v>
      </c>
      <c r="I35" s="225">
        <v>-23857.25</v>
      </c>
    </row>
    <row r="36" spans="1:13" x14ac:dyDescent="0.25">
      <c r="A36" s="223">
        <v>44561</v>
      </c>
      <c r="B36" s="217">
        <v>272376</v>
      </c>
      <c r="C36" s="217" t="s">
        <v>1404</v>
      </c>
      <c r="D36" s="216" t="s">
        <v>1392</v>
      </c>
      <c r="E36" s="217"/>
      <c r="F36" s="218" t="s">
        <v>1377</v>
      </c>
      <c r="G36" s="217"/>
      <c r="H36" s="217">
        <v>-113.03</v>
      </c>
      <c r="I36" s="225">
        <v>-23970.28</v>
      </c>
    </row>
    <row r="37" spans="1:13" s="220" customFormat="1" x14ac:dyDescent="0.25">
      <c r="A37" s="220" t="s">
        <v>1368</v>
      </c>
      <c r="B37" s="220" t="s">
        <v>1061</v>
      </c>
      <c r="C37" s="220">
        <v>22153</v>
      </c>
      <c r="D37" s="221" t="s">
        <v>873</v>
      </c>
      <c r="E37" s="220" t="s">
        <v>1369</v>
      </c>
      <c r="F37" s="226">
        <v>-5230966.7699999996</v>
      </c>
    </row>
    <row r="38" spans="1:13" x14ac:dyDescent="0.25">
      <c r="A38" s="223">
        <v>44286</v>
      </c>
      <c r="B38" s="217">
        <v>267286</v>
      </c>
      <c r="C38" s="217" t="s">
        <v>1405</v>
      </c>
      <c r="D38" s="224">
        <v>32021</v>
      </c>
      <c r="E38" s="217"/>
      <c r="F38" s="218" t="s">
        <v>1377</v>
      </c>
      <c r="G38" s="217"/>
      <c r="H38" s="225">
        <v>-128435.73</v>
      </c>
      <c r="I38" s="225">
        <v>-5359402.5</v>
      </c>
    </row>
    <row r="39" spans="1:13" x14ac:dyDescent="0.25">
      <c r="A39" s="223">
        <v>44377</v>
      </c>
      <c r="B39" s="217">
        <v>268875</v>
      </c>
      <c r="C39" s="217" t="s">
        <v>1406</v>
      </c>
      <c r="D39" s="224">
        <v>62021</v>
      </c>
      <c r="E39" s="217"/>
      <c r="F39" s="218" t="s">
        <v>1377</v>
      </c>
      <c r="G39" s="217"/>
      <c r="H39" s="225">
        <v>-78738.27</v>
      </c>
      <c r="I39" s="225">
        <v>-5438140.7699999996</v>
      </c>
    </row>
    <row r="40" spans="1:13" x14ac:dyDescent="0.25">
      <c r="A40" s="223">
        <v>44408</v>
      </c>
      <c r="B40" s="217">
        <v>269357</v>
      </c>
      <c r="C40" s="217" t="s">
        <v>1382</v>
      </c>
      <c r="D40" s="216" t="s">
        <v>1395</v>
      </c>
      <c r="E40" s="217"/>
      <c r="F40" s="218" t="s">
        <v>1377</v>
      </c>
      <c r="G40" s="217"/>
      <c r="H40" s="225">
        <v>-34529</v>
      </c>
      <c r="I40" s="225">
        <v>-5472669.7699999996</v>
      </c>
    </row>
    <row r="41" spans="1:13" x14ac:dyDescent="0.25">
      <c r="A41" s="223">
        <v>44439</v>
      </c>
      <c r="B41" s="217">
        <v>269810</v>
      </c>
      <c r="C41" s="217" t="s">
        <v>1407</v>
      </c>
      <c r="D41" s="216" t="s">
        <v>1397</v>
      </c>
      <c r="E41" s="217"/>
      <c r="F41" s="218" t="s">
        <v>1377</v>
      </c>
      <c r="G41" s="217"/>
      <c r="H41" s="225">
        <v>-34529</v>
      </c>
      <c r="I41" s="225">
        <v>-5507198.7699999996</v>
      </c>
    </row>
    <row r="42" spans="1:13" x14ac:dyDescent="0.25">
      <c r="A42" s="223">
        <v>44469</v>
      </c>
      <c r="B42" s="217">
        <v>270364</v>
      </c>
      <c r="C42" s="217" t="s">
        <v>1408</v>
      </c>
      <c r="D42" s="216" t="s">
        <v>1385</v>
      </c>
      <c r="E42" s="217"/>
      <c r="F42" s="218" t="s">
        <v>1377</v>
      </c>
      <c r="G42" s="217"/>
      <c r="H42" s="217">
        <v>-618.29</v>
      </c>
      <c r="I42" s="225">
        <v>-5507817.0599999996</v>
      </c>
    </row>
    <row r="43" spans="1:13" x14ac:dyDescent="0.25">
      <c r="A43" s="223">
        <v>44500</v>
      </c>
      <c r="B43" s="217">
        <v>270886</v>
      </c>
      <c r="C43" s="217" t="s">
        <v>1387</v>
      </c>
      <c r="D43" s="216" t="s">
        <v>1388</v>
      </c>
      <c r="E43" s="217"/>
      <c r="F43" s="218" t="s">
        <v>1377</v>
      </c>
      <c r="G43" s="217"/>
      <c r="H43" s="225">
        <v>-34529</v>
      </c>
      <c r="I43" s="225">
        <v>-5542346.0599999996</v>
      </c>
    </row>
    <row r="44" spans="1:13" x14ac:dyDescent="0.25">
      <c r="A44" s="223">
        <v>44530</v>
      </c>
      <c r="B44" s="217">
        <v>271412</v>
      </c>
      <c r="C44" s="217" t="s">
        <v>1389</v>
      </c>
      <c r="D44" s="216" t="s">
        <v>1390</v>
      </c>
      <c r="E44" s="217"/>
      <c r="F44" s="218" t="s">
        <v>1377</v>
      </c>
      <c r="G44" s="217"/>
      <c r="H44" s="225">
        <v>-34529</v>
      </c>
      <c r="I44" s="225">
        <v>-5576875.0599999996</v>
      </c>
    </row>
    <row r="45" spans="1:13" x14ac:dyDescent="0.25">
      <c r="A45" s="223">
        <v>44561</v>
      </c>
      <c r="B45" s="217">
        <v>272377</v>
      </c>
      <c r="C45" s="217" t="s">
        <v>1409</v>
      </c>
      <c r="D45" s="216" t="s">
        <v>1392</v>
      </c>
      <c r="E45" s="217"/>
      <c r="F45" s="218" t="s">
        <v>1377</v>
      </c>
      <c r="G45" s="217"/>
      <c r="H45" s="225">
        <v>-311358.14</v>
      </c>
      <c r="I45" s="225">
        <v>-5888233.2000000002</v>
      </c>
    </row>
    <row r="48" spans="1:13" ht="15.75" x14ac:dyDescent="0.25">
      <c r="A48" s="773" t="s">
        <v>1735</v>
      </c>
      <c r="B48" s="773"/>
      <c r="C48" s="773"/>
      <c r="D48" s="216"/>
      <c r="E48" s="217"/>
      <c r="F48" s="218"/>
      <c r="G48" s="217"/>
      <c r="H48" s="217"/>
      <c r="I48" s="217"/>
      <c r="K48" s="228" t="s">
        <v>1752</v>
      </c>
      <c r="L48" s="228" t="s">
        <v>1750</v>
      </c>
      <c r="M48" s="228" t="s">
        <v>1751</v>
      </c>
    </row>
    <row r="49" spans="1:13" x14ac:dyDescent="0.25">
      <c r="A49" s="220" t="s">
        <v>1368</v>
      </c>
      <c r="B49" s="220" t="s">
        <v>1050</v>
      </c>
      <c r="C49" s="220" t="s">
        <v>1411</v>
      </c>
      <c r="D49" s="221"/>
      <c r="E49" s="220" t="s">
        <v>1369</v>
      </c>
      <c r="F49" s="222">
        <v>-2571090.2200000002</v>
      </c>
      <c r="G49" s="220"/>
      <c r="H49" s="220"/>
      <c r="I49" s="220"/>
      <c r="K49">
        <f>F49/1000</f>
        <v>-2571.09022</v>
      </c>
      <c r="L49">
        <f>ROUND(K49,0)</f>
        <v>-2571</v>
      </c>
    </row>
    <row r="50" spans="1:13" x14ac:dyDescent="0.25">
      <c r="A50" s="283">
        <v>44592</v>
      </c>
      <c r="B50">
        <v>273388</v>
      </c>
      <c r="C50" t="s">
        <v>1412</v>
      </c>
      <c r="D50" t="s">
        <v>1413</v>
      </c>
      <c r="F50" t="s">
        <v>1377</v>
      </c>
      <c r="G50" s="260"/>
      <c r="H50" s="260">
        <v>-7</v>
      </c>
      <c r="I50" s="260">
        <v>-2577894.41</v>
      </c>
      <c r="K50" s="260">
        <v>-6804.19</v>
      </c>
      <c r="L50">
        <f>K50/1000</f>
        <v>-6.8041899999999993</v>
      </c>
      <c r="M50">
        <f>ROUND(L50,0)</f>
        <v>-7</v>
      </c>
    </row>
    <row r="51" spans="1:13" x14ac:dyDescent="0.25">
      <c r="A51" s="283">
        <v>44620</v>
      </c>
      <c r="B51">
        <v>274594</v>
      </c>
      <c r="C51" t="s">
        <v>1414</v>
      </c>
      <c r="D51" s="288">
        <v>22022</v>
      </c>
      <c r="F51" t="s">
        <v>1377</v>
      </c>
      <c r="G51" s="260"/>
      <c r="H51" s="260">
        <v>-7</v>
      </c>
      <c r="I51" s="260">
        <v>-2584698.6</v>
      </c>
      <c r="K51" s="260">
        <v>-6804.19</v>
      </c>
      <c r="L51">
        <f t="shared" ref="L51:L62" si="0">K51/1000</f>
        <v>-6.8041899999999993</v>
      </c>
      <c r="M51">
        <f t="shared" ref="M51:M62" si="1">ROUND(L51,0)</f>
        <v>-7</v>
      </c>
    </row>
    <row r="52" spans="1:13" x14ac:dyDescent="0.25">
      <c r="A52" s="283">
        <v>44651</v>
      </c>
      <c r="B52">
        <v>277760</v>
      </c>
      <c r="C52" t="s">
        <v>1415</v>
      </c>
      <c r="D52" t="s">
        <v>1416</v>
      </c>
      <c r="F52" t="s">
        <v>1379</v>
      </c>
      <c r="G52" s="260"/>
      <c r="H52" s="260">
        <v>-114</v>
      </c>
      <c r="I52" s="260">
        <v>-2698628.85</v>
      </c>
      <c r="K52" s="260">
        <v>-113930.25</v>
      </c>
      <c r="L52">
        <f t="shared" si="0"/>
        <v>-113.93025</v>
      </c>
      <c r="M52">
        <f t="shared" si="1"/>
        <v>-114</v>
      </c>
    </row>
    <row r="53" spans="1:13" x14ac:dyDescent="0.25">
      <c r="A53" s="283">
        <v>44651</v>
      </c>
      <c r="B53">
        <v>277762</v>
      </c>
      <c r="C53" t="s">
        <v>1417</v>
      </c>
      <c r="D53" t="s">
        <v>1416</v>
      </c>
      <c r="F53" t="s">
        <v>1377</v>
      </c>
      <c r="G53" s="260"/>
      <c r="H53" s="260">
        <v>-15</v>
      </c>
      <c r="I53" s="260">
        <v>-2713578.37</v>
      </c>
      <c r="K53" s="260">
        <v>-14949.52</v>
      </c>
      <c r="L53">
        <f t="shared" si="0"/>
        <v>-14.94952</v>
      </c>
      <c r="M53">
        <f t="shared" si="1"/>
        <v>-15</v>
      </c>
    </row>
    <row r="54" spans="1:13" x14ac:dyDescent="0.25">
      <c r="A54" s="283">
        <v>44681</v>
      </c>
      <c r="B54">
        <v>278218</v>
      </c>
      <c r="C54" t="s">
        <v>1417</v>
      </c>
      <c r="D54" t="s">
        <v>1418</v>
      </c>
      <c r="F54" t="s">
        <v>1377</v>
      </c>
      <c r="G54" s="260"/>
      <c r="H54" s="260">
        <v>-4</v>
      </c>
      <c r="I54" s="260">
        <v>-2718114.5</v>
      </c>
      <c r="K54" s="260">
        <v>-4536.13</v>
      </c>
      <c r="L54">
        <f t="shared" si="0"/>
        <v>-4.53613</v>
      </c>
      <c r="M54">
        <f t="shared" si="1"/>
        <v>-5</v>
      </c>
    </row>
    <row r="55" spans="1:13" x14ac:dyDescent="0.25">
      <c r="A55" s="283">
        <v>44712</v>
      </c>
      <c r="B55">
        <v>278891</v>
      </c>
      <c r="C55" t="s">
        <v>1419</v>
      </c>
      <c r="D55" t="s">
        <v>1420</v>
      </c>
      <c r="F55" t="s">
        <v>1377</v>
      </c>
      <c r="G55" s="260"/>
      <c r="H55" s="260">
        <v>-4</v>
      </c>
      <c r="I55" s="260">
        <v>-2722650.63</v>
      </c>
      <c r="K55" s="260">
        <v>-4536.13</v>
      </c>
      <c r="L55">
        <f t="shared" si="0"/>
        <v>-4.53613</v>
      </c>
      <c r="M55">
        <f t="shared" si="1"/>
        <v>-5</v>
      </c>
    </row>
    <row r="56" spans="1:13" x14ac:dyDescent="0.25">
      <c r="A56" s="283">
        <v>44742</v>
      </c>
      <c r="B56">
        <v>279718</v>
      </c>
      <c r="C56" t="s">
        <v>1419</v>
      </c>
      <c r="D56" t="s">
        <v>1421</v>
      </c>
      <c r="F56" t="s">
        <v>1377</v>
      </c>
      <c r="G56" s="260"/>
      <c r="H56" s="260">
        <v>-27</v>
      </c>
      <c r="I56" s="260">
        <v>-2749900.19</v>
      </c>
      <c r="K56" s="260">
        <v>-27249.56</v>
      </c>
      <c r="L56">
        <f t="shared" si="0"/>
        <v>-27.249560000000002</v>
      </c>
      <c r="M56">
        <f t="shared" si="1"/>
        <v>-27</v>
      </c>
    </row>
    <row r="57" spans="1:13" x14ac:dyDescent="0.25">
      <c r="A57" s="283">
        <v>44773</v>
      </c>
      <c r="B57">
        <v>280339</v>
      </c>
      <c r="C57" t="s">
        <v>1422</v>
      </c>
      <c r="D57" t="s">
        <v>1423</v>
      </c>
      <c r="F57" t="s">
        <v>1377</v>
      </c>
      <c r="G57" s="260"/>
      <c r="H57" s="260">
        <v>-9</v>
      </c>
      <c r="I57" s="260">
        <v>-2758983.38</v>
      </c>
      <c r="K57" s="260">
        <v>-9083.19</v>
      </c>
      <c r="L57">
        <f t="shared" si="0"/>
        <v>-9.0831900000000001</v>
      </c>
      <c r="M57">
        <f t="shared" si="1"/>
        <v>-9</v>
      </c>
    </row>
    <row r="58" spans="1:13" x14ac:dyDescent="0.25">
      <c r="A58" s="283">
        <v>44804</v>
      </c>
      <c r="B58">
        <v>281099</v>
      </c>
      <c r="C58" t="s">
        <v>1422</v>
      </c>
      <c r="D58" t="s">
        <v>1424</v>
      </c>
      <c r="F58" t="s">
        <v>1377</v>
      </c>
      <c r="G58" s="260"/>
      <c r="H58" s="260">
        <v>-9</v>
      </c>
      <c r="I58" s="260">
        <v>-2768066.57</v>
      </c>
      <c r="K58" s="260">
        <v>-9083.19</v>
      </c>
      <c r="L58">
        <f t="shared" si="0"/>
        <v>-9.0831900000000001</v>
      </c>
      <c r="M58">
        <f t="shared" si="1"/>
        <v>-9</v>
      </c>
    </row>
    <row r="59" spans="1:13" x14ac:dyDescent="0.25">
      <c r="A59" s="283">
        <v>44834</v>
      </c>
      <c r="B59">
        <v>282527</v>
      </c>
      <c r="C59" t="s">
        <v>1425</v>
      </c>
      <c r="D59" t="s">
        <v>1426</v>
      </c>
      <c r="F59" t="s">
        <v>1377</v>
      </c>
      <c r="G59" s="260"/>
      <c r="H59" s="260">
        <v>-21</v>
      </c>
      <c r="I59" s="260">
        <v>-2788699.36</v>
      </c>
      <c r="K59" s="260">
        <v>-20632.79</v>
      </c>
      <c r="L59">
        <f t="shared" si="0"/>
        <v>-20.63279</v>
      </c>
      <c r="M59">
        <f t="shared" si="1"/>
        <v>-21</v>
      </c>
    </row>
    <row r="60" spans="1:13" x14ac:dyDescent="0.25">
      <c r="A60" s="283">
        <v>44865</v>
      </c>
      <c r="B60">
        <v>283278</v>
      </c>
      <c r="C60" t="s">
        <v>1736</v>
      </c>
      <c r="D60" t="s">
        <v>1601</v>
      </c>
      <c r="F60" t="s">
        <v>1377</v>
      </c>
      <c r="G60" s="260"/>
      <c r="H60" s="260">
        <v>-13</v>
      </c>
      <c r="I60" s="260">
        <v>-2801632.42</v>
      </c>
      <c r="K60" s="260">
        <v>-12933.06</v>
      </c>
      <c r="L60">
        <f t="shared" si="0"/>
        <v>-12.933059999999999</v>
      </c>
      <c r="M60">
        <f t="shared" si="1"/>
        <v>-13</v>
      </c>
    </row>
    <row r="61" spans="1:13" x14ac:dyDescent="0.25">
      <c r="A61" s="283">
        <v>44895</v>
      </c>
      <c r="B61">
        <v>283831</v>
      </c>
      <c r="C61" t="s">
        <v>1736</v>
      </c>
      <c r="D61" t="s">
        <v>1603</v>
      </c>
      <c r="F61" t="s">
        <v>1377</v>
      </c>
      <c r="G61" s="260"/>
      <c r="H61" s="260">
        <v>-13</v>
      </c>
      <c r="I61" s="260">
        <v>-2814565.48</v>
      </c>
      <c r="K61" s="260">
        <v>-12933.06</v>
      </c>
      <c r="L61">
        <f t="shared" si="0"/>
        <v>-12.933059999999999</v>
      </c>
      <c r="M61">
        <f t="shared" si="1"/>
        <v>-13</v>
      </c>
    </row>
    <row r="62" spans="1:13" x14ac:dyDescent="0.25">
      <c r="A62" s="283">
        <v>44926</v>
      </c>
      <c r="B62">
        <v>285880</v>
      </c>
      <c r="C62" t="s">
        <v>1737</v>
      </c>
      <c r="D62" t="s">
        <v>1605</v>
      </c>
      <c r="F62" t="s">
        <v>1377</v>
      </c>
      <c r="G62" s="260"/>
      <c r="H62" s="260">
        <v>-10</v>
      </c>
      <c r="I62" s="260">
        <v>-2825115.32</v>
      </c>
      <c r="K62" s="260">
        <v>-10549.84</v>
      </c>
      <c r="L62">
        <f t="shared" si="0"/>
        <v>-10.54984</v>
      </c>
      <c r="M62">
        <f t="shared" si="1"/>
        <v>-11</v>
      </c>
    </row>
    <row r="63" spans="1:13" x14ac:dyDescent="0.25">
      <c r="A63" s="283"/>
      <c r="D63"/>
      <c r="F63"/>
      <c r="G63" s="260"/>
      <c r="H63" s="262">
        <f>SUM(H50:H62)</f>
        <v>-253</v>
      </c>
      <c r="I63" s="260"/>
      <c r="K63" s="260"/>
    </row>
    <row r="64" spans="1:13" s="117" customFormat="1" x14ac:dyDescent="0.25">
      <c r="A64" s="244"/>
      <c r="D64" s="245"/>
      <c r="F64" s="246"/>
      <c r="G64" s="209"/>
      <c r="H64" s="284"/>
      <c r="I64" s="209"/>
    </row>
    <row r="65" spans="1:13" x14ac:dyDescent="0.25">
      <c r="A65" s="220" t="s">
        <v>1368</v>
      </c>
      <c r="B65" s="220" t="s">
        <v>1059</v>
      </c>
      <c r="C65" s="220" t="s">
        <v>1427</v>
      </c>
      <c r="D65" s="221"/>
      <c r="E65" s="220" t="s">
        <v>1369</v>
      </c>
      <c r="F65" s="226">
        <v>-273137.44</v>
      </c>
      <c r="G65" s="220"/>
      <c r="H65" s="220"/>
      <c r="I65" s="220"/>
      <c r="K65">
        <f>F65/1000</f>
        <v>-273.13744000000003</v>
      </c>
      <c r="L65">
        <f>ROUND(K65,0)</f>
        <v>-273</v>
      </c>
    </row>
    <row r="66" spans="1:13" x14ac:dyDescent="0.25">
      <c r="A66" s="283">
        <v>44592</v>
      </c>
      <c r="B66">
        <v>273389</v>
      </c>
      <c r="C66" t="s">
        <v>1412</v>
      </c>
      <c r="D66" t="s">
        <v>1413</v>
      </c>
      <c r="F66" t="s">
        <v>1377</v>
      </c>
      <c r="G66" s="140"/>
      <c r="H66" s="140">
        <v>-1</v>
      </c>
      <c r="I66" s="260">
        <v>-273893.61</v>
      </c>
      <c r="K66" s="260">
        <v>-756.17</v>
      </c>
      <c r="L66">
        <f>K66/1000</f>
        <v>-0.75617000000000001</v>
      </c>
      <c r="M66">
        <f>ROUND(L66,0)</f>
        <v>-1</v>
      </c>
    </row>
    <row r="67" spans="1:13" x14ac:dyDescent="0.25">
      <c r="A67" s="283">
        <v>44620</v>
      </c>
      <c r="B67">
        <v>274595</v>
      </c>
      <c r="C67" t="s">
        <v>1414</v>
      </c>
      <c r="D67" s="288">
        <v>22022</v>
      </c>
      <c r="F67" t="s">
        <v>1377</v>
      </c>
      <c r="G67" s="140"/>
      <c r="H67" s="140">
        <v>-1</v>
      </c>
      <c r="I67" s="260">
        <v>-274649.78000000003</v>
      </c>
      <c r="K67" s="260">
        <v>-756.17</v>
      </c>
      <c r="L67">
        <f t="shared" ref="L67:L80" si="2">K67/1000</f>
        <v>-0.75617000000000001</v>
      </c>
      <c r="M67">
        <f t="shared" ref="M67:M80" si="3">ROUND(L67,0)</f>
        <v>-1</v>
      </c>
    </row>
    <row r="68" spans="1:13" x14ac:dyDescent="0.25">
      <c r="A68" s="283">
        <v>44651</v>
      </c>
      <c r="B68">
        <v>277760</v>
      </c>
      <c r="C68" t="s">
        <v>1415</v>
      </c>
      <c r="D68" t="s">
        <v>1416</v>
      </c>
      <c r="F68" s="260" t="s">
        <v>1379</v>
      </c>
      <c r="G68" s="140">
        <v>114</v>
      </c>
      <c r="H68" s="140"/>
      <c r="I68" s="260">
        <v>-160719.53</v>
      </c>
      <c r="K68" s="260">
        <v>113930.25</v>
      </c>
      <c r="L68">
        <f t="shared" si="2"/>
        <v>113.93025</v>
      </c>
      <c r="M68">
        <f t="shared" si="3"/>
        <v>114</v>
      </c>
    </row>
    <row r="69" spans="1:13" x14ac:dyDescent="0.25">
      <c r="A69" s="283">
        <v>44651</v>
      </c>
      <c r="B69">
        <v>277761</v>
      </c>
      <c r="C69" t="s">
        <v>1428</v>
      </c>
      <c r="D69" t="s">
        <v>1416</v>
      </c>
      <c r="F69" t="s">
        <v>1377</v>
      </c>
      <c r="G69" s="140"/>
      <c r="H69" s="140">
        <v>0</v>
      </c>
      <c r="I69" s="260">
        <v>-160900.5</v>
      </c>
      <c r="K69" s="260">
        <v>-180.97</v>
      </c>
      <c r="L69">
        <f t="shared" si="2"/>
        <v>-0.18096999999999999</v>
      </c>
      <c r="M69">
        <f t="shared" si="3"/>
        <v>0</v>
      </c>
    </row>
    <row r="70" spans="1:13" x14ac:dyDescent="0.25">
      <c r="A70" s="283">
        <v>44651</v>
      </c>
      <c r="B70">
        <v>278508</v>
      </c>
      <c r="C70" t="s">
        <v>1429</v>
      </c>
      <c r="D70" t="s">
        <v>1416</v>
      </c>
      <c r="F70" t="s">
        <v>1430</v>
      </c>
      <c r="G70" s="140"/>
      <c r="H70" s="140">
        <v>-178</v>
      </c>
      <c r="I70" s="260">
        <v>-339413.16</v>
      </c>
      <c r="K70" s="260">
        <v>-178512.66</v>
      </c>
      <c r="L70">
        <f t="shared" si="2"/>
        <v>-178.51266000000001</v>
      </c>
      <c r="M70">
        <f t="shared" si="3"/>
        <v>-179</v>
      </c>
    </row>
    <row r="71" spans="1:13" x14ac:dyDescent="0.25">
      <c r="A71" s="283">
        <v>44681</v>
      </c>
      <c r="B71">
        <v>278217</v>
      </c>
      <c r="C71" t="s">
        <v>1431</v>
      </c>
      <c r="D71" t="s">
        <v>1418</v>
      </c>
      <c r="F71" t="s">
        <v>1377</v>
      </c>
      <c r="G71" s="140"/>
      <c r="H71" s="140">
        <v>-1</v>
      </c>
      <c r="I71" s="260">
        <v>-339917.27</v>
      </c>
      <c r="K71" s="260">
        <v>-504.11</v>
      </c>
      <c r="L71">
        <f t="shared" si="2"/>
        <v>-0.50411000000000006</v>
      </c>
      <c r="M71">
        <f t="shared" si="3"/>
        <v>-1</v>
      </c>
    </row>
    <row r="72" spans="1:13" x14ac:dyDescent="0.25">
      <c r="A72" s="283">
        <v>44712</v>
      </c>
      <c r="B72">
        <v>278892</v>
      </c>
      <c r="C72" t="s">
        <v>1432</v>
      </c>
      <c r="D72" t="s">
        <v>1420</v>
      </c>
      <c r="F72" t="s">
        <v>1377</v>
      </c>
      <c r="G72" s="140"/>
      <c r="H72" s="140">
        <v>-1</v>
      </c>
      <c r="I72" s="260">
        <v>-340421.38</v>
      </c>
      <c r="K72" s="260">
        <v>-504.11</v>
      </c>
      <c r="L72">
        <f t="shared" si="2"/>
        <v>-0.50411000000000006</v>
      </c>
      <c r="M72">
        <f t="shared" si="3"/>
        <v>-1</v>
      </c>
    </row>
    <row r="73" spans="1:13" x14ac:dyDescent="0.25">
      <c r="A73" s="283">
        <v>44742</v>
      </c>
      <c r="B73">
        <v>279719</v>
      </c>
      <c r="C73" t="s">
        <v>1432</v>
      </c>
      <c r="D73" t="s">
        <v>1421</v>
      </c>
      <c r="F73" t="s">
        <v>1377</v>
      </c>
      <c r="G73" s="140"/>
      <c r="H73" s="140">
        <v>-3</v>
      </c>
      <c r="I73" s="260">
        <v>-343576.43</v>
      </c>
      <c r="K73" s="260">
        <v>-3155.05</v>
      </c>
      <c r="L73">
        <f t="shared" si="2"/>
        <v>-3.1550500000000001</v>
      </c>
      <c r="M73">
        <f t="shared" si="3"/>
        <v>-3</v>
      </c>
    </row>
    <row r="74" spans="1:13" x14ac:dyDescent="0.25">
      <c r="A74" s="283">
        <v>44773</v>
      </c>
      <c r="B74">
        <v>280340</v>
      </c>
      <c r="C74" t="s">
        <v>1433</v>
      </c>
      <c r="D74" t="s">
        <v>1423</v>
      </c>
      <c r="F74" t="s">
        <v>1377</v>
      </c>
      <c r="G74" s="140"/>
      <c r="H74" s="140">
        <v>-1</v>
      </c>
      <c r="I74" s="260">
        <v>-344628.11</v>
      </c>
      <c r="K74" s="260">
        <v>-1051.68</v>
      </c>
      <c r="L74">
        <f t="shared" si="2"/>
        <v>-1.0516800000000002</v>
      </c>
      <c r="M74">
        <f t="shared" si="3"/>
        <v>-1</v>
      </c>
    </row>
    <row r="75" spans="1:13" x14ac:dyDescent="0.25">
      <c r="A75" s="283">
        <v>44804</v>
      </c>
      <c r="B75">
        <v>281100</v>
      </c>
      <c r="C75" t="s">
        <v>1433</v>
      </c>
      <c r="D75" t="s">
        <v>1424</v>
      </c>
      <c r="F75" t="s">
        <v>1377</v>
      </c>
      <c r="G75" s="140"/>
      <c r="H75" s="140">
        <v>-1</v>
      </c>
      <c r="I75" s="260">
        <v>-345679.79</v>
      </c>
      <c r="K75" s="260">
        <v>-1051.68</v>
      </c>
      <c r="L75">
        <f t="shared" si="2"/>
        <v>-1.0516800000000002</v>
      </c>
      <c r="M75">
        <f t="shared" si="3"/>
        <v>-1</v>
      </c>
    </row>
    <row r="76" spans="1:13" x14ac:dyDescent="0.25">
      <c r="A76" s="283">
        <v>44834</v>
      </c>
      <c r="B76">
        <v>282528</v>
      </c>
      <c r="C76" t="s">
        <v>1425</v>
      </c>
      <c r="D76" t="s">
        <v>1426</v>
      </c>
      <c r="F76" t="s">
        <v>1377</v>
      </c>
      <c r="G76" s="140"/>
      <c r="H76" s="140">
        <v>-3</v>
      </c>
      <c r="I76" s="260">
        <v>-348424.05</v>
      </c>
      <c r="K76" s="260">
        <v>-2744.26</v>
      </c>
      <c r="L76">
        <f t="shared" si="2"/>
        <v>-2.7442600000000001</v>
      </c>
      <c r="M76">
        <f t="shared" si="3"/>
        <v>-3</v>
      </c>
    </row>
    <row r="77" spans="1:13" x14ac:dyDescent="0.25">
      <c r="A77" s="283">
        <v>44834</v>
      </c>
      <c r="B77">
        <v>282648</v>
      </c>
      <c r="C77" t="s">
        <v>1434</v>
      </c>
      <c r="D77" t="s">
        <v>1426</v>
      </c>
      <c r="F77" t="s">
        <v>1430</v>
      </c>
      <c r="G77" s="140"/>
      <c r="H77" s="140">
        <v>-50</v>
      </c>
      <c r="I77" s="260">
        <v>-398795.1</v>
      </c>
      <c r="K77" s="260">
        <v>-50371.05</v>
      </c>
      <c r="L77">
        <f t="shared" si="2"/>
        <v>-50.371050000000004</v>
      </c>
      <c r="M77">
        <f t="shared" si="3"/>
        <v>-50</v>
      </c>
    </row>
    <row r="78" spans="1:13" x14ac:dyDescent="0.25">
      <c r="A78" s="283">
        <v>44865</v>
      </c>
      <c r="B78">
        <v>283279</v>
      </c>
      <c r="C78" t="s">
        <v>1738</v>
      </c>
      <c r="D78" t="s">
        <v>1601</v>
      </c>
      <c r="F78" t="s">
        <v>1377</v>
      </c>
      <c r="G78" s="140"/>
      <c r="H78" s="140">
        <v>-2</v>
      </c>
      <c r="I78" s="260">
        <v>-400410.97</v>
      </c>
      <c r="K78" s="260">
        <v>-1615.87</v>
      </c>
      <c r="L78">
        <f t="shared" si="2"/>
        <v>-1.6158699999999999</v>
      </c>
      <c r="M78">
        <f t="shared" si="3"/>
        <v>-2</v>
      </c>
    </row>
    <row r="79" spans="1:13" x14ac:dyDescent="0.25">
      <c r="A79" s="283">
        <v>44895</v>
      </c>
      <c r="B79">
        <v>283832</v>
      </c>
      <c r="C79" t="s">
        <v>1738</v>
      </c>
      <c r="D79" t="s">
        <v>1603</v>
      </c>
      <c r="F79" t="s">
        <v>1377</v>
      </c>
      <c r="G79" s="140"/>
      <c r="H79" s="140">
        <v>-2</v>
      </c>
      <c r="I79" s="260">
        <v>-402026.84</v>
      </c>
      <c r="K79" s="260">
        <v>-1615.87</v>
      </c>
      <c r="L79">
        <f t="shared" si="2"/>
        <v>-1.6158699999999999</v>
      </c>
      <c r="M79">
        <f t="shared" si="3"/>
        <v>-2</v>
      </c>
    </row>
    <row r="80" spans="1:13" x14ac:dyDescent="0.25">
      <c r="A80" s="283">
        <v>44926</v>
      </c>
      <c r="B80">
        <v>285881</v>
      </c>
      <c r="C80" t="s">
        <v>1739</v>
      </c>
      <c r="D80" t="s">
        <v>1605</v>
      </c>
      <c r="F80" t="s">
        <v>1377</v>
      </c>
      <c r="G80" s="140"/>
      <c r="H80" s="140">
        <v>-2</v>
      </c>
      <c r="I80" s="260">
        <v>-404002.73</v>
      </c>
      <c r="K80" s="260">
        <v>-1975.89</v>
      </c>
      <c r="L80">
        <f t="shared" si="2"/>
        <v>-1.9758900000000001</v>
      </c>
      <c r="M80">
        <f t="shared" si="3"/>
        <v>-2</v>
      </c>
    </row>
    <row r="81" spans="1:12" x14ac:dyDescent="0.25">
      <c r="A81" s="283"/>
      <c r="D81"/>
      <c r="F81"/>
      <c r="G81" s="140">
        <f>SUM(G68:G80)</f>
        <v>114</v>
      </c>
      <c r="H81" s="140">
        <f>SUM(H66:H80)</f>
        <v>-246</v>
      </c>
      <c r="I81" s="260"/>
      <c r="K81" s="260"/>
    </row>
    <row r="82" spans="1:12" x14ac:dyDescent="0.25">
      <c r="A82" s="283"/>
      <c r="D82"/>
      <c r="F82"/>
      <c r="G82" s="260"/>
      <c r="H82" s="260"/>
      <c r="I82" s="260"/>
    </row>
    <row r="83" spans="1:12" x14ac:dyDescent="0.25">
      <c r="A83" s="220" t="s">
        <v>1368</v>
      </c>
      <c r="B83" s="220" t="s">
        <v>1060</v>
      </c>
      <c r="C83" s="220" t="s">
        <v>1742</v>
      </c>
      <c r="D83" s="221"/>
      <c r="E83" s="220" t="s">
        <v>1369</v>
      </c>
      <c r="F83" s="226">
        <v>-23970.28</v>
      </c>
      <c r="G83" s="220"/>
      <c r="H83" s="220"/>
      <c r="I83" s="220"/>
    </row>
    <row r="84" spans="1:12" x14ac:dyDescent="0.25">
      <c r="A84" s="223">
        <v>44592</v>
      </c>
      <c r="B84" s="217">
        <v>273390</v>
      </c>
      <c r="C84" s="217" t="s">
        <v>1435</v>
      </c>
      <c r="D84" s="224" t="s">
        <v>1413</v>
      </c>
      <c r="E84" s="217"/>
      <c r="F84" s="218" t="s">
        <v>1377</v>
      </c>
      <c r="G84" s="285">
        <v>0</v>
      </c>
      <c r="H84" s="285">
        <v>0</v>
      </c>
      <c r="I84" s="225">
        <v>-24033.72</v>
      </c>
      <c r="K84" s="287">
        <f>H84/1000</f>
        <v>0</v>
      </c>
      <c r="L84" s="287">
        <f>ROUND(K84,0)</f>
        <v>0</v>
      </c>
    </row>
    <row r="85" spans="1:12" x14ac:dyDescent="0.25">
      <c r="A85" s="223">
        <v>44620</v>
      </c>
      <c r="B85" s="217">
        <v>274596</v>
      </c>
      <c r="C85" s="217" t="s">
        <v>1436</v>
      </c>
      <c r="D85" s="224">
        <v>22022</v>
      </c>
      <c r="E85" s="217"/>
      <c r="F85" s="218" t="s">
        <v>1377</v>
      </c>
      <c r="G85" s="285">
        <v>0</v>
      </c>
      <c r="H85" s="285">
        <v>0</v>
      </c>
      <c r="I85" s="225">
        <v>-24097.15</v>
      </c>
      <c r="K85" s="287">
        <f t="shared" ref="K85" si="4">H85/1000</f>
        <v>0</v>
      </c>
      <c r="L85" s="287">
        <f t="shared" ref="L85:L95" si="5">ROUND(K85,0)</f>
        <v>0</v>
      </c>
    </row>
    <row r="86" spans="1:12" x14ac:dyDescent="0.25">
      <c r="A86" s="223">
        <v>44651</v>
      </c>
      <c r="B86" s="217">
        <v>277763</v>
      </c>
      <c r="C86" s="217" t="s">
        <v>1437</v>
      </c>
      <c r="D86" s="224" t="s">
        <v>1416</v>
      </c>
      <c r="E86" s="217"/>
      <c r="F86" s="218" t="s">
        <v>201</v>
      </c>
      <c r="G86" s="285">
        <v>23</v>
      </c>
      <c r="H86" s="285">
        <v>23</v>
      </c>
      <c r="I86" s="225">
        <v>-1151.6099999999999</v>
      </c>
      <c r="K86" s="287">
        <f>G86/1000</f>
        <v>2.3E-2</v>
      </c>
      <c r="L86" s="287">
        <f t="shared" si="5"/>
        <v>0</v>
      </c>
    </row>
    <row r="87" spans="1:12" x14ac:dyDescent="0.25">
      <c r="A87" s="223">
        <v>44681</v>
      </c>
      <c r="B87" s="217">
        <v>278219</v>
      </c>
      <c r="C87" s="217" t="s">
        <v>1438</v>
      </c>
      <c r="D87" s="216" t="s">
        <v>1418</v>
      </c>
      <c r="E87" s="217"/>
      <c r="F87" s="218" t="s">
        <v>1377</v>
      </c>
      <c r="G87" s="285">
        <v>0</v>
      </c>
      <c r="H87" s="285">
        <v>0</v>
      </c>
      <c r="I87" s="225">
        <v>-1193.9000000000001</v>
      </c>
      <c r="K87" s="287">
        <f t="shared" ref="K87:K95" si="6">G87/1000</f>
        <v>0</v>
      </c>
      <c r="L87" s="287">
        <f t="shared" si="5"/>
        <v>0</v>
      </c>
    </row>
    <row r="88" spans="1:12" x14ac:dyDescent="0.25">
      <c r="A88" s="223">
        <v>44712</v>
      </c>
      <c r="B88" s="217">
        <v>278893</v>
      </c>
      <c r="C88" s="217" t="s">
        <v>1439</v>
      </c>
      <c r="D88" s="216" t="s">
        <v>1420</v>
      </c>
      <c r="E88" s="217"/>
      <c r="F88" s="218" t="s">
        <v>1377</v>
      </c>
      <c r="G88" s="285">
        <v>0</v>
      </c>
      <c r="H88" s="285">
        <v>0</v>
      </c>
      <c r="I88" s="225">
        <v>-1236.19</v>
      </c>
      <c r="K88" s="287">
        <f t="shared" si="6"/>
        <v>0</v>
      </c>
      <c r="L88" s="287">
        <f t="shared" si="5"/>
        <v>0</v>
      </c>
    </row>
    <row r="89" spans="1:12" x14ac:dyDescent="0.25">
      <c r="A89" s="223">
        <v>44742</v>
      </c>
      <c r="B89" s="217">
        <v>279720</v>
      </c>
      <c r="C89" s="217" t="s">
        <v>1440</v>
      </c>
      <c r="D89" s="216" t="s">
        <v>1421</v>
      </c>
      <c r="E89" s="217"/>
      <c r="F89" s="218" t="s">
        <v>1377</v>
      </c>
      <c r="G89" s="285">
        <v>0</v>
      </c>
      <c r="H89" s="285">
        <v>0</v>
      </c>
      <c r="I89" s="225">
        <v>-1165.74</v>
      </c>
      <c r="K89" s="287">
        <f t="shared" si="6"/>
        <v>0</v>
      </c>
      <c r="L89" s="287">
        <f t="shared" si="5"/>
        <v>0</v>
      </c>
    </row>
    <row r="90" spans="1:12" x14ac:dyDescent="0.25">
      <c r="A90" s="223">
        <v>44773</v>
      </c>
      <c r="B90" s="217">
        <v>280392</v>
      </c>
      <c r="C90" s="217" t="s">
        <v>1441</v>
      </c>
      <c r="D90" s="216" t="s">
        <v>1423</v>
      </c>
      <c r="E90" s="217"/>
      <c r="F90" s="218" t="s">
        <v>1377</v>
      </c>
      <c r="G90" s="285">
        <v>0</v>
      </c>
      <c r="H90" s="285">
        <v>0</v>
      </c>
      <c r="I90" s="225">
        <v>-1189.22</v>
      </c>
      <c r="K90" s="287">
        <f t="shared" si="6"/>
        <v>0</v>
      </c>
      <c r="L90" s="287">
        <f t="shared" si="5"/>
        <v>0</v>
      </c>
    </row>
    <row r="91" spans="1:12" x14ac:dyDescent="0.25">
      <c r="A91" s="223">
        <v>44804</v>
      </c>
      <c r="B91" s="217">
        <v>281101</v>
      </c>
      <c r="C91" s="217" t="s">
        <v>1442</v>
      </c>
      <c r="D91" s="216" t="s">
        <v>1424</v>
      </c>
      <c r="E91" s="217"/>
      <c r="F91" s="218" t="s">
        <v>1377</v>
      </c>
      <c r="G91" s="285">
        <v>0</v>
      </c>
      <c r="H91" s="285">
        <v>0</v>
      </c>
      <c r="I91" s="225">
        <v>-1212.7</v>
      </c>
      <c r="K91" s="287">
        <f t="shared" si="6"/>
        <v>0</v>
      </c>
      <c r="L91" s="287">
        <f t="shared" si="5"/>
        <v>0</v>
      </c>
    </row>
    <row r="92" spans="1:12" x14ac:dyDescent="0.25">
      <c r="A92" s="223">
        <v>44834</v>
      </c>
      <c r="B92" s="217">
        <v>282529</v>
      </c>
      <c r="C92" s="217" t="s">
        <v>1443</v>
      </c>
      <c r="D92" s="224" t="s">
        <v>1426</v>
      </c>
      <c r="E92" s="217"/>
      <c r="F92" s="218" t="s">
        <v>201</v>
      </c>
      <c r="G92" s="285">
        <v>0</v>
      </c>
      <c r="H92" s="285">
        <v>0</v>
      </c>
      <c r="I92" s="225">
        <v>-1182.19</v>
      </c>
      <c r="K92" s="287">
        <f t="shared" si="6"/>
        <v>0</v>
      </c>
      <c r="L92" s="287">
        <f t="shared" si="5"/>
        <v>0</v>
      </c>
    </row>
    <row r="93" spans="1:12" x14ac:dyDescent="0.25">
      <c r="A93" s="223">
        <v>44865</v>
      </c>
      <c r="B93" s="217">
        <v>283526</v>
      </c>
      <c r="C93" s="217" t="s">
        <v>1740</v>
      </c>
      <c r="D93" s="224" t="s">
        <v>1601</v>
      </c>
      <c r="E93" s="217"/>
      <c r="F93" s="218" t="s">
        <v>1377</v>
      </c>
      <c r="G93" s="285">
        <v>0</v>
      </c>
      <c r="H93" s="285">
        <v>0</v>
      </c>
      <c r="I93" s="225">
        <v>-1187.67</v>
      </c>
      <c r="K93" s="287">
        <f t="shared" si="6"/>
        <v>0</v>
      </c>
      <c r="L93" s="287">
        <f t="shared" si="5"/>
        <v>0</v>
      </c>
    </row>
    <row r="94" spans="1:12" x14ac:dyDescent="0.25">
      <c r="A94" s="223">
        <v>44895</v>
      </c>
      <c r="B94" s="217">
        <v>283833</v>
      </c>
      <c r="C94" s="217" t="s">
        <v>1740</v>
      </c>
      <c r="D94" s="224" t="s">
        <v>1603</v>
      </c>
      <c r="E94" s="217"/>
      <c r="F94" s="218" t="s">
        <v>1377</v>
      </c>
      <c r="G94" s="285">
        <v>0</v>
      </c>
      <c r="H94" s="285">
        <v>0</v>
      </c>
      <c r="I94" s="225">
        <v>-1193.1500000000001</v>
      </c>
      <c r="K94" s="287">
        <f t="shared" si="6"/>
        <v>0</v>
      </c>
      <c r="L94" s="287">
        <f t="shared" si="5"/>
        <v>0</v>
      </c>
    </row>
    <row r="95" spans="1:12" x14ac:dyDescent="0.25">
      <c r="A95" s="223">
        <v>44926</v>
      </c>
      <c r="B95" s="217">
        <v>285882</v>
      </c>
      <c r="C95" s="217" t="s">
        <v>1741</v>
      </c>
      <c r="D95" s="224" t="s">
        <v>1605</v>
      </c>
      <c r="E95" s="217"/>
      <c r="F95" s="218" t="s">
        <v>201</v>
      </c>
      <c r="G95" s="285">
        <v>1</v>
      </c>
      <c r="H95" s="285"/>
      <c r="I95" s="225">
        <v>0</v>
      </c>
      <c r="K95" s="287">
        <f t="shared" si="6"/>
        <v>1E-3</v>
      </c>
      <c r="L95" s="287">
        <f t="shared" si="5"/>
        <v>0</v>
      </c>
    </row>
    <row r="96" spans="1:12" x14ac:dyDescent="0.25">
      <c r="A96" s="223"/>
      <c r="B96" s="217"/>
      <c r="C96" s="217"/>
      <c r="D96" s="224"/>
      <c r="E96" s="217"/>
      <c r="F96" s="218"/>
      <c r="G96" s="286">
        <f>SUM(G84:G95)</f>
        <v>24</v>
      </c>
      <c r="H96" s="286">
        <f>SUM(H84:H95)</f>
        <v>23</v>
      </c>
      <c r="I96" s="225"/>
    </row>
    <row r="97" spans="1:13" x14ac:dyDescent="0.25">
      <c r="A97" s="283"/>
      <c r="D97"/>
      <c r="F97" s="260"/>
      <c r="G97" s="260"/>
    </row>
    <row r="98" spans="1:13" x14ac:dyDescent="0.25">
      <c r="A98" s="220" t="s">
        <v>1368</v>
      </c>
      <c r="B98" s="220" t="s">
        <v>1061</v>
      </c>
      <c r="C98" s="220" t="s">
        <v>1743</v>
      </c>
      <c r="D98" s="221"/>
      <c r="E98" s="220" t="s">
        <v>1369</v>
      </c>
      <c r="F98" s="226">
        <v>-5888233.2000000002</v>
      </c>
      <c r="G98" s="220"/>
      <c r="H98" s="220"/>
      <c r="I98" s="220"/>
    </row>
    <row r="99" spans="1:13" x14ac:dyDescent="0.25">
      <c r="A99" s="283">
        <v>44592</v>
      </c>
      <c r="B99">
        <v>273391</v>
      </c>
      <c r="C99" t="s">
        <v>1444</v>
      </c>
      <c r="D99" t="s">
        <v>1413</v>
      </c>
      <c r="F99" t="s">
        <v>1377</v>
      </c>
      <c r="G99" s="260"/>
      <c r="H99" s="260">
        <v>-127</v>
      </c>
      <c r="I99" s="260">
        <v>-6015038.5800000001</v>
      </c>
      <c r="K99" s="260">
        <v>-126805.38</v>
      </c>
      <c r="L99">
        <f>K99/1000</f>
        <v>-126.80538</v>
      </c>
      <c r="M99">
        <f>ROUND(L99,0)</f>
        <v>-127</v>
      </c>
    </row>
    <row r="100" spans="1:13" x14ac:dyDescent="0.25">
      <c r="A100" s="283">
        <v>44620</v>
      </c>
      <c r="B100">
        <v>274597</v>
      </c>
      <c r="C100" t="s">
        <v>1445</v>
      </c>
      <c r="D100" s="288">
        <v>22022</v>
      </c>
      <c r="F100" t="s">
        <v>1377</v>
      </c>
      <c r="G100" s="260"/>
      <c r="H100" s="260">
        <v>-127</v>
      </c>
      <c r="I100" s="260">
        <v>-6141843.96</v>
      </c>
      <c r="K100" s="260">
        <v>-126805.38</v>
      </c>
      <c r="L100">
        <f t="shared" ref="L100:L110" si="7">K100/1000</f>
        <v>-126.80538</v>
      </c>
      <c r="M100">
        <f t="shared" ref="M100:M110" si="8">ROUND(L100,0)</f>
        <v>-127</v>
      </c>
    </row>
    <row r="101" spans="1:13" x14ac:dyDescent="0.25">
      <c r="A101" s="283">
        <v>44681</v>
      </c>
      <c r="B101">
        <v>278520</v>
      </c>
      <c r="C101" t="s">
        <v>1446</v>
      </c>
      <c r="D101" t="s">
        <v>1418</v>
      </c>
      <c r="F101" t="s">
        <v>1377</v>
      </c>
      <c r="G101" s="260"/>
      <c r="H101" s="260">
        <v>-85</v>
      </c>
      <c r="I101" s="260">
        <v>-6226380.8799999999</v>
      </c>
      <c r="K101" s="260">
        <v>-84536.92</v>
      </c>
      <c r="L101">
        <f t="shared" si="7"/>
        <v>-84.536919999999995</v>
      </c>
      <c r="M101">
        <f t="shared" si="8"/>
        <v>-85</v>
      </c>
    </row>
    <row r="102" spans="1:13" x14ac:dyDescent="0.25">
      <c r="A102" s="283">
        <v>44712</v>
      </c>
      <c r="B102">
        <v>278894</v>
      </c>
      <c r="C102" t="s">
        <v>1447</v>
      </c>
      <c r="D102" t="s">
        <v>1420</v>
      </c>
      <c r="F102" t="s">
        <v>1377</v>
      </c>
      <c r="G102" s="260"/>
      <c r="H102" s="260">
        <v>-85</v>
      </c>
      <c r="I102" s="260">
        <v>-6310917.7999999998</v>
      </c>
      <c r="K102" s="260">
        <v>-84536.92</v>
      </c>
      <c r="L102">
        <f t="shared" si="7"/>
        <v>-84.536919999999995</v>
      </c>
      <c r="M102">
        <f t="shared" si="8"/>
        <v>-85</v>
      </c>
    </row>
    <row r="103" spans="1:13" x14ac:dyDescent="0.25">
      <c r="A103" s="283">
        <v>44742</v>
      </c>
      <c r="B103">
        <v>279721</v>
      </c>
      <c r="C103" t="s">
        <v>1448</v>
      </c>
      <c r="D103" t="s">
        <v>1421</v>
      </c>
      <c r="F103" t="s">
        <v>1377</v>
      </c>
      <c r="G103" s="260"/>
      <c r="H103" s="260">
        <v>-108</v>
      </c>
      <c r="I103" s="260">
        <v>-6419189.2800000003</v>
      </c>
      <c r="K103" s="260">
        <v>-108271.48</v>
      </c>
      <c r="L103">
        <f t="shared" si="7"/>
        <v>-108.27148</v>
      </c>
      <c r="M103">
        <f t="shared" si="8"/>
        <v>-108</v>
      </c>
    </row>
    <row r="104" spans="1:13" x14ac:dyDescent="0.25">
      <c r="A104" s="283">
        <v>44773</v>
      </c>
      <c r="B104">
        <v>280341</v>
      </c>
      <c r="C104" t="s">
        <v>1449</v>
      </c>
      <c r="D104" t="s">
        <v>1423</v>
      </c>
      <c r="F104" t="s">
        <v>1377</v>
      </c>
      <c r="G104" s="260"/>
      <c r="H104" s="260">
        <v>-36</v>
      </c>
      <c r="I104" s="260">
        <v>-6455279.7699999996</v>
      </c>
      <c r="K104" s="260">
        <v>-36090.49</v>
      </c>
      <c r="L104">
        <f t="shared" si="7"/>
        <v>-36.090489999999996</v>
      </c>
      <c r="M104">
        <f t="shared" si="8"/>
        <v>-36</v>
      </c>
    </row>
    <row r="105" spans="1:13" x14ac:dyDescent="0.25">
      <c r="A105" s="283">
        <v>44804</v>
      </c>
      <c r="B105">
        <v>281102</v>
      </c>
      <c r="C105" t="s">
        <v>1449</v>
      </c>
      <c r="D105" t="s">
        <v>1424</v>
      </c>
      <c r="F105" t="s">
        <v>1377</v>
      </c>
      <c r="G105" s="260"/>
      <c r="H105" s="260">
        <v>-36</v>
      </c>
      <c r="I105" s="260">
        <v>-6491370.2599999998</v>
      </c>
      <c r="K105" s="260">
        <v>-36090.49</v>
      </c>
      <c r="L105">
        <f t="shared" si="7"/>
        <v>-36.090489999999996</v>
      </c>
      <c r="M105">
        <f t="shared" si="8"/>
        <v>-36</v>
      </c>
    </row>
    <row r="106" spans="1:13" x14ac:dyDescent="0.25">
      <c r="A106" s="283">
        <v>44834</v>
      </c>
      <c r="B106">
        <v>282530</v>
      </c>
      <c r="C106" t="s">
        <v>1425</v>
      </c>
      <c r="D106" t="s">
        <v>1426</v>
      </c>
      <c r="F106" t="s">
        <v>1377</v>
      </c>
      <c r="G106" s="260"/>
      <c r="H106" s="260">
        <v>-83</v>
      </c>
      <c r="I106" s="260">
        <v>-6574486.2999999998</v>
      </c>
      <c r="K106" s="260">
        <v>-83116.039999999994</v>
      </c>
      <c r="L106">
        <f t="shared" si="7"/>
        <v>-83.116039999999998</v>
      </c>
      <c r="M106">
        <f t="shared" si="8"/>
        <v>-83</v>
      </c>
    </row>
    <row r="107" spans="1:13" x14ac:dyDescent="0.25">
      <c r="A107" s="283">
        <v>44834</v>
      </c>
      <c r="B107">
        <v>282646</v>
      </c>
      <c r="C107" t="s">
        <v>1450</v>
      </c>
      <c r="D107" t="s">
        <v>1426</v>
      </c>
      <c r="F107" t="s">
        <v>1430</v>
      </c>
      <c r="G107" s="260"/>
      <c r="H107" s="260">
        <v>-5</v>
      </c>
      <c r="I107" s="260">
        <v>-6579553.6600000001</v>
      </c>
      <c r="K107" s="260">
        <v>-5067.3599999999997</v>
      </c>
      <c r="L107">
        <f t="shared" si="7"/>
        <v>-5.0673599999999999</v>
      </c>
      <c r="M107">
        <f t="shared" si="8"/>
        <v>-5</v>
      </c>
    </row>
    <row r="108" spans="1:13" x14ac:dyDescent="0.25">
      <c r="A108" s="283">
        <v>44865</v>
      </c>
      <c r="B108">
        <v>283280</v>
      </c>
      <c r="C108" t="s">
        <v>1748</v>
      </c>
      <c r="D108" t="s">
        <v>1601</v>
      </c>
      <c r="F108" t="s">
        <v>1377</v>
      </c>
      <c r="G108" s="260"/>
      <c r="H108" s="260">
        <v>-52</v>
      </c>
      <c r="I108" s="260">
        <v>-6631319.3300000001</v>
      </c>
      <c r="K108" s="260">
        <v>-51765.67</v>
      </c>
      <c r="L108">
        <f t="shared" si="7"/>
        <v>-51.76567</v>
      </c>
      <c r="M108">
        <f t="shared" si="8"/>
        <v>-52</v>
      </c>
    </row>
    <row r="109" spans="1:13" x14ac:dyDescent="0.25">
      <c r="A109" s="283">
        <v>44895</v>
      </c>
      <c r="B109">
        <v>283834</v>
      </c>
      <c r="C109" t="s">
        <v>1748</v>
      </c>
      <c r="D109" t="s">
        <v>1603</v>
      </c>
      <c r="F109" t="s">
        <v>1377</v>
      </c>
      <c r="G109" s="260"/>
      <c r="H109" s="260">
        <v>-52</v>
      </c>
      <c r="I109" s="260">
        <v>-6683085</v>
      </c>
      <c r="K109" s="260">
        <v>-51765.67</v>
      </c>
      <c r="L109">
        <f t="shared" si="7"/>
        <v>-51.76567</v>
      </c>
      <c r="M109">
        <f t="shared" si="8"/>
        <v>-52</v>
      </c>
    </row>
    <row r="110" spans="1:13" x14ac:dyDescent="0.25">
      <c r="A110" s="283">
        <v>44926</v>
      </c>
      <c r="B110">
        <v>285883</v>
      </c>
      <c r="C110" t="s">
        <v>1749</v>
      </c>
      <c r="D110" t="s">
        <v>1605</v>
      </c>
      <c r="F110" s="260" t="s">
        <v>886</v>
      </c>
      <c r="G110" s="260">
        <v>50</v>
      </c>
      <c r="I110" s="260">
        <v>-6633425.5300000003</v>
      </c>
      <c r="K110" s="260">
        <v>49659.47</v>
      </c>
      <c r="L110">
        <f t="shared" si="7"/>
        <v>49.659469999999999</v>
      </c>
      <c r="M110">
        <f t="shared" si="8"/>
        <v>50</v>
      </c>
    </row>
    <row r="111" spans="1:13" x14ac:dyDescent="0.25">
      <c r="A111" s="283"/>
      <c r="D111"/>
      <c r="F111" s="260"/>
      <c r="G111" s="262">
        <f>SUM(G99:G110)</f>
        <v>50</v>
      </c>
      <c r="H111" s="262">
        <f>SUM(H99:H110)</f>
        <v>-796</v>
      </c>
      <c r="I111" s="260"/>
      <c r="K111" s="260"/>
    </row>
    <row r="112" spans="1:13" s="117" customFormat="1" x14ac:dyDescent="0.25">
      <c r="A112" s="244"/>
      <c r="D112" s="245"/>
      <c r="F112" s="246"/>
      <c r="H112" s="209"/>
      <c r="I112" s="209"/>
    </row>
    <row r="113" spans="1:12" x14ac:dyDescent="0.25">
      <c r="A113" s="220" t="s">
        <v>1368</v>
      </c>
      <c r="B113" s="220" t="s">
        <v>1281</v>
      </c>
      <c r="C113" s="220">
        <v>22154</v>
      </c>
      <c r="D113" s="221" t="s">
        <v>1282</v>
      </c>
      <c r="E113" s="220" t="s">
        <v>1369</v>
      </c>
      <c r="F113" s="226">
        <v>0</v>
      </c>
      <c r="G113" s="220"/>
      <c r="H113" s="220"/>
      <c r="I113" s="220"/>
    </row>
    <row r="114" spans="1:12" x14ac:dyDescent="0.25">
      <c r="A114" s="223">
        <v>44834</v>
      </c>
      <c r="B114" s="217">
        <v>282645</v>
      </c>
      <c r="C114" s="217" t="s">
        <v>1451</v>
      </c>
      <c r="D114" s="216" t="s">
        <v>1426</v>
      </c>
      <c r="E114" s="217"/>
      <c r="F114" s="218" t="s">
        <v>1430</v>
      </c>
      <c r="G114" s="285"/>
      <c r="H114" s="285">
        <v>-2</v>
      </c>
      <c r="I114" s="225">
        <v>-2346.3000000000002</v>
      </c>
      <c r="K114" s="287">
        <f>H114/1000</f>
        <v>-2E-3</v>
      </c>
      <c r="L114" s="287">
        <f>ROUND(K114,0)</f>
        <v>0</v>
      </c>
    </row>
    <row r="115" spans="1:12" x14ac:dyDescent="0.25">
      <c r="A115" s="223">
        <v>44865</v>
      </c>
      <c r="B115" s="217">
        <v>283281</v>
      </c>
      <c r="C115" s="217" t="s">
        <v>1744</v>
      </c>
      <c r="D115" s="216" t="s">
        <v>1601</v>
      </c>
      <c r="E115" s="217"/>
      <c r="F115" s="218" t="s">
        <v>1377</v>
      </c>
      <c r="G115" s="285"/>
      <c r="H115" s="285">
        <v>0</v>
      </c>
      <c r="I115" s="225">
        <v>-2357.1799999999998</v>
      </c>
      <c r="K115" s="287">
        <f t="shared" ref="K115:K118" si="9">H115/1000</f>
        <v>0</v>
      </c>
      <c r="L115" s="287">
        <f t="shared" ref="L115:L118" si="10">ROUND(K115,0)</f>
        <v>0</v>
      </c>
    </row>
    <row r="116" spans="1:12" x14ac:dyDescent="0.25">
      <c r="A116" s="223">
        <v>44895</v>
      </c>
      <c r="B116" s="217">
        <v>283835</v>
      </c>
      <c r="C116" s="217" t="s">
        <v>1744</v>
      </c>
      <c r="D116" s="216" t="s">
        <v>1603</v>
      </c>
      <c r="E116" s="217"/>
      <c r="F116" s="218" t="s">
        <v>1377</v>
      </c>
      <c r="G116" s="285"/>
      <c r="H116" s="285">
        <v>0</v>
      </c>
      <c r="I116" s="225">
        <v>-2368.06</v>
      </c>
      <c r="K116" s="287">
        <f t="shared" si="9"/>
        <v>0</v>
      </c>
      <c r="L116" s="287">
        <f t="shared" si="10"/>
        <v>0</v>
      </c>
    </row>
    <row r="117" spans="1:12" x14ac:dyDescent="0.25">
      <c r="A117" s="223">
        <v>44926</v>
      </c>
      <c r="B117" s="217">
        <v>285884</v>
      </c>
      <c r="C117" s="217" t="s">
        <v>1745</v>
      </c>
      <c r="D117" s="216" t="s">
        <v>1605</v>
      </c>
      <c r="E117" s="217"/>
      <c r="F117" s="218" t="s">
        <v>886</v>
      </c>
      <c r="G117" s="285">
        <v>0</v>
      </c>
      <c r="H117" s="285">
        <v>0</v>
      </c>
      <c r="I117" s="225">
        <v>-2346.3000000000002</v>
      </c>
      <c r="K117" s="287">
        <f>G117/1000</f>
        <v>0</v>
      </c>
      <c r="L117" s="287">
        <f>ROUND(K117,0)</f>
        <v>0</v>
      </c>
    </row>
    <row r="118" spans="1:12" x14ac:dyDescent="0.25">
      <c r="A118" s="223"/>
      <c r="B118" s="217"/>
      <c r="C118" s="217"/>
      <c r="D118" s="216"/>
      <c r="E118" s="217"/>
      <c r="F118" s="218"/>
      <c r="G118" s="286">
        <f>SUM(G114:G117)</f>
        <v>0</v>
      </c>
      <c r="H118" s="286">
        <f>SUM(H114:H117)</f>
        <v>-2</v>
      </c>
      <c r="I118" s="285"/>
      <c r="K118" s="287">
        <f t="shared" si="9"/>
        <v>-2E-3</v>
      </c>
      <c r="L118" s="287">
        <f t="shared" si="10"/>
        <v>0</v>
      </c>
    </row>
    <row r="119" spans="1:12" ht="15.75" thickBot="1" x14ac:dyDescent="0.3"/>
    <row r="120" spans="1:12" x14ac:dyDescent="0.25">
      <c r="A120" s="774">
        <v>2022</v>
      </c>
      <c r="B120" s="775"/>
      <c r="C120" s="775"/>
      <c r="D120" s="775"/>
      <c r="E120" s="775"/>
      <c r="F120" s="775"/>
      <c r="G120" s="775"/>
      <c r="H120" s="775"/>
      <c r="I120" s="227"/>
      <c r="K120" s="228"/>
    </row>
    <row r="121" spans="1:12" x14ac:dyDescent="0.25">
      <c r="A121" s="229"/>
      <c r="B121" s="230"/>
      <c r="C121" s="230"/>
      <c r="D121" s="230"/>
      <c r="E121" s="230"/>
      <c r="F121" s="230"/>
      <c r="G121" s="230" t="s">
        <v>1452</v>
      </c>
      <c r="H121" s="230" t="s">
        <v>1453</v>
      </c>
      <c r="I121" s="231"/>
      <c r="K121" s="228"/>
    </row>
    <row r="122" spans="1:12" x14ac:dyDescent="0.25">
      <c r="A122" s="232"/>
      <c r="B122" s="233"/>
      <c r="C122" s="233"/>
      <c r="D122" s="233"/>
      <c r="E122" s="233"/>
      <c r="F122" s="233"/>
      <c r="G122" s="233"/>
      <c r="H122" s="233"/>
      <c r="I122" s="234"/>
      <c r="J122" s="117"/>
      <c r="K122" s="117"/>
    </row>
    <row r="123" spans="1:12" x14ac:dyDescent="0.25">
      <c r="A123" s="232"/>
      <c r="B123" s="233"/>
      <c r="C123" s="233"/>
      <c r="D123" s="233"/>
      <c r="E123" s="233"/>
      <c r="F123" s="233"/>
      <c r="G123" s="233"/>
      <c r="H123" s="235"/>
      <c r="I123" s="236"/>
      <c r="J123" s="117"/>
      <c r="K123" s="117"/>
    </row>
    <row r="124" spans="1:12" ht="15.75" thickBot="1" x14ac:dyDescent="0.3">
      <c r="A124" s="237"/>
      <c r="B124" s="238"/>
      <c r="C124" s="238"/>
      <c r="D124" s="238"/>
      <c r="E124" s="238"/>
      <c r="F124" s="238"/>
      <c r="G124" s="239">
        <f>SUM(G122:G123)</f>
        <v>0</v>
      </c>
      <c r="H124" s="239">
        <f>SUM(H122:H123)</f>
        <v>0</v>
      </c>
      <c r="I124" s="240">
        <f>G124+H124</f>
        <v>0</v>
      </c>
      <c r="K124" s="241">
        <f>I124/1000</f>
        <v>0</v>
      </c>
    </row>
    <row r="125" spans="1:12" ht="15.75" thickBot="1" x14ac:dyDescent="0.3">
      <c r="D125"/>
      <c r="F125"/>
      <c r="K125" s="228"/>
    </row>
    <row r="126" spans="1:12" x14ac:dyDescent="0.25">
      <c r="A126" s="774">
        <v>2021</v>
      </c>
      <c r="B126" s="775"/>
      <c r="C126" s="775"/>
      <c r="D126" s="775"/>
      <c r="E126" s="775"/>
      <c r="F126" s="775"/>
      <c r="G126" s="775"/>
      <c r="H126" s="775"/>
      <c r="I126" s="227"/>
      <c r="K126" s="228"/>
    </row>
    <row r="127" spans="1:12" x14ac:dyDescent="0.25">
      <c r="A127" s="229"/>
      <c r="B127" s="230"/>
      <c r="C127" s="230"/>
      <c r="D127" s="230"/>
      <c r="E127" s="230"/>
      <c r="F127" s="230"/>
      <c r="G127" s="230" t="s">
        <v>1452</v>
      </c>
      <c r="H127" s="230" t="s">
        <v>1453</v>
      </c>
      <c r="I127" s="231"/>
      <c r="K127" s="228"/>
    </row>
    <row r="128" spans="1:12" x14ac:dyDescent="0.25">
      <c r="A128" s="229"/>
      <c r="B128" s="242"/>
      <c r="C128" s="242"/>
      <c r="D128" s="242"/>
      <c r="E128" s="242"/>
      <c r="F128" s="242"/>
      <c r="G128" s="242"/>
      <c r="H128" s="242"/>
      <c r="I128" s="231"/>
      <c r="K128" s="228"/>
    </row>
    <row r="129" spans="1:11" ht="15.75" thickBot="1" x14ac:dyDescent="0.3">
      <c r="A129" s="237"/>
      <c r="B129" s="238"/>
      <c r="C129" s="238"/>
      <c r="D129" s="238"/>
      <c r="E129" s="238"/>
      <c r="F129" s="238"/>
      <c r="G129" s="239">
        <f>SUM(G128:G128)</f>
        <v>0</v>
      </c>
      <c r="H129" s="239">
        <f>SUM(H128:H128)</f>
        <v>0</v>
      </c>
      <c r="I129" s="240">
        <f>G129+H129</f>
        <v>0</v>
      </c>
      <c r="K129" s="241">
        <f>-I129/1000</f>
        <v>0</v>
      </c>
    </row>
    <row r="130" spans="1:11" x14ac:dyDescent="0.25">
      <c r="A130" s="242"/>
      <c r="B130" s="242"/>
      <c r="C130" s="242"/>
      <c r="D130" s="242"/>
      <c r="E130" s="242"/>
      <c r="F130" s="242"/>
      <c r="G130" s="243"/>
      <c r="H130" s="243"/>
      <c r="I130" s="243"/>
      <c r="K130" s="241"/>
    </row>
    <row r="131" spans="1:11" x14ac:dyDescent="0.25">
      <c r="A131" s="242"/>
      <c r="B131" s="242"/>
      <c r="C131" s="242"/>
      <c r="D131" s="242"/>
      <c r="E131" s="242"/>
      <c r="F131" s="242"/>
      <c r="G131" s="243"/>
      <c r="H131" s="243" t="s">
        <v>1454</v>
      </c>
      <c r="I131" s="243"/>
      <c r="K131" s="241">
        <f>K129-K124</f>
        <v>0</v>
      </c>
    </row>
    <row r="132" spans="1:11" x14ac:dyDescent="0.25">
      <c r="D132"/>
      <c r="F132"/>
      <c r="H132" t="s">
        <v>1455</v>
      </c>
      <c r="K132" s="228">
        <f>[3]BP!$D$35-[3]BP!$F$35+[3]BP!$D$41-[3]BP!$F$41</f>
        <v>1015</v>
      </c>
    </row>
    <row r="133" spans="1:11" x14ac:dyDescent="0.25">
      <c r="D133"/>
      <c r="F133"/>
      <c r="K133" s="241">
        <f>K131-K132</f>
        <v>-1015</v>
      </c>
    </row>
  </sheetData>
  <autoFilter ref="A6:I45"/>
  <mergeCells count="4">
    <mergeCell ref="A4:C4"/>
    <mergeCell ref="A48:C48"/>
    <mergeCell ref="A120:H120"/>
    <mergeCell ref="A126:H12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zoomScaleNormal="100" workbookViewId="0">
      <selection activeCell="A11" sqref="A11:XFD11"/>
    </sheetView>
  </sheetViews>
  <sheetFormatPr defaultRowHeight="15" x14ac:dyDescent="0.25"/>
  <cols>
    <col min="1" max="1" width="11.42578125" customWidth="1"/>
    <col min="6" max="6" width="12.85546875" customWidth="1"/>
    <col min="8" max="8" width="11.7109375" customWidth="1"/>
  </cols>
  <sheetData>
    <row r="1" spans="1:11" x14ac:dyDescent="0.25">
      <c r="A1" t="s">
        <v>1368</v>
      </c>
      <c r="B1" t="s">
        <v>988</v>
      </c>
      <c r="C1">
        <v>12181</v>
      </c>
      <c r="D1" t="s">
        <v>391</v>
      </c>
      <c r="E1" t="s">
        <v>1369</v>
      </c>
      <c r="F1" s="260">
        <v>3928358.17</v>
      </c>
    </row>
    <row r="3" spans="1:11" x14ac:dyDescent="0.25">
      <c r="A3" t="s">
        <v>1370</v>
      </c>
      <c r="B3" t="s">
        <v>1371</v>
      </c>
      <c r="C3" t="s">
        <v>1372</v>
      </c>
      <c r="D3" t="s">
        <v>1373</v>
      </c>
      <c r="E3" t="s">
        <v>1374</v>
      </c>
      <c r="F3" t="s">
        <v>1288</v>
      </c>
      <c r="G3" t="s">
        <v>1289</v>
      </c>
      <c r="H3" t="s">
        <v>1290</v>
      </c>
    </row>
    <row r="4" spans="1:11" s="356" customFormat="1" x14ac:dyDescent="0.25">
      <c r="A4" s="355">
        <v>44957</v>
      </c>
      <c r="B4" s="356">
        <v>286319</v>
      </c>
      <c r="C4" s="356" t="s">
        <v>4598</v>
      </c>
      <c r="D4" s="356" t="s">
        <v>4599</v>
      </c>
      <c r="F4" s="357">
        <v>16</v>
      </c>
      <c r="H4" s="357">
        <v>3944069.86</v>
      </c>
      <c r="J4" s="356">
        <f>F4/1000</f>
        <v>1.6E-2</v>
      </c>
      <c r="K4" s="356">
        <f>ROUND(J4,0)</f>
        <v>0</v>
      </c>
    </row>
    <row r="5" spans="1:11" s="356" customFormat="1" x14ac:dyDescent="0.25">
      <c r="A5" s="355">
        <v>44985</v>
      </c>
      <c r="B5" s="356">
        <v>288115</v>
      </c>
      <c r="C5" s="356" t="s">
        <v>4598</v>
      </c>
      <c r="D5" s="356" t="s">
        <v>4600</v>
      </c>
      <c r="F5" s="357">
        <v>16</v>
      </c>
      <c r="H5" s="357">
        <v>3959781.55</v>
      </c>
      <c r="J5" s="356">
        <f t="shared" ref="J5:J6" si="0">F5/1000</f>
        <v>1.6E-2</v>
      </c>
      <c r="K5" s="356">
        <f t="shared" ref="K5:K6" si="1">ROUND(J5,0)</f>
        <v>0</v>
      </c>
    </row>
    <row r="6" spans="1:11" s="356" customFormat="1" x14ac:dyDescent="0.25">
      <c r="A6" s="355">
        <v>45016</v>
      </c>
      <c r="B6" s="356">
        <v>289435</v>
      </c>
      <c r="C6" s="356" t="s">
        <v>4598</v>
      </c>
      <c r="D6" s="356" t="s">
        <v>4601</v>
      </c>
      <c r="F6" s="357">
        <v>48</v>
      </c>
      <c r="H6" s="357">
        <v>4007445.71</v>
      </c>
      <c r="J6" s="356">
        <f t="shared" si="0"/>
        <v>4.8000000000000001E-2</v>
      </c>
      <c r="K6" s="356">
        <f t="shared" si="1"/>
        <v>0</v>
      </c>
    </row>
    <row r="8" spans="1:11" x14ac:dyDescent="0.25">
      <c r="A8" t="s">
        <v>1368</v>
      </c>
      <c r="B8" t="s">
        <v>989</v>
      </c>
      <c r="C8">
        <v>12182</v>
      </c>
      <c r="D8" t="s">
        <v>393</v>
      </c>
      <c r="E8" t="s">
        <v>1369</v>
      </c>
      <c r="F8" s="260">
        <v>309419.75</v>
      </c>
    </row>
    <row r="10" spans="1:11" x14ac:dyDescent="0.25">
      <c r="A10" t="s">
        <v>1370</v>
      </c>
      <c r="B10" t="s">
        <v>1371</v>
      </c>
      <c r="C10" t="s">
        <v>1372</v>
      </c>
      <c r="D10" t="s">
        <v>1373</v>
      </c>
      <c r="E10" t="s">
        <v>1374</v>
      </c>
      <c r="F10" t="s">
        <v>1288</v>
      </c>
      <c r="G10" t="s">
        <v>1289</v>
      </c>
      <c r="H10" t="s">
        <v>1290</v>
      </c>
    </row>
    <row r="11" spans="1:11" s="176" customFormat="1" x14ac:dyDescent="0.25">
      <c r="A11" s="358">
        <v>44956</v>
      </c>
      <c r="B11" s="176">
        <v>286201</v>
      </c>
      <c r="C11" s="176" t="s">
        <v>4602</v>
      </c>
      <c r="D11" s="176" t="s">
        <v>4603</v>
      </c>
      <c r="F11" s="359">
        <v>25</v>
      </c>
      <c r="H11" s="359">
        <v>334012.51</v>
      </c>
      <c r="J11" s="359">
        <f>F11/1000</f>
        <v>2.5000000000000001E-2</v>
      </c>
      <c r="K11" s="359">
        <f>ROUND(J11,0)</f>
        <v>0</v>
      </c>
    </row>
    <row r="12" spans="1:11" s="356" customFormat="1" x14ac:dyDescent="0.25">
      <c r="A12" s="355">
        <v>44957</v>
      </c>
      <c r="B12" s="356">
        <v>286317</v>
      </c>
      <c r="C12" s="356" t="s">
        <v>4604</v>
      </c>
      <c r="D12" s="356" t="s">
        <v>4599</v>
      </c>
      <c r="F12" s="357">
        <v>2</v>
      </c>
      <c r="H12" s="357">
        <v>336240.93</v>
      </c>
      <c r="J12" s="357">
        <f t="shared" ref="J12:J20" si="2">F12/1000</f>
        <v>2E-3</v>
      </c>
      <c r="K12" s="357">
        <f t="shared" ref="K12:K20" si="3">ROUND(J12,0)</f>
        <v>0</v>
      </c>
    </row>
    <row r="13" spans="1:11" s="356" customFormat="1" x14ac:dyDescent="0.25">
      <c r="A13" s="355">
        <v>44985</v>
      </c>
      <c r="B13" s="356">
        <v>288112</v>
      </c>
      <c r="C13" s="356" t="s">
        <v>4604</v>
      </c>
      <c r="D13" s="356" t="s">
        <v>4600</v>
      </c>
      <c r="F13" s="357">
        <v>2</v>
      </c>
      <c r="H13" s="357">
        <v>338541.05</v>
      </c>
      <c r="J13" s="357">
        <f t="shared" si="2"/>
        <v>2E-3</v>
      </c>
      <c r="K13" s="357">
        <f t="shared" si="3"/>
        <v>0</v>
      </c>
    </row>
    <row r="14" spans="1:11" s="176" customFormat="1" x14ac:dyDescent="0.25">
      <c r="A14" s="358">
        <v>44986</v>
      </c>
      <c r="B14" s="176">
        <v>289454</v>
      </c>
      <c r="C14" s="176" t="s">
        <v>4605</v>
      </c>
      <c r="D14" s="176" t="s">
        <v>4606</v>
      </c>
      <c r="F14" s="359">
        <v>10</v>
      </c>
      <c r="H14" s="359">
        <v>348369.56</v>
      </c>
      <c r="J14" s="359">
        <f t="shared" si="2"/>
        <v>0.01</v>
      </c>
      <c r="K14" s="359">
        <f t="shared" si="3"/>
        <v>0</v>
      </c>
    </row>
    <row r="15" spans="1:11" s="176" customFormat="1" x14ac:dyDescent="0.25">
      <c r="A15" s="358">
        <v>44986</v>
      </c>
      <c r="B15" s="176">
        <v>289457</v>
      </c>
      <c r="C15" s="176" t="s">
        <v>4607</v>
      </c>
      <c r="D15" s="176" t="s">
        <v>4601</v>
      </c>
      <c r="G15" s="359">
        <v>-7</v>
      </c>
      <c r="H15" s="359">
        <v>341367.26</v>
      </c>
      <c r="J15" s="359">
        <f>G15/1000</f>
        <v>-7.0000000000000001E-3</v>
      </c>
      <c r="K15" s="359">
        <f t="shared" si="3"/>
        <v>0</v>
      </c>
    </row>
    <row r="16" spans="1:11" s="356" customFormat="1" x14ac:dyDescent="0.25">
      <c r="A16" s="355">
        <v>44986</v>
      </c>
      <c r="B16" s="356">
        <v>289458</v>
      </c>
      <c r="C16" s="356" t="s">
        <v>4608</v>
      </c>
      <c r="D16" s="356" t="s">
        <v>4601</v>
      </c>
      <c r="G16" s="357">
        <v>-3</v>
      </c>
      <c r="H16" s="357">
        <v>338016.92</v>
      </c>
      <c r="J16" s="357">
        <f>G16/1000</f>
        <v>-3.0000000000000001E-3</v>
      </c>
      <c r="K16" s="357">
        <f t="shared" si="3"/>
        <v>0</v>
      </c>
    </row>
    <row r="17" spans="1:11" s="176" customFormat="1" x14ac:dyDescent="0.25">
      <c r="A17" s="358">
        <v>45015</v>
      </c>
      <c r="B17" s="176">
        <v>288814</v>
      </c>
      <c r="C17" s="176" t="s">
        <v>4609</v>
      </c>
      <c r="D17" s="176" t="s">
        <v>4610</v>
      </c>
      <c r="F17" s="359">
        <v>12</v>
      </c>
      <c r="H17" s="359">
        <v>350287.92</v>
      </c>
      <c r="J17" s="359">
        <f t="shared" si="2"/>
        <v>1.2E-2</v>
      </c>
      <c r="K17" s="359">
        <f t="shared" si="3"/>
        <v>0</v>
      </c>
    </row>
    <row r="18" spans="1:11" s="176" customFormat="1" x14ac:dyDescent="0.25">
      <c r="A18" s="358">
        <v>45015</v>
      </c>
      <c r="B18" s="176">
        <v>288874</v>
      </c>
      <c r="C18" s="176" t="s">
        <v>4602</v>
      </c>
      <c r="D18" s="176" t="s">
        <v>4611</v>
      </c>
      <c r="F18" s="359">
        <v>12</v>
      </c>
      <c r="H18" s="359">
        <v>362584.3</v>
      </c>
      <c r="J18" s="359">
        <f t="shared" si="2"/>
        <v>1.2E-2</v>
      </c>
      <c r="K18" s="359">
        <f t="shared" si="3"/>
        <v>0</v>
      </c>
    </row>
    <row r="19" spans="1:11" s="356" customFormat="1" x14ac:dyDescent="0.25">
      <c r="A19" s="355">
        <v>45016</v>
      </c>
      <c r="B19" s="356">
        <v>289432</v>
      </c>
      <c r="C19" s="356" t="s">
        <v>4604</v>
      </c>
      <c r="D19" s="356" t="s">
        <v>4601</v>
      </c>
      <c r="F19" s="357">
        <v>1</v>
      </c>
      <c r="H19" s="357">
        <v>363663.65</v>
      </c>
      <c r="J19" s="357">
        <f t="shared" si="2"/>
        <v>1E-3</v>
      </c>
      <c r="K19" s="357">
        <f t="shared" si="3"/>
        <v>0</v>
      </c>
    </row>
    <row r="20" spans="1:11" s="356" customFormat="1" x14ac:dyDescent="0.25">
      <c r="A20" s="355">
        <v>45016</v>
      </c>
      <c r="B20" s="356">
        <v>289456</v>
      </c>
      <c r="C20" s="356" t="s">
        <v>4612</v>
      </c>
      <c r="D20" s="356" t="s">
        <v>4601</v>
      </c>
      <c r="F20" s="357">
        <v>3</v>
      </c>
      <c r="H20" s="357">
        <v>366299.25</v>
      </c>
      <c r="J20" s="357">
        <f t="shared" si="2"/>
        <v>3.0000000000000001E-3</v>
      </c>
      <c r="K20" s="357">
        <f t="shared" si="3"/>
        <v>0</v>
      </c>
    </row>
    <row r="22" spans="1:11" x14ac:dyDescent="0.25">
      <c r="A22" t="s">
        <v>1368</v>
      </c>
      <c r="B22" t="s">
        <v>990</v>
      </c>
      <c r="C22">
        <v>12183</v>
      </c>
      <c r="D22" t="s">
        <v>120</v>
      </c>
      <c r="E22" t="s">
        <v>1369</v>
      </c>
      <c r="F22" s="260">
        <v>161181.23000000001</v>
      </c>
    </row>
    <row r="24" spans="1:11" x14ac:dyDescent="0.25">
      <c r="A24" t="s">
        <v>1370</v>
      </c>
      <c r="B24" t="s">
        <v>1371</v>
      </c>
      <c r="C24" t="s">
        <v>1372</v>
      </c>
      <c r="D24" t="s">
        <v>1373</v>
      </c>
      <c r="E24" t="s">
        <v>1374</v>
      </c>
      <c r="F24" t="s">
        <v>1288</v>
      </c>
      <c r="G24" t="s">
        <v>1289</v>
      </c>
      <c r="H24" t="s">
        <v>1290</v>
      </c>
    </row>
    <row r="25" spans="1:11" s="356" customFormat="1" x14ac:dyDescent="0.25">
      <c r="A25" s="355">
        <v>44957</v>
      </c>
      <c r="B25" s="356">
        <v>286318</v>
      </c>
      <c r="C25" s="356" t="s">
        <v>4613</v>
      </c>
      <c r="D25" s="356" t="s">
        <v>4599</v>
      </c>
      <c r="F25" s="356">
        <v>1</v>
      </c>
      <c r="H25" s="357">
        <v>162174.39000000001</v>
      </c>
      <c r="J25" s="356">
        <f>F25/1000</f>
        <v>1E-3</v>
      </c>
      <c r="K25" s="356">
        <f>ROUND(J25,0)</f>
        <v>0</v>
      </c>
    </row>
    <row r="26" spans="1:11" s="356" customFormat="1" x14ac:dyDescent="0.25">
      <c r="A26" s="355">
        <v>44985</v>
      </c>
      <c r="B26" s="356">
        <v>288113</v>
      </c>
      <c r="C26" s="356" t="s">
        <v>4614</v>
      </c>
      <c r="D26" s="356" t="s">
        <v>4599</v>
      </c>
      <c r="G26" s="356">
        <v>0</v>
      </c>
      <c r="H26" s="357">
        <v>162035.5</v>
      </c>
      <c r="J26" s="356">
        <f>G26/1000</f>
        <v>0</v>
      </c>
      <c r="K26" s="356">
        <f>ROUND(J26,0)</f>
        <v>0</v>
      </c>
    </row>
    <row r="27" spans="1:11" s="356" customFormat="1" x14ac:dyDescent="0.25">
      <c r="A27" s="355">
        <v>44985</v>
      </c>
      <c r="B27" s="356">
        <v>288114</v>
      </c>
      <c r="C27" s="356" t="s">
        <v>4613</v>
      </c>
      <c r="D27" s="356" t="s">
        <v>4600</v>
      </c>
      <c r="F27" s="356">
        <v>1</v>
      </c>
      <c r="H27" s="357">
        <v>162889.76</v>
      </c>
      <c r="J27" s="356">
        <f t="shared" ref="J27:J31" si="4">F27/1000</f>
        <v>1E-3</v>
      </c>
      <c r="K27" s="356">
        <f t="shared" ref="K27:K31" si="5">ROUND(J27,0)</f>
        <v>0</v>
      </c>
    </row>
    <row r="28" spans="1:11" s="176" customFormat="1" x14ac:dyDescent="0.25">
      <c r="A28" s="358">
        <v>44986</v>
      </c>
      <c r="B28" s="176">
        <v>289455</v>
      </c>
      <c r="C28" s="176" t="s">
        <v>4615</v>
      </c>
      <c r="D28" s="176" t="s">
        <v>1426</v>
      </c>
      <c r="F28" s="359">
        <v>1</v>
      </c>
      <c r="H28" s="359">
        <v>164125.04999999999</v>
      </c>
      <c r="J28" s="176">
        <f t="shared" si="4"/>
        <v>1E-3</v>
      </c>
      <c r="K28" s="176">
        <f t="shared" si="5"/>
        <v>0</v>
      </c>
    </row>
    <row r="29" spans="1:11" s="356" customFormat="1" x14ac:dyDescent="0.25">
      <c r="A29" s="355">
        <v>44986</v>
      </c>
      <c r="B29" s="356">
        <v>289459</v>
      </c>
      <c r="C29" s="356" t="s">
        <v>4616</v>
      </c>
      <c r="D29" s="356" t="s">
        <v>4601</v>
      </c>
      <c r="F29" s="356">
        <v>0</v>
      </c>
      <c r="H29" s="357">
        <v>164158.73000000001</v>
      </c>
      <c r="J29" s="356">
        <f>F29/1000</f>
        <v>0</v>
      </c>
      <c r="K29" s="356">
        <f t="shared" si="5"/>
        <v>0</v>
      </c>
    </row>
    <row r="30" spans="1:11" s="356" customFormat="1" x14ac:dyDescent="0.25">
      <c r="A30" s="355">
        <v>45016</v>
      </c>
      <c r="B30" s="356">
        <v>289433</v>
      </c>
      <c r="C30" s="356" t="s">
        <v>4617</v>
      </c>
      <c r="D30" s="356" t="s">
        <v>4601</v>
      </c>
      <c r="F30" s="356">
        <v>1</v>
      </c>
      <c r="H30" s="357">
        <v>164665.56</v>
      </c>
      <c r="J30" s="356">
        <f t="shared" si="4"/>
        <v>1E-3</v>
      </c>
      <c r="K30" s="356">
        <f t="shared" si="5"/>
        <v>0</v>
      </c>
    </row>
    <row r="31" spans="1:11" s="356" customFormat="1" x14ac:dyDescent="0.25">
      <c r="A31" s="355">
        <v>45016</v>
      </c>
      <c r="B31" s="356">
        <v>289434</v>
      </c>
      <c r="C31" s="356" t="s">
        <v>4613</v>
      </c>
      <c r="D31" s="356" t="s">
        <v>4601</v>
      </c>
      <c r="F31" s="357">
        <v>1</v>
      </c>
      <c r="H31" s="357">
        <v>165834.68</v>
      </c>
      <c r="J31" s="356">
        <f t="shared" si="4"/>
        <v>1E-3</v>
      </c>
      <c r="K31" s="356">
        <f t="shared" si="5"/>
        <v>0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0"/>
  <sheetViews>
    <sheetView topLeftCell="B70" workbookViewId="0">
      <selection activeCell="C57" sqref="C57"/>
    </sheetView>
  </sheetViews>
  <sheetFormatPr defaultRowHeight="15" x14ac:dyDescent="0.25"/>
  <cols>
    <col min="1" max="1" width="10.7109375" bestFit="1" customWidth="1"/>
    <col min="2" max="2" width="12.28515625" bestFit="1" customWidth="1"/>
    <col min="3" max="3" width="73.42578125" customWidth="1"/>
    <col min="4" max="4" width="24.85546875" bestFit="1" customWidth="1"/>
    <col min="5" max="5" width="8.42578125" bestFit="1" customWidth="1"/>
    <col min="6" max="6" width="10.140625" bestFit="1" customWidth="1"/>
    <col min="7" max="7" width="10.85546875" bestFit="1" customWidth="1"/>
    <col min="8" max="8" width="11" bestFit="1" customWidth="1"/>
  </cols>
  <sheetData>
    <row r="1" spans="1:11" x14ac:dyDescent="0.25">
      <c r="A1" t="s">
        <v>1368</v>
      </c>
      <c r="B1" t="s">
        <v>969</v>
      </c>
      <c r="C1">
        <v>11239</v>
      </c>
      <c r="D1" t="s">
        <v>99</v>
      </c>
      <c r="E1" t="s">
        <v>1369</v>
      </c>
      <c r="F1" s="260">
        <v>1487.38</v>
      </c>
    </row>
    <row r="3" spans="1:11" x14ac:dyDescent="0.25">
      <c r="A3" t="s">
        <v>1370</v>
      </c>
      <c r="B3" t="s">
        <v>1371</v>
      </c>
      <c r="C3" t="s">
        <v>1372</v>
      </c>
      <c r="D3" t="s">
        <v>1373</v>
      </c>
      <c r="E3" t="s">
        <v>1374</v>
      </c>
      <c r="F3" t="s">
        <v>1288</v>
      </c>
      <c r="G3" t="s">
        <v>1289</v>
      </c>
      <c r="H3" t="s">
        <v>1290</v>
      </c>
    </row>
    <row r="4" spans="1:11" s="361" customFormat="1" x14ac:dyDescent="0.25">
      <c r="A4" s="360">
        <v>44957</v>
      </c>
      <c r="B4" s="361">
        <v>286305</v>
      </c>
      <c r="C4" s="361" t="s">
        <v>4618</v>
      </c>
      <c r="D4" s="361" t="s">
        <v>4599</v>
      </c>
      <c r="F4" s="361">
        <v>1.6660000000000001E-2</v>
      </c>
      <c r="H4" s="362">
        <v>1504.04</v>
      </c>
      <c r="J4" s="361">
        <f>F4/1000</f>
        <v>1.666E-5</v>
      </c>
      <c r="K4" s="361">
        <f>ROUND(J4,0)</f>
        <v>0</v>
      </c>
    </row>
    <row r="5" spans="1:11" s="361" customFormat="1" x14ac:dyDescent="0.25">
      <c r="A5" s="360">
        <v>44985</v>
      </c>
      <c r="B5" s="361">
        <v>288398</v>
      </c>
      <c r="C5" s="361" t="s">
        <v>4619</v>
      </c>
      <c r="D5" s="361" t="s">
        <v>4600</v>
      </c>
      <c r="G5" s="361">
        <v>-7.24</v>
      </c>
      <c r="H5" s="362">
        <v>1496.8</v>
      </c>
      <c r="K5" s="361">
        <f t="shared" ref="K5:K66" si="0">ROUND(J5,0)</f>
        <v>0</v>
      </c>
    </row>
    <row r="6" spans="1:11" s="361" customFormat="1" x14ac:dyDescent="0.25">
      <c r="A6" s="360">
        <v>45016</v>
      </c>
      <c r="B6" s="361">
        <v>289414</v>
      </c>
      <c r="C6" s="361" t="s">
        <v>4620</v>
      </c>
      <c r="D6" s="361" t="s">
        <v>4601</v>
      </c>
      <c r="F6" s="361">
        <v>1.481E-2</v>
      </c>
      <c r="H6" s="362">
        <v>1511.61</v>
      </c>
      <c r="J6" s="361">
        <f t="shared" ref="J6:J66" si="1">F6/1000</f>
        <v>1.4810000000000001E-5</v>
      </c>
      <c r="K6" s="361">
        <f t="shared" si="0"/>
        <v>0</v>
      </c>
    </row>
    <row r="7" spans="1:11" x14ac:dyDescent="0.25">
      <c r="J7" s="117"/>
      <c r="K7" s="117"/>
    </row>
    <row r="8" spans="1:11" x14ac:dyDescent="0.25">
      <c r="A8" t="s">
        <v>1368</v>
      </c>
      <c r="B8" t="s">
        <v>349</v>
      </c>
      <c r="C8">
        <v>112316</v>
      </c>
      <c r="D8" t="s">
        <v>350</v>
      </c>
      <c r="E8" t="s">
        <v>1369</v>
      </c>
      <c r="F8" s="260">
        <v>668444.49</v>
      </c>
      <c r="J8" s="117"/>
      <c r="K8" s="117"/>
    </row>
    <row r="9" spans="1:11" x14ac:dyDescent="0.25">
      <c r="J9" s="117"/>
      <c r="K9" s="117"/>
    </row>
    <row r="10" spans="1:11" x14ac:dyDescent="0.25">
      <c r="A10" t="s">
        <v>1370</v>
      </c>
      <c r="B10" t="s">
        <v>1371</v>
      </c>
      <c r="C10" t="s">
        <v>1372</v>
      </c>
      <c r="D10" t="s">
        <v>1373</v>
      </c>
      <c r="E10" t="s">
        <v>1374</v>
      </c>
      <c r="F10" t="s">
        <v>1288</v>
      </c>
      <c r="G10" t="s">
        <v>1289</v>
      </c>
      <c r="H10" t="s">
        <v>1290</v>
      </c>
      <c r="J10" s="117"/>
      <c r="K10" s="117"/>
    </row>
    <row r="11" spans="1:11" s="176" customFormat="1" x14ac:dyDescent="0.25">
      <c r="A11" s="358">
        <v>44927</v>
      </c>
      <c r="B11" s="176">
        <v>286313</v>
      </c>
      <c r="C11" s="176" t="s">
        <v>4621</v>
      </c>
      <c r="D11" s="176" t="s">
        <v>4599</v>
      </c>
      <c r="G11" s="359">
        <v>-668</v>
      </c>
      <c r="H11" s="176">
        <v>0</v>
      </c>
      <c r="J11" s="361">
        <f>G11/1000</f>
        <v>-0.66800000000000004</v>
      </c>
      <c r="K11" s="361">
        <f t="shared" si="0"/>
        <v>-1</v>
      </c>
    </row>
    <row r="12" spans="1:11" x14ac:dyDescent="0.25">
      <c r="J12" s="117"/>
      <c r="K12" s="117"/>
    </row>
    <row r="13" spans="1:11" x14ac:dyDescent="0.25">
      <c r="A13" t="s">
        <v>1368</v>
      </c>
      <c r="B13" t="s">
        <v>351</v>
      </c>
      <c r="C13">
        <v>112317</v>
      </c>
      <c r="D13" t="s">
        <v>352</v>
      </c>
      <c r="E13" t="s">
        <v>1369</v>
      </c>
      <c r="F13" s="260">
        <v>267519.28000000003</v>
      </c>
      <c r="J13" s="117"/>
      <c r="K13" s="117"/>
    </row>
    <row r="14" spans="1:11" x14ac:dyDescent="0.25">
      <c r="J14" s="117"/>
      <c r="K14" s="117"/>
    </row>
    <row r="15" spans="1:11" x14ac:dyDescent="0.25">
      <c r="A15" t="s">
        <v>1370</v>
      </c>
      <c r="B15" t="s">
        <v>1371</v>
      </c>
      <c r="C15" t="s">
        <v>1372</v>
      </c>
      <c r="D15" t="s">
        <v>1373</v>
      </c>
      <c r="E15" t="s">
        <v>1374</v>
      </c>
      <c r="F15" t="s">
        <v>1288</v>
      </c>
      <c r="G15" t="s">
        <v>1289</v>
      </c>
      <c r="H15" t="s">
        <v>1290</v>
      </c>
      <c r="J15" s="117"/>
      <c r="K15" s="117"/>
    </row>
    <row r="16" spans="1:11" s="176" customFormat="1" x14ac:dyDescent="0.25">
      <c r="A16" s="358">
        <v>44927</v>
      </c>
      <c r="B16" s="176">
        <v>286314</v>
      </c>
      <c r="C16" s="176" t="s">
        <v>4621</v>
      </c>
      <c r="D16" s="176" t="s">
        <v>4599</v>
      </c>
      <c r="G16" s="359">
        <v>-268</v>
      </c>
      <c r="H16" s="176">
        <v>0</v>
      </c>
      <c r="J16" s="361">
        <f>G16/1000</f>
        <v>-0.26800000000000002</v>
      </c>
      <c r="K16" s="361">
        <f t="shared" si="0"/>
        <v>0</v>
      </c>
    </row>
    <row r="17" spans="1:11" x14ac:dyDescent="0.25">
      <c r="J17" s="117"/>
      <c r="K17" s="117"/>
    </row>
    <row r="18" spans="1:11" x14ac:dyDescent="0.25">
      <c r="A18" t="s">
        <v>1368</v>
      </c>
      <c r="B18" t="s">
        <v>356</v>
      </c>
      <c r="C18">
        <v>112321</v>
      </c>
      <c r="D18" t="s">
        <v>100</v>
      </c>
      <c r="E18" t="s">
        <v>1369</v>
      </c>
      <c r="F18" s="260">
        <v>160515.44</v>
      </c>
      <c r="J18" s="117"/>
      <c r="K18" s="117"/>
    </row>
    <row r="19" spans="1:11" x14ac:dyDescent="0.25">
      <c r="J19" s="117"/>
      <c r="K19" s="117"/>
    </row>
    <row r="20" spans="1:11" x14ac:dyDescent="0.25">
      <c r="A20" t="s">
        <v>1370</v>
      </c>
      <c r="B20" t="s">
        <v>1371</v>
      </c>
      <c r="C20" t="s">
        <v>1372</v>
      </c>
      <c r="D20" t="s">
        <v>1373</v>
      </c>
      <c r="E20" t="s">
        <v>1374</v>
      </c>
      <c r="F20" t="s">
        <v>1288</v>
      </c>
      <c r="G20" t="s">
        <v>1289</v>
      </c>
      <c r="H20" t="s">
        <v>1290</v>
      </c>
      <c r="J20" s="117"/>
      <c r="K20" s="117"/>
    </row>
    <row r="21" spans="1:11" s="176" customFormat="1" x14ac:dyDescent="0.25">
      <c r="A21" s="358">
        <v>44927</v>
      </c>
      <c r="B21" s="176">
        <v>286058</v>
      </c>
      <c r="C21" s="176" t="s">
        <v>4622</v>
      </c>
      <c r="D21" s="176" t="s">
        <v>4599</v>
      </c>
      <c r="G21" s="359">
        <v>-158</v>
      </c>
      <c r="H21" s="359">
        <v>2763.95</v>
      </c>
      <c r="J21" s="361">
        <f>G21/1000</f>
        <v>-0.158</v>
      </c>
      <c r="K21" s="361">
        <f t="shared" si="0"/>
        <v>0</v>
      </c>
    </row>
    <row r="22" spans="1:11" s="176" customFormat="1" x14ac:dyDescent="0.25">
      <c r="A22" s="358">
        <v>44927</v>
      </c>
      <c r="B22" s="176">
        <v>286724</v>
      </c>
      <c r="C22" s="176" t="s">
        <v>4623</v>
      </c>
      <c r="D22" s="176" t="s">
        <v>4599</v>
      </c>
      <c r="G22" s="359">
        <v>-3</v>
      </c>
      <c r="H22" s="176">
        <v>0</v>
      </c>
      <c r="J22" s="361">
        <f>G22/1000</f>
        <v>-3.0000000000000001E-3</v>
      </c>
      <c r="K22" s="361">
        <f t="shared" si="0"/>
        <v>0</v>
      </c>
    </row>
    <row r="23" spans="1:11" x14ac:dyDescent="0.25">
      <c r="J23" s="117"/>
      <c r="K23" s="117"/>
    </row>
    <row r="24" spans="1:11" x14ac:dyDescent="0.25">
      <c r="A24" t="s">
        <v>1368</v>
      </c>
      <c r="B24" t="s">
        <v>970</v>
      </c>
      <c r="C24">
        <v>112323</v>
      </c>
      <c r="D24" t="s">
        <v>101</v>
      </c>
      <c r="E24" t="s">
        <v>1369</v>
      </c>
      <c r="F24" s="260">
        <v>6209.59</v>
      </c>
      <c r="J24" s="117"/>
      <c r="K24" s="117"/>
    </row>
    <row r="25" spans="1:11" x14ac:dyDescent="0.25">
      <c r="J25" s="117"/>
      <c r="K25" s="117"/>
    </row>
    <row r="26" spans="1:11" x14ac:dyDescent="0.25">
      <c r="A26" t="s">
        <v>1370</v>
      </c>
      <c r="B26" t="s">
        <v>1371</v>
      </c>
      <c r="C26" t="s">
        <v>1372</v>
      </c>
      <c r="D26" t="s">
        <v>1373</v>
      </c>
      <c r="E26" t="s">
        <v>1374</v>
      </c>
      <c r="F26" t="s">
        <v>1288</v>
      </c>
      <c r="G26" t="s">
        <v>1289</v>
      </c>
      <c r="H26" t="s">
        <v>1290</v>
      </c>
      <c r="J26" s="117"/>
      <c r="K26" s="117"/>
    </row>
    <row r="27" spans="1:11" s="361" customFormat="1" x14ac:dyDescent="0.25">
      <c r="A27" s="360">
        <v>44957</v>
      </c>
      <c r="B27" s="361">
        <v>286306</v>
      </c>
      <c r="C27" s="361" t="s">
        <v>4618</v>
      </c>
      <c r="D27" s="361" t="s">
        <v>4599</v>
      </c>
      <c r="F27" s="361">
        <v>0</v>
      </c>
      <c r="H27" s="362">
        <v>6258.97</v>
      </c>
      <c r="J27" s="361">
        <f t="shared" si="1"/>
        <v>0</v>
      </c>
      <c r="K27" s="361">
        <f t="shared" si="0"/>
        <v>0</v>
      </c>
    </row>
    <row r="28" spans="1:11" s="361" customFormat="1" x14ac:dyDescent="0.25">
      <c r="A28" s="360">
        <v>44985</v>
      </c>
      <c r="B28" s="361">
        <v>288399</v>
      </c>
      <c r="C28" s="361" t="s">
        <v>4619</v>
      </c>
      <c r="D28" s="361" t="s">
        <v>4600</v>
      </c>
      <c r="F28" s="361">
        <v>0</v>
      </c>
      <c r="H28" s="362">
        <v>6299.53</v>
      </c>
      <c r="J28" s="361">
        <f t="shared" si="1"/>
        <v>0</v>
      </c>
      <c r="K28" s="361">
        <f t="shared" si="0"/>
        <v>0</v>
      </c>
    </row>
    <row r="29" spans="1:11" s="361" customFormat="1" x14ac:dyDescent="0.25">
      <c r="A29" s="360">
        <v>45016</v>
      </c>
      <c r="B29" s="361">
        <v>289415</v>
      </c>
      <c r="C29" s="361" t="s">
        <v>4620</v>
      </c>
      <c r="D29" s="361" t="s">
        <v>4601</v>
      </c>
      <c r="F29" s="361">
        <v>0</v>
      </c>
      <c r="H29" s="362">
        <v>6351.12</v>
      </c>
      <c r="J29" s="361">
        <f t="shared" si="1"/>
        <v>0</v>
      </c>
      <c r="K29" s="361">
        <f t="shared" si="0"/>
        <v>0</v>
      </c>
    </row>
    <row r="30" spans="1:11" x14ac:dyDescent="0.25">
      <c r="J30" s="117"/>
      <c r="K30" s="117"/>
    </row>
    <row r="31" spans="1:11" x14ac:dyDescent="0.25">
      <c r="A31" t="s">
        <v>1368</v>
      </c>
      <c r="B31" t="s">
        <v>359</v>
      </c>
      <c r="C31">
        <v>112325</v>
      </c>
      <c r="D31" t="s">
        <v>360</v>
      </c>
      <c r="E31" t="s">
        <v>1369</v>
      </c>
      <c r="F31">
        <v>0</v>
      </c>
      <c r="J31" s="117"/>
      <c r="K31" s="117"/>
    </row>
    <row r="32" spans="1:11" x14ac:dyDescent="0.25">
      <c r="J32" s="117"/>
      <c r="K32" s="117"/>
    </row>
    <row r="33" spans="1:11" x14ac:dyDescent="0.25">
      <c r="A33" t="s">
        <v>1370</v>
      </c>
      <c r="B33" t="s">
        <v>1371</v>
      </c>
      <c r="C33" t="s">
        <v>1372</v>
      </c>
      <c r="D33" t="s">
        <v>1373</v>
      </c>
      <c r="E33" t="s">
        <v>1374</v>
      </c>
      <c r="F33" t="s">
        <v>1288</v>
      </c>
      <c r="G33" t="s">
        <v>1289</v>
      </c>
      <c r="H33" t="s">
        <v>1290</v>
      </c>
      <c r="J33" s="117"/>
      <c r="K33" s="117"/>
    </row>
    <row r="34" spans="1:11" s="176" customFormat="1" x14ac:dyDescent="0.25">
      <c r="A34" s="358">
        <v>44927</v>
      </c>
      <c r="B34" s="176">
        <v>286724</v>
      </c>
      <c r="C34" s="176" t="s">
        <v>4623</v>
      </c>
      <c r="D34" s="176" t="s">
        <v>4599</v>
      </c>
      <c r="F34" s="359">
        <v>3</v>
      </c>
      <c r="H34" s="359">
        <v>2763.95</v>
      </c>
      <c r="J34" s="361">
        <f t="shared" si="1"/>
        <v>3.0000000000000001E-3</v>
      </c>
      <c r="K34" s="361">
        <f t="shared" si="0"/>
        <v>0</v>
      </c>
    </row>
    <row r="35" spans="1:11" s="361" customFormat="1" x14ac:dyDescent="0.25">
      <c r="A35" s="360">
        <v>44957</v>
      </c>
      <c r="B35" s="361">
        <v>286729</v>
      </c>
      <c r="C35" s="361" t="s">
        <v>4618</v>
      </c>
      <c r="D35" s="361" t="s">
        <v>4599</v>
      </c>
      <c r="F35" s="361">
        <v>0</v>
      </c>
      <c r="H35" s="362">
        <v>2794.91</v>
      </c>
      <c r="J35" s="361">
        <f t="shared" si="1"/>
        <v>0</v>
      </c>
      <c r="K35" s="361">
        <f t="shared" si="0"/>
        <v>0</v>
      </c>
    </row>
    <row r="36" spans="1:11" s="361" customFormat="1" x14ac:dyDescent="0.25">
      <c r="A36" s="360">
        <v>44985</v>
      </c>
      <c r="B36" s="361">
        <v>288408</v>
      </c>
      <c r="C36" s="361" t="s">
        <v>4619</v>
      </c>
      <c r="D36" s="361" t="s">
        <v>4600</v>
      </c>
      <c r="F36" s="361">
        <v>0</v>
      </c>
      <c r="H36" s="362">
        <v>2820.33</v>
      </c>
      <c r="J36" s="361">
        <f t="shared" si="1"/>
        <v>0</v>
      </c>
      <c r="K36" s="361">
        <f t="shared" si="0"/>
        <v>0</v>
      </c>
    </row>
    <row r="37" spans="1:11" s="361" customFormat="1" x14ac:dyDescent="0.25">
      <c r="A37" s="360">
        <v>45016</v>
      </c>
      <c r="B37" s="361">
        <v>289424</v>
      </c>
      <c r="C37" s="361" t="s">
        <v>4620</v>
      </c>
      <c r="D37" s="361" t="s">
        <v>4601</v>
      </c>
      <c r="F37" s="361">
        <v>0</v>
      </c>
      <c r="H37" s="362">
        <v>2854.7</v>
      </c>
      <c r="J37" s="361">
        <f t="shared" si="1"/>
        <v>0</v>
      </c>
      <c r="K37" s="361">
        <f t="shared" si="0"/>
        <v>0</v>
      </c>
    </row>
    <row r="38" spans="1:11" s="176" customFormat="1" x14ac:dyDescent="0.25">
      <c r="A38" s="358">
        <v>45016</v>
      </c>
      <c r="B38" s="176">
        <v>289436</v>
      </c>
      <c r="C38" s="176" t="s">
        <v>4624</v>
      </c>
      <c r="D38" s="176" t="s">
        <v>4601</v>
      </c>
      <c r="F38" s="176">
        <v>0</v>
      </c>
      <c r="H38" s="359">
        <v>3028.05</v>
      </c>
      <c r="J38" s="361">
        <f t="shared" si="1"/>
        <v>0</v>
      </c>
      <c r="K38" s="361">
        <f t="shared" si="0"/>
        <v>0</v>
      </c>
    </row>
    <row r="39" spans="1:11" x14ac:dyDescent="0.25">
      <c r="J39" s="117"/>
      <c r="K39" s="117"/>
    </row>
    <row r="40" spans="1:11" x14ac:dyDescent="0.25">
      <c r="A40" t="s">
        <v>1368</v>
      </c>
      <c r="B40" t="s">
        <v>362</v>
      </c>
      <c r="C40">
        <v>112327</v>
      </c>
      <c r="D40" t="s">
        <v>102</v>
      </c>
      <c r="E40" t="s">
        <v>1369</v>
      </c>
      <c r="F40">
        <v>239.03</v>
      </c>
      <c r="J40" s="117"/>
      <c r="K40" s="117"/>
    </row>
    <row r="41" spans="1:11" x14ac:dyDescent="0.25">
      <c r="J41" s="117"/>
      <c r="K41" s="117"/>
    </row>
    <row r="42" spans="1:11" x14ac:dyDescent="0.25">
      <c r="A42" t="s">
        <v>1370</v>
      </c>
      <c r="B42" t="s">
        <v>1371</v>
      </c>
      <c r="C42" t="s">
        <v>1372</v>
      </c>
      <c r="D42" t="s">
        <v>1373</v>
      </c>
      <c r="E42" t="s">
        <v>1374</v>
      </c>
      <c r="F42" t="s">
        <v>1288</v>
      </c>
      <c r="G42" t="s">
        <v>1289</v>
      </c>
      <c r="H42" t="s">
        <v>1290</v>
      </c>
      <c r="J42" s="117"/>
      <c r="K42" s="117"/>
    </row>
    <row r="43" spans="1:11" s="361" customFormat="1" x14ac:dyDescent="0.25">
      <c r="A43" s="360">
        <v>44957</v>
      </c>
      <c r="B43" s="361">
        <v>286308</v>
      </c>
      <c r="C43" s="361" t="s">
        <v>4618</v>
      </c>
      <c r="D43" s="361" t="s">
        <v>4599</v>
      </c>
      <c r="F43" s="361">
        <v>0</v>
      </c>
      <c r="H43" s="361">
        <v>241.34</v>
      </c>
      <c r="J43" s="361">
        <f t="shared" si="1"/>
        <v>0</v>
      </c>
      <c r="K43" s="361">
        <f t="shared" si="0"/>
        <v>0</v>
      </c>
    </row>
    <row r="44" spans="1:11" s="361" customFormat="1" x14ac:dyDescent="0.25">
      <c r="A44" s="360">
        <v>44985</v>
      </c>
      <c r="B44" s="361">
        <v>288401</v>
      </c>
      <c r="C44" s="361" t="s">
        <v>4619</v>
      </c>
      <c r="D44" s="361" t="s">
        <v>4600</v>
      </c>
      <c r="F44" s="361">
        <v>0</v>
      </c>
      <c r="H44" s="361">
        <v>243.23</v>
      </c>
      <c r="J44" s="361">
        <f t="shared" si="1"/>
        <v>0</v>
      </c>
      <c r="K44" s="361">
        <f t="shared" si="0"/>
        <v>0</v>
      </c>
    </row>
    <row r="45" spans="1:11" s="361" customFormat="1" x14ac:dyDescent="0.25">
      <c r="A45" s="360">
        <v>45016</v>
      </c>
      <c r="B45" s="361">
        <v>289417</v>
      </c>
      <c r="C45" s="361" t="s">
        <v>4620</v>
      </c>
      <c r="D45" s="361" t="s">
        <v>4601</v>
      </c>
      <c r="F45" s="361">
        <v>0</v>
      </c>
      <c r="H45" s="361">
        <v>245.64</v>
      </c>
      <c r="J45" s="361">
        <f t="shared" si="1"/>
        <v>0</v>
      </c>
      <c r="K45" s="361">
        <f t="shared" si="0"/>
        <v>0</v>
      </c>
    </row>
    <row r="46" spans="1:11" x14ac:dyDescent="0.25">
      <c r="J46" s="233"/>
      <c r="K46" s="233"/>
    </row>
    <row r="47" spans="1:11" x14ac:dyDescent="0.25">
      <c r="A47" t="s">
        <v>1368</v>
      </c>
      <c r="B47" t="s">
        <v>1269</v>
      </c>
      <c r="C47">
        <v>112332</v>
      </c>
      <c r="D47" t="s">
        <v>1822</v>
      </c>
      <c r="E47" t="s">
        <v>1369</v>
      </c>
      <c r="F47" s="260">
        <v>303457.43</v>
      </c>
      <c r="J47" s="233"/>
      <c r="K47" s="233"/>
    </row>
    <row r="48" spans="1:11" x14ac:dyDescent="0.25">
      <c r="J48" s="233"/>
      <c r="K48" s="233"/>
    </row>
    <row r="49" spans="1:11" x14ac:dyDescent="0.25">
      <c r="A49" t="s">
        <v>1370</v>
      </c>
      <c r="B49" t="s">
        <v>1371</v>
      </c>
      <c r="C49" t="s">
        <v>1372</v>
      </c>
      <c r="D49" t="s">
        <v>1373</v>
      </c>
      <c r="E49" t="s">
        <v>1374</v>
      </c>
      <c r="F49" t="s">
        <v>1288</v>
      </c>
      <c r="G49" t="s">
        <v>1289</v>
      </c>
      <c r="H49" t="s">
        <v>1290</v>
      </c>
      <c r="J49" s="385"/>
      <c r="K49" s="385"/>
    </row>
    <row r="50" spans="1:11" s="361" customFormat="1" x14ac:dyDescent="0.25">
      <c r="A50" s="360">
        <v>44957</v>
      </c>
      <c r="B50" s="361">
        <v>286310</v>
      </c>
      <c r="C50" s="361" t="s">
        <v>4618</v>
      </c>
      <c r="D50" s="361" t="s">
        <v>4599</v>
      </c>
      <c r="F50" s="362">
        <v>3</v>
      </c>
      <c r="H50" s="362">
        <v>306499.34000000003</v>
      </c>
      <c r="J50" s="361">
        <f t="shared" si="1"/>
        <v>3.0000000000000001E-3</v>
      </c>
      <c r="K50" s="361">
        <f t="shared" si="0"/>
        <v>0</v>
      </c>
    </row>
    <row r="51" spans="1:11" s="361" customFormat="1" x14ac:dyDescent="0.25">
      <c r="A51" s="360">
        <v>44985</v>
      </c>
      <c r="B51" s="361">
        <v>288403</v>
      </c>
      <c r="C51" s="361" t="s">
        <v>4619</v>
      </c>
      <c r="D51" s="361" t="s">
        <v>4600</v>
      </c>
      <c r="F51" s="362">
        <v>2</v>
      </c>
      <c r="H51" s="362">
        <v>308998.05</v>
      </c>
      <c r="J51" s="361">
        <f t="shared" si="1"/>
        <v>2E-3</v>
      </c>
      <c r="K51" s="361">
        <f t="shared" si="0"/>
        <v>0</v>
      </c>
    </row>
    <row r="52" spans="1:11" s="361" customFormat="1" x14ac:dyDescent="0.25">
      <c r="A52" s="360">
        <v>45016</v>
      </c>
      <c r="B52" s="361">
        <v>289419</v>
      </c>
      <c r="C52" s="361" t="s">
        <v>4620</v>
      </c>
      <c r="D52" s="361" t="s">
        <v>4601</v>
      </c>
      <c r="F52" s="362">
        <v>3</v>
      </c>
      <c r="H52" s="362">
        <v>312175.75</v>
      </c>
      <c r="J52" s="361">
        <f t="shared" si="1"/>
        <v>3.0000000000000001E-3</v>
      </c>
      <c r="K52" s="361">
        <f t="shared" si="0"/>
        <v>0</v>
      </c>
    </row>
    <row r="53" spans="1:11" x14ac:dyDescent="0.25">
      <c r="J53" s="117"/>
      <c r="K53" s="117"/>
    </row>
    <row r="54" spans="1:11" x14ac:dyDescent="0.25">
      <c r="A54" t="s">
        <v>1368</v>
      </c>
      <c r="B54" t="s">
        <v>1271</v>
      </c>
      <c r="C54">
        <v>112333</v>
      </c>
      <c r="D54" t="s">
        <v>1823</v>
      </c>
      <c r="E54" t="s">
        <v>1369</v>
      </c>
      <c r="F54" s="260">
        <v>116319.94</v>
      </c>
      <c r="J54" s="117"/>
      <c r="K54" s="117"/>
    </row>
    <row r="55" spans="1:11" x14ac:dyDescent="0.25">
      <c r="J55" s="117"/>
      <c r="K55" s="117"/>
    </row>
    <row r="56" spans="1:11" x14ac:dyDescent="0.25">
      <c r="A56" t="s">
        <v>1370</v>
      </c>
      <c r="B56" t="s">
        <v>1371</v>
      </c>
      <c r="C56" t="s">
        <v>1372</v>
      </c>
      <c r="D56" t="s">
        <v>1373</v>
      </c>
      <c r="E56" t="s">
        <v>1374</v>
      </c>
      <c r="F56" t="s">
        <v>1288</v>
      </c>
      <c r="G56" t="s">
        <v>1289</v>
      </c>
      <c r="H56" t="s">
        <v>1290</v>
      </c>
      <c r="J56" s="117"/>
      <c r="K56" s="117"/>
    </row>
    <row r="57" spans="1:11" s="361" customFormat="1" x14ac:dyDescent="0.25">
      <c r="A57" s="360">
        <v>44957</v>
      </c>
      <c r="B57" s="361">
        <v>286311</v>
      </c>
      <c r="C57" s="361" t="s">
        <v>4618</v>
      </c>
      <c r="D57" s="361" t="s">
        <v>4599</v>
      </c>
      <c r="F57" s="362">
        <v>1</v>
      </c>
      <c r="H57" s="362">
        <v>117485.95</v>
      </c>
      <c r="J57" s="361">
        <f t="shared" si="1"/>
        <v>1E-3</v>
      </c>
      <c r="K57" s="361">
        <f t="shared" si="0"/>
        <v>0</v>
      </c>
    </row>
    <row r="58" spans="1:11" s="361" customFormat="1" x14ac:dyDescent="0.25">
      <c r="A58" s="360">
        <v>44985</v>
      </c>
      <c r="B58" s="361">
        <v>288404</v>
      </c>
      <c r="C58" s="361" t="s">
        <v>4619</v>
      </c>
      <c r="D58" s="361" t="s">
        <v>4600</v>
      </c>
      <c r="F58" s="361">
        <v>1</v>
      </c>
      <c r="H58" s="362">
        <v>118443.74</v>
      </c>
      <c r="J58" s="361">
        <f t="shared" si="1"/>
        <v>1E-3</v>
      </c>
      <c r="K58" s="361">
        <f t="shared" si="0"/>
        <v>0</v>
      </c>
    </row>
    <row r="59" spans="1:11" s="361" customFormat="1" x14ac:dyDescent="0.25">
      <c r="A59" s="360">
        <v>45016</v>
      </c>
      <c r="B59" s="361">
        <v>289420</v>
      </c>
      <c r="C59" s="361" t="s">
        <v>4620</v>
      </c>
      <c r="D59" s="361" t="s">
        <v>4601</v>
      </c>
      <c r="F59" s="362">
        <v>1</v>
      </c>
      <c r="H59" s="362">
        <v>119661.8</v>
      </c>
      <c r="J59" s="361">
        <f t="shared" si="1"/>
        <v>1E-3</v>
      </c>
      <c r="K59" s="361">
        <f t="shared" si="0"/>
        <v>0</v>
      </c>
    </row>
    <row r="60" spans="1:11" x14ac:dyDescent="0.25">
      <c r="J60" s="117"/>
      <c r="K60" s="117"/>
    </row>
    <row r="61" spans="1:11" x14ac:dyDescent="0.25">
      <c r="A61" t="s">
        <v>1368</v>
      </c>
      <c r="B61" t="s">
        <v>1273</v>
      </c>
      <c r="C61">
        <v>112334</v>
      </c>
      <c r="D61" t="s">
        <v>1274</v>
      </c>
      <c r="E61" t="s">
        <v>1369</v>
      </c>
      <c r="F61" s="260">
        <v>1894.97</v>
      </c>
      <c r="J61" s="117"/>
      <c r="K61" s="117"/>
    </row>
    <row r="62" spans="1:11" x14ac:dyDescent="0.25">
      <c r="J62" s="117"/>
      <c r="K62" s="117"/>
    </row>
    <row r="63" spans="1:11" x14ac:dyDescent="0.25">
      <c r="A63" t="s">
        <v>1370</v>
      </c>
      <c r="B63" t="s">
        <v>1371</v>
      </c>
      <c r="C63" t="s">
        <v>1372</v>
      </c>
      <c r="D63" t="s">
        <v>1373</v>
      </c>
      <c r="E63" t="s">
        <v>1374</v>
      </c>
      <c r="F63" t="s">
        <v>1288</v>
      </c>
      <c r="G63" t="s">
        <v>1289</v>
      </c>
      <c r="H63" t="s">
        <v>1290</v>
      </c>
      <c r="J63" s="117"/>
      <c r="K63" s="117"/>
    </row>
    <row r="64" spans="1:11" s="361" customFormat="1" x14ac:dyDescent="0.25">
      <c r="A64" s="360">
        <v>44957</v>
      </c>
      <c r="B64" s="361">
        <v>286307</v>
      </c>
      <c r="C64" s="361" t="s">
        <v>4618</v>
      </c>
      <c r="D64" s="361" t="s">
        <v>4599</v>
      </c>
      <c r="F64" s="361">
        <v>0</v>
      </c>
      <c r="H64" s="362">
        <v>1915.7</v>
      </c>
      <c r="J64" s="361">
        <f t="shared" si="1"/>
        <v>0</v>
      </c>
      <c r="K64" s="361">
        <f t="shared" si="0"/>
        <v>0</v>
      </c>
    </row>
    <row r="65" spans="1:12" s="361" customFormat="1" x14ac:dyDescent="0.25">
      <c r="A65" s="360">
        <v>44985</v>
      </c>
      <c r="B65" s="361">
        <v>288400</v>
      </c>
      <c r="C65" s="361" t="s">
        <v>4619</v>
      </c>
      <c r="D65" s="361" t="s">
        <v>4600</v>
      </c>
      <c r="F65" s="361">
        <v>0</v>
      </c>
      <c r="H65" s="362">
        <v>1932.73</v>
      </c>
      <c r="J65" s="361">
        <f t="shared" si="1"/>
        <v>0</v>
      </c>
      <c r="K65" s="361">
        <f t="shared" si="0"/>
        <v>0</v>
      </c>
    </row>
    <row r="66" spans="1:12" s="361" customFormat="1" x14ac:dyDescent="0.25">
      <c r="A66" s="360">
        <v>45016</v>
      </c>
      <c r="B66" s="361">
        <v>289416</v>
      </c>
      <c r="C66" s="361" t="s">
        <v>4620</v>
      </c>
      <c r="D66" s="361" t="s">
        <v>4601</v>
      </c>
      <c r="F66" s="361">
        <v>0</v>
      </c>
      <c r="H66" s="362">
        <v>1954.4</v>
      </c>
      <c r="J66" s="361">
        <f t="shared" si="1"/>
        <v>0</v>
      </c>
      <c r="K66" s="361">
        <f t="shared" si="0"/>
        <v>0</v>
      </c>
    </row>
    <row r="67" spans="1:12" x14ac:dyDescent="0.25">
      <c r="J67" s="117"/>
      <c r="K67" s="117"/>
      <c r="L67" s="117"/>
    </row>
    <row r="68" spans="1:12" x14ac:dyDescent="0.25">
      <c r="A68" t="s">
        <v>1368</v>
      </c>
      <c r="B68" t="s">
        <v>1825</v>
      </c>
      <c r="C68">
        <v>112336</v>
      </c>
      <c r="D68" t="s">
        <v>1826</v>
      </c>
      <c r="E68" t="s">
        <v>1369</v>
      </c>
      <c r="F68">
        <v>0</v>
      </c>
      <c r="J68" s="117"/>
      <c r="K68" s="117"/>
      <c r="L68" s="117"/>
    </row>
    <row r="69" spans="1:12" x14ac:dyDescent="0.25">
      <c r="J69" s="117"/>
      <c r="K69" s="117"/>
      <c r="L69" s="117"/>
    </row>
    <row r="70" spans="1:12" x14ac:dyDescent="0.25">
      <c r="A70" t="s">
        <v>1370</v>
      </c>
      <c r="B70" t="s">
        <v>1371</v>
      </c>
      <c r="C70" t="s">
        <v>1372</v>
      </c>
      <c r="D70" t="s">
        <v>1373</v>
      </c>
      <c r="E70" t="s">
        <v>1374</v>
      </c>
      <c r="F70" t="s">
        <v>1288</v>
      </c>
      <c r="G70" t="s">
        <v>1289</v>
      </c>
      <c r="H70" t="s">
        <v>1290</v>
      </c>
      <c r="J70" s="117"/>
      <c r="K70" s="117"/>
      <c r="L70" s="117"/>
    </row>
    <row r="71" spans="1:12" s="176" customFormat="1" x14ac:dyDescent="0.25">
      <c r="A71" s="358">
        <v>44927</v>
      </c>
      <c r="B71" s="176">
        <v>286313</v>
      </c>
      <c r="C71" s="176" t="s">
        <v>4621</v>
      </c>
      <c r="D71" s="176" t="s">
        <v>4599</v>
      </c>
      <c r="F71" s="359">
        <v>668</v>
      </c>
      <c r="H71" s="359">
        <v>668444.49</v>
      </c>
      <c r="J71" s="361">
        <f t="shared" ref="J71:J100" si="2">F71/1000</f>
        <v>0.66800000000000004</v>
      </c>
      <c r="K71" s="361">
        <f t="shared" ref="K71:K100" si="3">ROUND(J71,0)</f>
        <v>1</v>
      </c>
    </row>
    <row r="72" spans="1:12" s="361" customFormat="1" x14ac:dyDescent="0.25">
      <c r="A72" s="360">
        <v>44957</v>
      </c>
      <c r="B72" s="361">
        <v>286315</v>
      </c>
      <c r="C72" s="361" t="s">
        <v>4618</v>
      </c>
      <c r="D72" s="361" t="s">
        <v>4599</v>
      </c>
      <c r="F72" s="362">
        <v>7</v>
      </c>
      <c r="H72" s="362">
        <v>675931.07</v>
      </c>
      <c r="J72" s="361">
        <f t="shared" si="2"/>
        <v>7.0000000000000001E-3</v>
      </c>
      <c r="K72" s="361">
        <f t="shared" si="3"/>
        <v>0</v>
      </c>
    </row>
    <row r="73" spans="1:12" s="361" customFormat="1" x14ac:dyDescent="0.25">
      <c r="A73" s="360">
        <v>44985</v>
      </c>
      <c r="B73" s="361">
        <v>288406</v>
      </c>
      <c r="C73" s="361" t="s">
        <v>4619</v>
      </c>
      <c r="D73" s="361" t="s">
        <v>4600</v>
      </c>
      <c r="F73" s="362">
        <v>6</v>
      </c>
      <c r="H73" s="362">
        <v>682080.76</v>
      </c>
      <c r="J73" s="361">
        <f t="shared" si="2"/>
        <v>6.0000000000000001E-3</v>
      </c>
      <c r="K73" s="361">
        <f t="shared" si="3"/>
        <v>0</v>
      </c>
    </row>
    <row r="74" spans="1:12" s="361" customFormat="1" x14ac:dyDescent="0.25">
      <c r="A74" s="360">
        <v>45016</v>
      </c>
      <c r="B74" s="361">
        <v>289422</v>
      </c>
      <c r="C74" s="361" t="s">
        <v>4620</v>
      </c>
      <c r="D74" s="361" t="s">
        <v>4601</v>
      </c>
      <c r="F74" s="362">
        <v>8</v>
      </c>
      <c r="H74" s="362">
        <v>689901.56</v>
      </c>
      <c r="J74" s="361">
        <f t="shared" si="2"/>
        <v>8.0000000000000002E-3</v>
      </c>
      <c r="K74" s="361">
        <f t="shared" si="3"/>
        <v>0</v>
      </c>
    </row>
    <row r="75" spans="1:12" x14ac:dyDescent="0.25">
      <c r="J75" s="117"/>
      <c r="K75" s="117"/>
    </row>
    <row r="76" spans="1:12" x14ac:dyDescent="0.25">
      <c r="A76" t="s">
        <v>1368</v>
      </c>
      <c r="B76" t="s">
        <v>1827</v>
      </c>
      <c r="C76">
        <v>112337</v>
      </c>
      <c r="D76" t="s">
        <v>1828</v>
      </c>
      <c r="E76" t="s">
        <v>1369</v>
      </c>
      <c r="F76">
        <v>0</v>
      </c>
      <c r="J76" s="117"/>
      <c r="K76" s="117"/>
    </row>
    <row r="77" spans="1:12" x14ac:dyDescent="0.25">
      <c r="J77" s="117"/>
      <c r="K77" s="117"/>
    </row>
    <row r="78" spans="1:12" x14ac:dyDescent="0.25">
      <c r="A78" t="s">
        <v>1370</v>
      </c>
      <c r="B78" t="s">
        <v>1371</v>
      </c>
      <c r="C78" t="s">
        <v>1372</v>
      </c>
      <c r="D78" t="s">
        <v>1373</v>
      </c>
      <c r="E78" t="s">
        <v>1374</v>
      </c>
      <c r="F78" t="s">
        <v>1288</v>
      </c>
      <c r="G78" t="s">
        <v>1289</v>
      </c>
      <c r="H78" t="s">
        <v>1290</v>
      </c>
      <c r="J78" s="117"/>
      <c r="K78" s="117"/>
    </row>
    <row r="79" spans="1:12" s="176" customFormat="1" x14ac:dyDescent="0.25">
      <c r="A79" s="358">
        <v>44927</v>
      </c>
      <c r="B79" s="176">
        <v>286314</v>
      </c>
      <c r="C79" s="176" t="s">
        <v>4621</v>
      </c>
      <c r="D79" s="176" t="s">
        <v>4599</v>
      </c>
      <c r="F79" s="359">
        <v>268</v>
      </c>
      <c r="H79" s="359">
        <v>267519.28000000003</v>
      </c>
      <c r="J79" s="361">
        <f t="shared" si="2"/>
        <v>0.26800000000000002</v>
      </c>
      <c r="K79" s="361">
        <f t="shared" si="3"/>
        <v>0</v>
      </c>
    </row>
    <row r="80" spans="1:12" s="361" customFormat="1" x14ac:dyDescent="0.25">
      <c r="A80" s="360">
        <v>44957</v>
      </c>
      <c r="B80" s="361">
        <v>286316</v>
      </c>
      <c r="C80" s="361" t="s">
        <v>4618</v>
      </c>
      <c r="D80" s="361" t="s">
        <v>4599</v>
      </c>
      <c r="F80" s="362">
        <v>3</v>
      </c>
      <c r="H80" s="362">
        <v>270515.5</v>
      </c>
      <c r="J80" s="361">
        <f t="shared" si="2"/>
        <v>3.0000000000000001E-3</v>
      </c>
      <c r="K80" s="361">
        <f t="shared" si="3"/>
        <v>0</v>
      </c>
    </row>
    <row r="81" spans="1:12" s="361" customFormat="1" x14ac:dyDescent="0.25">
      <c r="A81" s="360">
        <v>44985</v>
      </c>
      <c r="B81" s="361">
        <v>288407</v>
      </c>
      <c r="C81" s="361" t="s">
        <v>4619</v>
      </c>
      <c r="D81" s="361" t="s">
        <v>4600</v>
      </c>
      <c r="F81" s="362">
        <v>2</v>
      </c>
      <c r="H81" s="362">
        <v>272976.67</v>
      </c>
      <c r="J81" s="361">
        <f t="shared" si="2"/>
        <v>2E-3</v>
      </c>
      <c r="K81" s="361">
        <f t="shared" si="3"/>
        <v>0</v>
      </c>
    </row>
    <row r="82" spans="1:12" s="361" customFormat="1" x14ac:dyDescent="0.25">
      <c r="A82" s="360">
        <v>45016</v>
      </c>
      <c r="B82" s="361">
        <v>289423</v>
      </c>
      <c r="C82" s="361" t="s">
        <v>4620</v>
      </c>
      <c r="D82" s="361" t="s">
        <v>4601</v>
      </c>
      <c r="F82" s="362">
        <v>3</v>
      </c>
      <c r="H82" s="362">
        <v>276106.65000000002</v>
      </c>
      <c r="J82" s="361">
        <f t="shared" si="2"/>
        <v>3.0000000000000001E-3</v>
      </c>
      <c r="K82" s="361">
        <f t="shared" si="3"/>
        <v>0</v>
      </c>
    </row>
    <row r="83" spans="1:12" s="364" customFormat="1" x14ac:dyDescent="0.25">
      <c r="A83" s="363"/>
      <c r="F83" s="365"/>
      <c r="H83" s="365"/>
      <c r="J83" s="117"/>
      <c r="K83" s="117"/>
    </row>
    <row r="84" spans="1:12" x14ac:dyDescent="0.25">
      <c r="A84" t="s">
        <v>1368</v>
      </c>
      <c r="B84" t="s">
        <v>984</v>
      </c>
      <c r="C84">
        <v>12131</v>
      </c>
      <c r="D84" t="s">
        <v>115</v>
      </c>
      <c r="E84" t="s">
        <v>1369</v>
      </c>
      <c r="F84" s="260">
        <v>21320.17</v>
      </c>
      <c r="J84" s="117"/>
      <c r="K84" s="117"/>
    </row>
    <row r="85" spans="1:12" x14ac:dyDescent="0.25">
      <c r="J85" s="117"/>
      <c r="K85" s="117"/>
    </row>
    <row r="86" spans="1:12" x14ac:dyDescent="0.25">
      <c r="A86" t="s">
        <v>1370</v>
      </c>
      <c r="B86" t="s">
        <v>1371</v>
      </c>
      <c r="C86" t="s">
        <v>1372</v>
      </c>
      <c r="D86" t="s">
        <v>1373</v>
      </c>
      <c r="E86" t="s">
        <v>1374</v>
      </c>
      <c r="F86" t="s">
        <v>1288</v>
      </c>
      <c r="G86" t="s">
        <v>1289</v>
      </c>
      <c r="H86" t="s">
        <v>1290</v>
      </c>
      <c r="J86" s="117"/>
      <c r="K86" s="117"/>
    </row>
    <row r="87" spans="1:12" s="361" customFormat="1" x14ac:dyDescent="0.25">
      <c r="A87" s="360">
        <v>44957</v>
      </c>
      <c r="B87" s="361">
        <v>286309</v>
      </c>
      <c r="C87" s="361" t="s">
        <v>4618</v>
      </c>
      <c r="D87" s="361" t="s">
        <v>4599</v>
      </c>
      <c r="F87" s="361">
        <v>0</v>
      </c>
      <c r="H87" s="362">
        <v>21513.99</v>
      </c>
      <c r="J87" s="361">
        <f t="shared" si="2"/>
        <v>0</v>
      </c>
      <c r="K87" s="361">
        <f t="shared" si="3"/>
        <v>0</v>
      </c>
    </row>
    <row r="88" spans="1:12" s="361" customFormat="1" x14ac:dyDescent="0.25">
      <c r="A88" s="360">
        <v>44985</v>
      </c>
      <c r="B88" s="361">
        <v>288402</v>
      </c>
      <c r="C88" s="361" t="s">
        <v>4619</v>
      </c>
      <c r="D88" s="361" t="s">
        <v>4600</v>
      </c>
      <c r="F88" s="361">
        <v>0</v>
      </c>
      <c r="H88" s="362">
        <v>21673.200000000001</v>
      </c>
      <c r="J88" s="361">
        <f t="shared" si="2"/>
        <v>0</v>
      </c>
      <c r="K88" s="361">
        <f t="shared" si="3"/>
        <v>0</v>
      </c>
    </row>
    <row r="89" spans="1:12" s="361" customFormat="1" x14ac:dyDescent="0.25">
      <c r="A89" s="360">
        <v>45016</v>
      </c>
      <c r="B89" s="361">
        <v>289418</v>
      </c>
      <c r="C89" s="361" t="s">
        <v>4620</v>
      </c>
      <c r="D89" s="361" t="s">
        <v>4601</v>
      </c>
      <c r="F89" s="361">
        <v>0</v>
      </c>
      <c r="H89" s="362">
        <v>21875.67</v>
      </c>
      <c r="J89" s="361">
        <f t="shared" si="2"/>
        <v>0</v>
      </c>
      <c r="K89" s="361">
        <f t="shared" si="3"/>
        <v>0</v>
      </c>
    </row>
    <row r="90" spans="1:12" x14ac:dyDescent="0.25">
      <c r="J90" s="117"/>
      <c r="K90" s="117"/>
      <c r="L90" s="117"/>
    </row>
    <row r="91" spans="1:12" x14ac:dyDescent="0.25">
      <c r="A91" t="s">
        <v>1368</v>
      </c>
      <c r="B91" t="s">
        <v>985</v>
      </c>
      <c r="C91">
        <v>12134</v>
      </c>
      <c r="D91" t="s">
        <v>116</v>
      </c>
      <c r="E91" t="s">
        <v>1369</v>
      </c>
      <c r="F91" s="260">
        <v>4640.58</v>
      </c>
      <c r="J91" s="117"/>
      <c r="K91" s="117"/>
      <c r="L91" s="117"/>
    </row>
    <row r="92" spans="1:12" x14ac:dyDescent="0.25">
      <c r="J92" s="117"/>
      <c r="K92" s="117"/>
      <c r="L92" s="117"/>
    </row>
    <row r="93" spans="1:12" x14ac:dyDescent="0.25">
      <c r="A93" t="s">
        <v>1370</v>
      </c>
      <c r="B93" t="s">
        <v>1371</v>
      </c>
      <c r="C93" t="s">
        <v>1372</v>
      </c>
      <c r="D93" t="s">
        <v>1373</v>
      </c>
      <c r="E93" t="s">
        <v>1374</v>
      </c>
      <c r="F93" t="s">
        <v>1288</v>
      </c>
      <c r="G93" t="s">
        <v>1289</v>
      </c>
      <c r="H93" t="s">
        <v>1290</v>
      </c>
      <c r="J93" s="117"/>
      <c r="K93" s="117"/>
      <c r="L93" s="117"/>
    </row>
    <row r="94" spans="1:12" x14ac:dyDescent="0.25">
      <c r="C94" t="s">
        <v>4625</v>
      </c>
      <c r="J94" s="117"/>
      <c r="K94" s="117"/>
      <c r="L94" s="117"/>
    </row>
    <row r="95" spans="1:12" x14ac:dyDescent="0.25">
      <c r="A95" t="s">
        <v>1368</v>
      </c>
      <c r="B95" t="s">
        <v>986</v>
      </c>
      <c r="C95">
        <v>12135</v>
      </c>
      <c r="D95" t="s">
        <v>117</v>
      </c>
      <c r="E95" t="s">
        <v>1369</v>
      </c>
      <c r="F95" s="260">
        <v>137775.38</v>
      </c>
      <c r="J95" s="117"/>
      <c r="K95" s="117"/>
      <c r="L95" s="117"/>
    </row>
    <row r="96" spans="1:12" x14ac:dyDescent="0.25">
      <c r="J96" s="117"/>
      <c r="K96" s="117"/>
      <c r="L96" s="117"/>
    </row>
    <row r="97" spans="1:12" x14ac:dyDescent="0.25">
      <c r="A97" t="s">
        <v>1370</v>
      </c>
      <c r="B97" t="s">
        <v>1371</v>
      </c>
      <c r="C97" t="s">
        <v>1372</v>
      </c>
      <c r="D97" t="s">
        <v>1373</v>
      </c>
      <c r="E97" t="s">
        <v>1374</v>
      </c>
      <c r="F97" t="s">
        <v>1288</v>
      </c>
      <c r="G97" t="s">
        <v>1289</v>
      </c>
      <c r="H97" t="s">
        <v>1290</v>
      </c>
      <c r="J97" s="117"/>
      <c r="K97" s="117"/>
      <c r="L97" s="117"/>
    </row>
    <row r="98" spans="1:12" s="361" customFormat="1" x14ac:dyDescent="0.25">
      <c r="A98" s="360">
        <v>44957</v>
      </c>
      <c r="B98" s="361">
        <v>286312</v>
      </c>
      <c r="C98" s="361" t="s">
        <v>4618</v>
      </c>
      <c r="D98" s="361" t="s">
        <v>4599</v>
      </c>
      <c r="F98" s="362">
        <v>1</v>
      </c>
      <c r="H98" s="362">
        <v>139094.76</v>
      </c>
      <c r="J98" s="361">
        <f t="shared" si="2"/>
        <v>1E-3</v>
      </c>
      <c r="K98" s="361">
        <f t="shared" si="3"/>
        <v>0</v>
      </c>
    </row>
    <row r="99" spans="1:12" s="361" customFormat="1" x14ac:dyDescent="0.25">
      <c r="A99" s="360">
        <v>44985</v>
      </c>
      <c r="B99" s="361">
        <v>288405</v>
      </c>
      <c r="C99" s="361" t="s">
        <v>4619</v>
      </c>
      <c r="D99" s="361" t="s">
        <v>4600</v>
      </c>
      <c r="F99" s="362">
        <v>1</v>
      </c>
      <c r="H99" s="362">
        <v>140178.54</v>
      </c>
      <c r="J99" s="361">
        <f t="shared" si="2"/>
        <v>1E-3</v>
      </c>
      <c r="K99" s="361">
        <f t="shared" si="3"/>
        <v>0</v>
      </c>
    </row>
    <row r="100" spans="1:12" s="361" customFormat="1" x14ac:dyDescent="0.25">
      <c r="A100" s="360">
        <v>45016</v>
      </c>
      <c r="B100" s="361">
        <v>289421</v>
      </c>
      <c r="C100" s="361" t="s">
        <v>4620</v>
      </c>
      <c r="D100" s="361" t="s">
        <v>4601</v>
      </c>
      <c r="F100" s="362">
        <v>1</v>
      </c>
      <c r="H100" s="362">
        <v>141556.82</v>
      </c>
      <c r="J100" s="361">
        <f t="shared" si="2"/>
        <v>1E-3</v>
      </c>
      <c r="K100" s="361">
        <f t="shared" si="3"/>
        <v>0</v>
      </c>
    </row>
  </sheetData>
  <pageMargins left="0.511811024" right="0.511811024" top="0.78740157499999996" bottom="0.78740157499999996" header="0.31496062000000002" footer="0.3149606200000000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G11"/>
  <sheetViews>
    <sheetView workbookViewId="0">
      <selection activeCell="D4" sqref="D4:G11"/>
    </sheetView>
  </sheetViews>
  <sheetFormatPr defaultRowHeight="15" x14ac:dyDescent="0.25"/>
  <cols>
    <col min="4" max="4" width="25.42578125" customWidth="1"/>
    <col min="5" max="5" width="15.42578125" customWidth="1"/>
    <col min="6" max="6" width="12.7109375" customWidth="1"/>
    <col min="7" max="7" width="10.5703125" bestFit="1" customWidth="1"/>
  </cols>
  <sheetData>
    <row r="3" spans="4:7" ht="15.75" thickBot="1" x14ac:dyDescent="0.3"/>
    <row r="4" spans="4:7" s="228" customFormat="1" x14ac:dyDescent="0.25">
      <c r="D4" s="388" t="s">
        <v>281</v>
      </c>
      <c r="E4" s="389" t="s">
        <v>4641</v>
      </c>
      <c r="F4" s="389" t="s">
        <v>4642</v>
      </c>
      <c r="G4" s="390" t="s">
        <v>4643</v>
      </c>
    </row>
    <row r="5" spans="4:7" x14ac:dyDescent="0.25">
      <c r="D5" s="391" t="s">
        <v>4639</v>
      </c>
      <c r="E5" s="387">
        <v>40892</v>
      </c>
      <c r="F5" s="387">
        <v>40897</v>
      </c>
      <c r="G5" s="392">
        <f>F5-E5</f>
        <v>5</v>
      </c>
    </row>
    <row r="6" spans="4:7" x14ac:dyDescent="0.25">
      <c r="D6" s="391" t="s">
        <v>113</v>
      </c>
      <c r="E6" s="387">
        <v>14830</v>
      </c>
      <c r="F6" s="387">
        <v>14957</v>
      </c>
      <c r="G6" s="392">
        <f>F6-E6</f>
        <v>127</v>
      </c>
    </row>
    <row r="7" spans="4:7" s="228" customFormat="1" ht="15.75" thickBot="1" x14ac:dyDescent="0.3">
      <c r="D7" s="399" t="s">
        <v>4640</v>
      </c>
      <c r="E7" s="400">
        <f>SUM(E5:E6)</f>
        <v>55722</v>
      </c>
      <c r="F7" s="400">
        <f>SUM(F5:F6)</f>
        <v>55854</v>
      </c>
      <c r="G7" s="401">
        <f>F7-E7</f>
        <v>132</v>
      </c>
    </row>
    <row r="8" spans="4:7" x14ac:dyDescent="0.25">
      <c r="D8" s="396" t="s">
        <v>4644</v>
      </c>
      <c r="E8" s="397">
        <v>20123</v>
      </c>
      <c r="F8" s="397">
        <v>17142</v>
      </c>
      <c r="G8" s="398">
        <f>F8-E8</f>
        <v>-2981</v>
      </c>
    </row>
    <row r="9" spans="4:7" x14ac:dyDescent="0.25">
      <c r="D9" s="391" t="s">
        <v>186</v>
      </c>
      <c r="E9" s="387">
        <v>7074</v>
      </c>
      <c r="F9" s="387">
        <v>11387</v>
      </c>
      <c r="G9" s="402">
        <f t="shared" ref="G9:G11" si="0">F9-E9</f>
        <v>4313</v>
      </c>
    </row>
    <row r="10" spans="4:7" x14ac:dyDescent="0.25">
      <c r="D10" s="391" t="s">
        <v>190</v>
      </c>
      <c r="E10" s="387">
        <v>28525</v>
      </c>
      <c r="F10" s="387">
        <v>27325</v>
      </c>
      <c r="G10" s="402">
        <f t="shared" si="0"/>
        <v>-1200</v>
      </c>
    </row>
    <row r="11" spans="4:7" ht="15.75" thickBot="1" x14ac:dyDescent="0.3">
      <c r="D11" s="393" t="s">
        <v>4640</v>
      </c>
      <c r="E11" s="394">
        <f>SUM(E8:E10)</f>
        <v>55722</v>
      </c>
      <c r="F11" s="394">
        <f>SUM(F8:F10)</f>
        <v>55854</v>
      </c>
      <c r="G11" s="395">
        <f t="shared" si="0"/>
        <v>132</v>
      </c>
    </row>
  </sheetData>
  <pageMargins left="0.511811024" right="0.511811024" top="0.78740157499999996" bottom="0.78740157499999996" header="0.31496062000000002" footer="0.3149606200000000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workbookViewId="0">
      <selection activeCell="I5" sqref="I5"/>
    </sheetView>
  </sheetViews>
  <sheetFormatPr defaultColWidth="13.42578125" defaultRowHeight="15" x14ac:dyDescent="0.25"/>
  <sheetData>
    <row r="1" spans="1:9" x14ac:dyDescent="0.25">
      <c r="A1" t="s">
        <v>1368</v>
      </c>
      <c r="B1" t="s">
        <v>1073</v>
      </c>
      <c r="C1">
        <v>24711</v>
      </c>
      <c r="D1" t="s">
        <v>874</v>
      </c>
      <c r="E1" t="s">
        <v>1369</v>
      </c>
      <c r="F1" s="260">
        <v>-2550004.59</v>
      </c>
    </row>
    <row r="3" spans="1:9" x14ac:dyDescent="0.25">
      <c r="A3" t="s">
        <v>1370</v>
      </c>
      <c r="B3" t="s">
        <v>1371</v>
      </c>
      <c r="C3" t="s">
        <v>1372</v>
      </c>
      <c r="D3" t="s">
        <v>1373</v>
      </c>
      <c r="E3" t="s">
        <v>1374</v>
      </c>
      <c r="F3" t="s">
        <v>1288</v>
      </c>
      <c r="G3" t="s">
        <v>1289</v>
      </c>
      <c r="H3" t="s">
        <v>1290</v>
      </c>
    </row>
    <row r="4" spans="1:9" x14ac:dyDescent="0.25">
      <c r="A4" s="283">
        <v>45015</v>
      </c>
      <c r="B4">
        <v>289283</v>
      </c>
      <c r="C4" t="s">
        <v>4626</v>
      </c>
      <c r="D4" t="s">
        <v>4627</v>
      </c>
      <c r="G4" s="260">
        <v>-15904.62</v>
      </c>
      <c r="H4" s="260">
        <v>-2565909.21</v>
      </c>
      <c r="I4">
        <f>G4/1000</f>
        <v>-15.904620000000001</v>
      </c>
    </row>
  </sheetData>
  <pageMargins left="0.511811024" right="0.511811024" top="0.78740157499999996" bottom="0.78740157499999996" header="0.31496062000000002" footer="0.3149606200000000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10"/>
  <sheetViews>
    <sheetView showGridLines="0" topLeftCell="D166" workbookViewId="0">
      <selection activeCell="L208" sqref="L208"/>
    </sheetView>
  </sheetViews>
  <sheetFormatPr defaultRowHeight="15" x14ac:dyDescent="0.25"/>
  <cols>
    <col min="1" max="1" width="38.140625" bestFit="1" customWidth="1"/>
    <col min="2" max="2" width="22.5703125" bestFit="1" customWidth="1"/>
    <col min="3" max="3" width="65.28515625" customWidth="1"/>
    <col min="4" max="4" width="24.85546875" bestFit="1" customWidth="1"/>
    <col min="5" max="5" width="8.42578125" bestFit="1" customWidth="1"/>
    <col min="6" max="6" width="22.85546875" bestFit="1" customWidth="1"/>
    <col min="7" max="7" width="18.85546875" bestFit="1" customWidth="1"/>
    <col min="8" max="8" width="10.85546875" bestFit="1" customWidth="1"/>
    <col min="9" max="9" width="18.85546875" bestFit="1" customWidth="1"/>
    <col min="10" max="10" width="10.85546875" bestFit="1" customWidth="1"/>
  </cols>
  <sheetData>
    <row r="1" spans="1:9" x14ac:dyDescent="0.25">
      <c r="A1" t="s">
        <v>1357</v>
      </c>
      <c r="B1" t="s">
        <v>1358</v>
      </c>
      <c r="C1" t="s">
        <v>1359</v>
      </c>
      <c r="D1" t="s">
        <v>1360</v>
      </c>
      <c r="E1" t="s">
        <v>1361</v>
      </c>
      <c r="F1" t="s">
        <v>1362</v>
      </c>
      <c r="G1" t="s">
        <v>1363</v>
      </c>
      <c r="H1" t="s">
        <v>1364</v>
      </c>
      <c r="I1" t="s">
        <v>1365</v>
      </c>
    </row>
    <row r="2" spans="1:9" x14ac:dyDescent="0.25">
      <c r="A2" t="s">
        <v>1366</v>
      </c>
    </row>
    <row r="4" spans="1:9" ht="15.75" x14ac:dyDescent="0.25">
      <c r="A4" s="773" t="s">
        <v>1367</v>
      </c>
      <c r="B4" s="773"/>
      <c r="C4" s="773"/>
      <c r="D4" s="216"/>
      <c r="E4" s="217"/>
      <c r="F4" s="218"/>
      <c r="G4" s="217"/>
      <c r="H4" s="217"/>
      <c r="I4" s="217"/>
    </row>
    <row r="5" spans="1:9" x14ac:dyDescent="0.25">
      <c r="A5" s="220" t="s">
        <v>1368</v>
      </c>
      <c r="B5" s="220" t="s">
        <v>969</v>
      </c>
      <c r="C5" s="220">
        <v>11239</v>
      </c>
      <c r="D5" s="221" t="s">
        <v>99</v>
      </c>
      <c r="E5" s="220" t="s">
        <v>1369</v>
      </c>
      <c r="F5" s="222">
        <v>1268.54</v>
      </c>
      <c r="G5" s="220"/>
      <c r="H5" s="220"/>
      <c r="I5" s="220"/>
    </row>
    <row r="6" spans="1:9" x14ac:dyDescent="0.25">
      <c r="A6" s="223">
        <v>44217</v>
      </c>
      <c r="B6" s="217">
        <v>264949</v>
      </c>
      <c r="C6" s="217" t="s">
        <v>1456</v>
      </c>
      <c r="D6" s="224" t="s">
        <v>1457</v>
      </c>
      <c r="E6" s="217"/>
      <c r="F6" s="218" t="s">
        <v>1458</v>
      </c>
      <c r="G6" s="217">
        <v>1.9</v>
      </c>
      <c r="H6" s="225"/>
      <c r="I6" s="225">
        <v>1270.44</v>
      </c>
    </row>
    <row r="7" spans="1:9" x14ac:dyDescent="0.25">
      <c r="A7" s="223">
        <v>44255</v>
      </c>
      <c r="B7" s="217">
        <v>266401</v>
      </c>
      <c r="C7" s="217" t="s">
        <v>1459</v>
      </c>
      <c r="D7" s="224" t="s">
        <v>1460</v>
      </c>
      <c r="E7" s="217"/>
      <c r="F7" s="218" t="s">
        <v>1458</v>
      </c>
      <c r="G7" s="217">
        <v>1.71</v>
      </c>
      <c r="H7" s="225"/>
      <c r="I7" s="225">
        <v>1272.1500000000001</v>
      </c>
    </row>
    <row r="8" spans="1:9" x14ac:dyDescent="0.25">
      <c r="A8" s="223">
        <v>44286</v>
      </c>
      <c r="B8" s="217">
        <v>267093</v>
      </c>
      <c r="C8" s="217" t="s">
        <v>1461</v>
      </c>
      <c r="D8" s="224" t="s">
        <v>1462</v>
      </c>
      <c r="E8" s="217"/>
      <c r="F8" s="218" t="s">
        <v>1458</v>
      </c>
      <c r="G8" s="225">
        <v>2.42</v>
      </c>
      <c r="H8" s="217"/>
      <c r="I8" s="225">
        <v>1274.57</v>
      </c>
    </row>
    <row r="9" spans="1:9" x14ac:dyDescent="0.25">
      <c r="A9" s="223">
        <v>44316</v>
      </c>
      <c r="B9" s="217">
        <v>267758</v>
      </c>
      <c r="C9" s="217" t="s">
        <v>1463</v>
      </c>
      <c r="D9" s="224" t="s">
        <v>1464</v>
      </c>
      <c r="E9" s="217"/>
      <c r="F9" s="218" t="s">
        <v>1458</v>
      </c>
      <c r="G9" s="225">
        <v>2.52</v>
      </c>
      <c r="H9" s="217"/>
      <c r="I9" s="225">
        <v>1277.0899999999999</v>
      </c>
    </row>
    <row r="10" spans="1:9" x14ac:dyDescent="0.25">
      <c r="A10" s="223">
        <v>44347</v>
      </c>
      <c r="B10" s="217">
        <v>268258</v>
      </c>
      <c r="C10" s="217" t="s">
        <v>1465</v>
      </c>
      <c r="D10" s="224" t="s">
        <v>1466</v>
      </c>
      <c r="E10" s="217"/>
      <c r="F10" s="218" t="s">
        <v>1458</v>
      </c>
      <c r="G10" s="217">
        <v>3.28</v>
      </c>
      <c r="H10" s="225"/>
      <c r="I10" s="225">
        <v>1280.3699999999999</v>
      </c>
    </row>
    <row r="11" spans="1:9" x14ac:dyDescent="0.25">
      <c r="A11" s="223">
        <v>44377</v>
      </c>
      <c r="B11" s="217">
        <v>268539</v>
      </c>
      <c r="C11" s="217" t="s">
        <v>1467</v>
      </c>
      <c r="D11" s="216" t="s">
        <v>1383</v>
      </c>
      <c r="E11" s="217"/>
      <c r="F11" s="218" t="s">
        <v>1458</v>
      </c>
      <c r="G11" s="217">
        <v>3.73</v>
      </c>
      <c r="H11" s="225"/>
      <c r="I11" s="225">
        <v>1284.0999999999999</v>
      </c>
    </row>
    <row r="12" spans="1:9" x14ac:dyDescent="0.25">
      <c r="A12" s="223">
        <v>44408</v>
      </c>
      <c r="B12" s="217">
        <v>269095</v>
      </c>
      <c r="C12" s="217" t="s">
        <v>1468</v>
      </c>
      <c r="D12" s="216" t="s">
        <v>1395</v>
      </c>
      <c r="E12" s="217"/>
      <c r="F12" s="218" t="s">
        <v>1458</v>
      </c>
      <c r="G12" s="225">
        <v>4.57</v>
      </c>
      <c r="H12" s="217"/>
      <c r="I12" s="225">
        <v>1288.67</v>
      </c>
    </row>
    <row r="13" spans="1:9" x14ac:dyDescent="0.25">
      <c r="A13" s="223">
        <v>44439</v>
      </c>
      <c r="B13" s="217">
        <v>269619</v>
      </c>
      <c r="C13" s="217" t="s">
        <v>1469</v>
      </c>
      <c r="D13" s="216" t="s">
        <v>1397</v>
      </c>
      <c r="E13" s="217"/>
      <c r="F13" s="218" t="s">
        <v>1458</v>
      </c>
      <c r="G13" s="217">
        <v>5.26</v>
      </c>
      <c r="H13" s="225"/>
      <c r="I13" s="225">
        <v>1293.93</v>
      </c>
    </row>
    <row r="14" spans="1:9" x14ac:dyDescent="0.25">
      <c r="A14" s="223">
        <v>44469</v>
      </c>
      <c r="B14" s="217">
        <v>270259</v>
      </c>
      <c r="C14" s="217" t="s">
        <v>1470</v>
      </c>
      <c r="D14" s="216" t="s">
        <v>1385</v>
      </c>
      <c r="E14" s="217"/>
      <c r="F14" s="218" t="s">
        <v>1458</v>
      </c>
      <c r="G14" s="217">
        <v>5.41</v>
      </c>
      <c r="H14" s="225"/>
      <c r="I14" s="225">
        <v>1299.3399999999999</v>
      </c>
    </row>
    <row r="15" spans="1:9" x14ac:dyDescent="0.25">
      <c r="A15" s="223">
        <v>44499</v>
      </c>
      <c r="B15" s="217">
        <v>270601</v>
      </c>
      <c r="C15" s="217" t="s">
        <v>1471</v>
      </c>
      <c r="D15" s="216">
        <v>44470</v>
      </c>
      <c r="E15" s="217"/>
      <c r="F15" s="218" t="s">
        <v>1458</v>
      </c>
      <c r="G15" s="225">
        <v>6.37</v>
      </c>
      <c r="H15" s="217"/>
      <c r="I15" s="225">
        <v>1305.71</v>
      </c>
    </row>
    <row r="16" spans="1:9" x14ac:dyDescent="0.25">
      <c r="A16" s="223">
        <v>44530</v>
      </c>
      <c r="B16" s="217">
        <v>271393</v>
      </c>
      <c r="C16" s="217" t="s">
        <v>1472</v>
      </c>
      <c r="D16" s="216" t="s">
        <v>1390</v>
      </c>
      <c r="E16" s="217"/>
      <c r="F16" s="218" t="s">
        <v>1458</v>
      </c>
      <c r="G16" s="225">
        <v>7.7</v>
      </c>
      <c r="H16" s="217"/>
      <c r="I16" s="225">
        <v>1313.41</v>
      </c>
    </row>
    <row r="17" spans="1:9" x14ac:dyDescent="0.25">
      <c r="A17" s="223">
        <v>44561</v>
      </c>
      <c r="B17" s="217">
        <v>272090</v>
      </c>
      <c r="C17" s="217" t="s">
        <v>1473</v>
      </c>
      <c r="D17" s="224" t="s">
        <v>1392</v>
      </c>
      <c r="E17" s="217"/>
      <c r="F17" s="218" t="s">
        <v>1458</v>
      </c>
      <c r="G17" s="217">
        <v>10.11</v>
      </c>
      <c r="H17" s="225"/>
      <c r="I17" s="225">
        <v>1323.52</v>
      </c>
    </row>
    <row r="18" spans="1:9" x14ac:dyDescent="0.25">
      <c r="A18" s="220" t="s">
        <v>1368</v>
      </c>
      <c r="B18" s="220" t="s">
        <v>356</v>
      </c>
      <c r="C18" s="220">
        <v>112321</v>
      </c>
      <c r="D18" s="221" t="s">
        <v>100</v>
      </c>
      <c r="E18" s="220" t="s">
        <v>1369</v>
      </c>
      <c r="F18" s="222">
        <v>104047.9</v>
      </c>
      <c r="G18" s="220"/>
      <c r="H18" s="220"/>
      <c r="I18" s="220"/>
    </row>
    <row r="19" spans="1:9" x14ac:dyDescent="0.25">
      <c r="A19" s="223">
        <v>44197</v>
      </c>
      <c r="B19" s="217">
        <v>264958</v>
      </c>
      <c r="C19" s="217" t="s">
        <v>1474</v>
      </c>
      <c r="D19" s="224" t="s">
        <v>1475</v>
      </c>
      <c r="E19" s="217"/>
      <c r="F19" s="218" t="s">
        <v>1476</v>
      </c>
      <c r="G19" s="217"/>
      <c r="H19" s="217">
        <v>-104047.9</v>
      </c>
      <c r="I19" s="225">
        <v>0</v>
      </c>
    </row>
    <row r="20" spans="1:9" x14ac:dyDescent="0.25">
      <c r="A20" s="223">
        <v>44553</v>
      </c>
      <c r="B20" s="217">
        <v>271990</v>
      </c>
      <c r="C20" s="217" t="s">
        <v>1477</v>
      </c>
      <c r="D20" s="224" t="s">
        <v>1478</v>
      </c>
      <c r="E20" s="217"/>
      <c r="F20" s="218" t="s">
        <v>1479</v>
      </c>
      <c r="G20" s="217">
        <v>52611.32</v>
      </c>
      <c r="H20" s="225"/>
      <c r="I20" s="225">
        <v>52611.32</v>
      </c>
    </row>
    <row r="21" spans="1:9" x14ac:dyDescent="0.25">
      <c r="A21" s="223">
        <v>44559</v>
      </c>
      <c r="B21" s="217">
        <v>272011</v>
      </c>
      <c r="C21" s="217" t="s">
        <v>1480</v>
      </c>
      <c r="D21" s="216" t="s">
        <v>1481</v>
      </c>
      <c r="E21" s="217"/>
      <c r="F21" s="218" t="s">
        <v>1479</v>
      </c>
      <c r="G21" s="217">
        <v>3943.97</v>
      </c>
      <c r="H21" s="225"/>
      <c r="I21" s="225">
        <v>56555.29</v>
      </c>
    </row>
    <row r="22" spans="1:9" x14ac:dyDescent="0.25">
      <c r="A22" s="220" t="s">
        <v>1368</v>
      </c>
      <c r="B22" s="220" t="s">
        <v>970</v>
      </c>
      <c r="C22" s="220">
        <v>112323</v>
      </c>
      <c r="D22" s="221" t="s">
        <v>101</v>
      </c>
      <c r="E22" s="220" t="s">
        <v>1369</v>
      </c>
      <c r="F22" s="222">
        <v>4925.2299999999996</v>
      </c>
      <c r="G22" s="220"/>
      <c r="H22" s="220"/>
      <c r="I22" s="220"/>
    </row>
    <row r="23" spans="1:9" x14ac:dyDescent="0.25">
      <c r="A23" s="223">
        <v>44217</v>
      </c>
      <c r="B23" s="217">
        <v>264950</v>
      </c>
      <c r="C23" s="217" t="s">
        <v>1456</v>
      </c>
      <c r="D23" s="216" t="s">
        <v>1457</v>
      </c>
      <c r="E23" s="217"/>
      <c r="F23" s="218" t="s">
        <v>1458</v>
      </c>
      <c r="G23" s="225">
        <v>5.67</v>
      </c>
      <c r="H23" s="217"/>
      <c r="I23" s="225">
        <v>4930.8999999999996</v>
      </c>
    </row>
    <row r="24" spans="1:9" x14ac:dyDescent="0.25">
      <c r="A24" s="223">
        <v>44255</v>
      </c>
      <c r="B24" s="217">
        <v>266402</v>
      </c>
      <c r="C24" s="217" t="s">
        <v>1459</v>
      </c>
      <c r="D24" s="216" t="s">
        <v>1460</v>
      </c>
      <c r="E24" s="217"/>
      <c r="F24" s="218" t="s">
        <v>1458</v>
      </c>
      <c r="G24" s="225">
        <v>5.0999999999999996</v>
      </c>
      <c r="H24" s="217"/>
      <c r="I24" s="225">
        <v>4936</v>
      </c>
    </row>
    <row r="25" spans="1:9" x14ac:dyDescent="0.25">
      <c r="A25" s="223">
        <v>44286</v>
      </c>
      <c r="B25" s="217">
        <v>267094</v>
      </c>
      <c r="C25" s="217" t="s">
        <v>1461</v>
      </c>
      <c r="D25" s="216" t="s">
        <v>1462</v>
      </c>
      <c r="E25" s="217"/>
      <c r="F25" s="218" t="s">
        <v>1458</v>
      </c>
      <c r="G25" s="225">
        <v>4.43</v>
      </c>
      <c r="H25" s="217"/>
      <c r="I25" s="225">
        <v>4940.43</v>
      </c>
    </row>
    <row r="26" spans="1:9" x14ac:dyDescent="0.25">
      <c r="A26" s="223">
        <v>44316</v>
      </c>
      <c r="B26" s="217">
        <v>267759</v>
      </c>
      <c r="C26" s="217" t="s">
        <v>1482</v>
      </c>
      <c r="D26" s="216" t="s">
        <v>1464</v>
      </c>
      <c r="E26" s="217"/>
      <c r="F26" s="218" t="s">
        <v>1458</v>
      </c>
      <c r="G26" s="225">
        <v>7.48</v>
      </c>
      <c r="H26" s="217"/>
      <c r="I26" s="225">
        <v>4947.91</v>
      </c>
    </row>
    <row r="27" spans="1:9" x14ac:dyDescent="0.25">
      <c r="A27" s="223">
        <v>44347</v>
      </c>
      <c r="B27" s="217">
        <v>268259</v>
      </c>
      <c r="C27" s="217" t="s">
        <v>1465</v>
      </c>
      <c r="D27" s="216" t="s">
        <v>1466</v>
      </c>
      <c r="E27" s="217"/>
      <c r="F27" s="218" t="s">
        <v>1458</v>
      </c>
      <c r="G27" s="225">
        <v>9.74</v>
      </c>
      <c r="H27" s="217"/>
      <c r="I27" s="225">
        <v>4957.6499999999996</v>
      </c>
    </row>
    <row r="28" spans="1:9" x14ac:dyDescent="0.25">
      <c r="A28" s="223">
        <v>44377</v>
      </c>
      <c r="B28" s="217">
        <v>268540</v>
      </c>
      <c r="C28" s="217" t="s">
        <v>1467</v>
      </c>
      <c r="D28" s="216" t="s">
        <v>1383</v>
      </c>
      <c r="E28" s="217"/>
      <c r="F28" s="218" t="s">
        <v>1458</v>
      </c>
      <c r="G28" s="225">
        <v>11.05</v>
      </c>
      <c r="H28" s="217"/>
      <c r="I28" s="225">
        <v>4968.7</v>
      </c>
    </row>
    <row r="29" spans="1:9" x14ac:dyDescent="0.25">
      <c r="A29" s="223">
        <v>44408</v>
      </c>
      <c r="B29" s="217">
        <v>269096</v>
      </c>
      <c r="C29" s="217" t="s">
        <v>1483</v>
      </c>
      <c r="D29" s="216" t="s">
        <v>1395</v>
      </c>
      <c r="E29" s="217"/>
      <c r="F29" s="218" t="s">
        <v>1458</v>
      </c>
      <c r="G29" s="225">
        <v>13.48</v>
      </c>
      <c r="H29" s="217"/>
      <c r="I29" s="225">
        <v>4982.18</v>
      </c>
    </row>
    <row r="30" spans="1:9" x14ac:dyDescent="0.25">
      <c r="A30" s="223">
        <v>44439</v>
      </c>
      <c r="B30" s="217">
        <v>269620</v>
      </c>
      <c r="C30" s="217" t="s">
        <v>1469</v>
      </c>
      <c r="D30" s="216" t="s">
        <v>1397</v>
      </c>
      <c r="E30" s="217"/>
      <c r="F30" s="218" t="s">
        <v>1458</v>
      </c>
      <c r="G30" s="225">
        <v>15.47</v>
      </c>
      <c r="H30" s="217"/>
      <c r="I30" s="225">
        <v>4997.6499999999996</v>
      </c>
    </row>
    <row r="31" spans="1:9" x14ac:dyDescent="0.25">
      <c r="A31" s="223">
        <v>44469</v>
      </c>
      <c r="B31" s="217">
        <v>270260</v>
      </c>
      <c r="C31" s="217" t="s">
        <v>1470</v>
      </c>
      <c r="D31" s="216" t="s">
        <v>1385</v>
      </c>
      <c r="E31" s="217"/>
      <c r="F31" s="218" t="s">
        <v>1458</v>
      </c>
      <c r="G31" s="225">
        <v>15.85</v>
      </c>
      <c r="H31" s="217"/>
      <c r="I31" s="225">
        <v>5013.5</v>
      </c>
    </row>
    <row r="32" spans="1:9" x14ac:dyDescent="0.25">
      <c r="A32" s="223">
        <v>44499</v>
      </c>
      <c r="B32" s="217">
        <v>270602</v>
      </c>
      <c r="C32" s="217" t="s">
        <v>1471</v>
      </c>
      <c r="D32" s="216">
        <v>44470</v>
      </c>
      <c r="E32" s="217"/>
      <c r="F32" s="218" t="s">
        <v>1458</v>
      </c>
      <c r="G32" s="225">
        <v>18.579999999999998</v>
      </c>
      <c r="H32" s="217"/>
      <c r="I32" s="225">
        <v>5032.08</v>
      </c>
    </row>
    <row r="33" spans="1:9" x14ac:dyDescent="0.25">
      <c r="A33" s="223">
        <v>44530</v>
      </c>
      <c r="B33" s="217">
        <v>271394</v>
      </c>
      <c r="C33" s="217" t="s">
        <v>1472</v>
      </c>
      <c r="D33" s="216" t="s">
        <v>1390</v>
      </c>
      <c r="E33" s="217"/>
      <c r="F33" s="218" t="s">
        <v>1458</v>
      </c>
      <c r="G33" s="217">
        <v>22.37</v>
      </c>
      <c r="H33" s="217"/>
      <c r="I33" s="225">
        <v>5054.45</v>
      </c>
    </row>
    <row r="34" spans="1:9" x14ac:dyDescent="0.25">
      <c r="A34" s="223">
        <v>44561</v>
      </c>
      <c r="B34" s="217">
        <v>272091</v>
      </c>
      <c r="C34" s="217" t="s">
        <v>1484</v>
      </c>
      <c r="D34" s="216" t="s">
        <v>1392</v>
      </c>
      <c r="E34" s="217"/>
      <c r="F34" s="218" t="s">
        <v>1458</v>
      </c>
      <c r="G34" s="217">
        <v>29.19</v>
      </c>
      <c r="H34" s="217"/>
      <c r="I34" s="225">
        <v>5083.6400000000003</v>
      </c>
    </row>
    <row r="35" spans="1:9" x14ac:dyDescent="0.25">
      <c r="A35" s="220" t="s">
        <v>1368</v>
      </c>
      <c r="B35" s="220" t="s">
        <v>362</v>
      </c>
      <c r="C35" s="220">
        <v>112327</v>
      </c>
      <c r="D35" s="221" t="s">
        <v>102</v>
      </c>
      <c r="E35" s="220" t="s">
        <v>1369</v>
      </c>
      <c r="F35" s="226">
        <v>206.14</v>
      </c>
      <c r="G35" s="220"/>
      <c r="H35" s="220"/>
      <c r="I35" s="220"/>
    </row>
    <row r="36" spans="1:9" x14ac:dyDescent="0.25">
      <c r="A36" s="223">
        <v>44217</v>
      </c>
      <c r="B36" s="217">
        <v>264953</v>
      </c>
      <c r="C36" s="217" t="s">
        <v>1456</v>
      </c>
      <c r="D36" s="216" t="s">
        <v>1457</v>
      </c>
      <c r="E36" s="217"/>
      <c r="F36" s="218" t="s">
        <v>1458</v>
      </c>
      <c r="G36" s="217">
        <v>0.31</v>
      </c>
      <c r="H36" s="217"/>
      <c r="I36" s="225">
        <v>206.45</v>
      </c>
    </row>
    <row r="37" spans="1:9" x14ac:dyDescent="0.25">
      <c r="A37" s="223">
        <v>44255</v>
      </c>
      <c r="B37" s="217">
        <v>266405</v>
      </c>
      <c r="C37" s="217" t="s">
        <v>1459</v>
      </c>
      <c r="D37" s="216" t="s">
        <v>1460</v>
      </c>
      <c r="E37" s="217"/>
      <c r="F37" s="218" t="s">
        <v>1458</v>
      </c>
      <c r="G37" s="217">
        <v>0.28000000000000003</v>
      </c>
      <c r="H37" s="217"/>
      <c r="I37" s="225">
        <v>206.73</v>
      </c>
    </row>
    <row r="38" spans="1:9" x14ac:dyDescent="0.25">
      <c r="A38" s="223">
        <v>44286</v>
      </c>
      <c r="B38" s="217">
        <v>267097</v>
      </c>
      <c r="C38" s="217" t="s">
        <v>1461</v>
      </c>
      <c r="D38" s="224" t="s">
        <v>1462</v>
      </c>
      <c r="E38" s="217"/>
      <c r="F38" s="218" t="s">
        <v>1458</v>
      </c>
      <c r="G38" s="217">
        <v>0.39</v>
      </c>
      <c r="H38" s="225"/>
      <c r="I38" s="225">
        <v>207.12</v>
      </c>
    </row>
    <row r="39" spans="1:9" x14ac:dyDescent="0.25">
      <c r="A39" s="223">
        <v>44316</v>
      </c>
      <c r="B39" s="217">
        <v>267761</v>
      </c>
      <c r="C39" s="217" t="s">
        <v>1482</v>
      </c>
      <c r="D39" s="224" t="s">
        <v>1464</v>
      </c>
      <c r="E39" s="217"/>
      <c r="F39" s="218" t="s">
        <v>1458</v>
      </c>
      <c r="G39" s="217">
        <v>0.41</v>
      </c>
      <c r="H39" s="225"/>
      <c r="I39" s="225">
        <v>207.53</v>
      </c>
    </row>
    <row r="40" spans="1:9" x14ac:dyDescent="0.25">
      <c r="A40" s="223">
        <v>44347</v>
      </c>
      <c r="B40" s="217">
        <v>268261</v>
      </c>
      <c r="C40" s="217" t="s">
        <v>1465</v>
      </c>
      <c r="D40" s="216" t="s">
        <v>1466</v>
      </c>
      <c r="E40" s="217"/>
      <c r="F40" s="218" t="s">
        <v>1458</v>
      </c>
      <c r="G40" s="217">
        <v>0.53</v>
      </c>
      <c r="H40" s="225"/>
      <c r="I40" s="225">
        <v>208.06</v>
      </c>
    </row>
    <row r="41" spans="1:9" x14ac:dyDescent="0.25">
      <c r="A41" s="223">
        <v>44377</v>
      </c>
      <c r="B41" s="217">
        <v>268542</v>
      </c>
      <c r="C41" s="217" t="s">
        <v>1467</v>
      </c>
      <c r="D41" s="216" t="s">
        <v>1383</v>
      </c>
      <c r="E41" s="217"/>
      <c r="F41" s="218" t="s">
        <v>1458</v>
      </c>
      <c r="G41" s="217">
        <v>0.6</v>
      </c>
      <c r="H41" s="225"/>
      <c r="I41" s="225">
        <v>208.66</v>
      </c>
    </row>
    <row r="42" spans="1:9" x14ac:dyDescent="0.25">
      <c r="A42" s="223">
        <v>44408</v>
      </c>
      <c r="B42" s="217">
        <v>269098</v>
      </c>
      <c r="C42" s="217" t="s">
        <v>1483</v>
      </c>
      <c r="D42" s="216" t="s">
        <v>1395</v>
      </c>
      <c r="E42" s="217"/>
      <c r="F42" s="218" t="s">
        <v>1458</v>
      </c>
      <c r="G42" s="217">
        <v>0.73</v>
      </c>
      <c r="H42" s="217"/>
      <c r="I42" s="225">
        <v>209.39</v>
      </c>
    </row>
    <row r="43" spans="1:9" x14ac:dyDescent="0.25">
      <c r="A43" s="223">
        <v>44439</v>
      </c>
      <c r="B43" s="217">
        <v>269622</v>
      </c>
      <c r="C43" s="217" t="s">
        <v>1469</v>
      </c>
      <c r="D43" s="216" t="s">
        <v>1397</v>
      </c>
      <c r="E43" s="217"/>
      <c r="F43" s="218" t="s">
        <v>1458</v>
      </c>
      <c r="G43" s="217">
        <v>0.84</v>
      </c>
      <c r="H43" s="225"/>
      <c r="I43" s="225">
        <v>210.23</v>
      </c>
    </row>
    <row r="44" spans="1:9" x14ac:dyDescent="0.25">
      <c r="A44" s="223">
        <v>44469</v>
      </c>
      <c r="B44" s="217">
        <v>270262</v>
      </c>
      <c r="C44" s="217" t="s">
        <v>1470</v>
      </c>
      <c r="D44" s="216" t="s">
        <v>1385</v>
      </c>
      <c r="E44" s="217"/>
      <c r="F44" s="218" t="s">
        <v>1458</v>
      </c>
      <c r="G44" s="217">
        <v>0.86</v>
      </c>
      <c r="H44" s="225"/>
      <c r="I44" s="225">
        <v>211.09</v>
      </c>
    </row>
    <row r="45" spans="1:9" x14ac:dyDescent="0.25">
      <c r="A45" s="223">
        <v>44499</v>
      </c>
      <c r="B45" s="217">
        <v>270604</v>
      </c>
      <c r="C45" s="217" t="s">
        <v>1471</v>
      </c>
      <c r="D45" s="216">
        <v>44470</v>
      </c>
      <c r="E45" s="217"/>
      <c r="F45" s="218" t="s">
        <v>1458</v>
      </c>
      <c r="G45" s="217">
        <v>1.01</v>
      </c>
      <c r="H45" s="225"/>
      <c r="I45" s="225">
        <v>212.1</v>
      </c>
    </row>
    <row r="46" spans="1:9" x14ac:dyDescent="0.25">
      <c r="A46" s="223">
        <v>44530</v>
      </c>
      <c r="B46" s="217">
        <v>271395</v>
      </c>
      <c r="C46" s="217" t="s">
        <v>1472</v>
      </c>
      <c r="D46" s="216" t="s">
        <v>1390</v>
      </c>
      <c r="E46" s="217"/>
      <c r="F46" s="218" t="s">
        <v>1458</v>
      </c>
      <c r="G46" s="217">
        <v>1.21</v>
      </c>
      <c r="H46" s="217"/>
      <c r="I46" s="225">
        <v>213.31</v>
      </c>
    </row>
    <row r="47" spans="1:9" x14ac:dyDescent="0.25">
      <c r="A47" s="223">
        <v>44561</v>
      </c>
      <c r="B47" s="217">
        <v>272092</v>
      </c>
      <c r="C47" s="217" t="s">
        <v>1484</v>
      </c>
      <c r="D47" s="216" t="s">
        <v>1392</v>
      </c>
      <c r="E47" s="217"/>
      <c r="F47" s="218" t="s">
        <v>1458</v>
      </c>
      <c r="G47" s="217">
        <v>1.58</v>
      </c>
      <c r="H47" s="217"/>
      <c r="I47" s="225">
        <v>214.89</v>
      </c>
    </row>
    <row r="48" spans="1:9" x14ac:dyDescent="0.25">
      <c r="A48" s="220" t="s">
        <v>1368</v>
      </c>
      <c r="B48" s="220" t="s">
        <v>984</v>
      </c>
      <c r="C48" s="220">
        <v>12131</v>
      </c>
      <c r="D48" s="221" t="s">
        <v>115</v>
      </c>
      <c r="E48" s="220" t="s">
        <v>1369</v>
      </c>
      <c r="F48" s="226">
        <v>196678.66</v>
      </c>
      <c r="G48" s="220"/>
      <c r="H48" s="220"/>
      <c r="I48" s="220"/>
    </row>
    <row r="49" spans="1:9" x14ac:dyDescent="0.25">
      <c r="A49" s="223">
        <v>44217</v>
      </c>
      <c r="B49" s="217">
        <v>264955</v>
      </c>
      <c r="C49" s="217" t="s">
        <v>1456</v>
      </c>
      <c r="D49" s="216" t="s">
        <v>1457</v>
      </c>
      <c r="E49" s="217"/>
      <c r="F49" s="218" t="s">
        <v>1458</v>
      </c>
      <c r="G49" s="217">
        <v>217.65</v>
      </c>
      <c r="H49" s="217"/>
      <c r="I49" s="225">
        <v>196896.31</v>
      </c>
    </row>
    <row r="50" spans="1:9" x14ac:dyDescent="0.25">
      <c r="A50" s="223">
        <v>44227</v>
      </c>
      <c r="B50" s="217">
        <v>266178</v>
      </c>
      <c r="C50" s="217" t="s">
        <v>1485</v>
      </c>
      <c r="D50" s="216">
        <v>12021</v>
      </c>
      <c r="E50" s="217"/>
      <c r="F50" s="218" t="s">
        <v>1486</v>
      </c>
      <c r="G50" s="217"/>
      <c r="H50" s="217">
        <v>-74362.899999999994</v>
      </c>
      <c r="I50" s="225">
        <v>122533.41</v>
      </c>
    </row>
    <row r="51" spans="1:9" x14ac:dyDescent="0.25">
      <c r="A51" s="223">
        <v>44228</v>
      </c>
      <c r="B51" s="217">
        <v>266867</v>
      </c>
      <c r="C51" s="217" t="s">
        <v>1487</v>
      </c>
      <c r="D51" s="216" t="s">
        <v>1460</v>
      </c>
      <c r="E51" s="217"/>
      <c r="F51" s="218" t="s">
        <v>1488</v>
      </c>
      <c r="G51" s="217"/>
      <c r="H51" s="217">
        <v>-145599.25</v>
      </c>
      <c r="I51" s="225">
        <v>-23065.84</v>
      </c>
    </row>
    <row r="52" spans="1:9" x14ac:dyDescent="0.25">
      <c r="A52" s="223">
        <v>44228</v>
      </c>
      <c r="B52" s="217">
        <v>266868</v>
      </c>
      <c r="C52" s="217" t="s">
        <v>1489</v>
      </c>
      <c r="D52" s="216" t="s">
        <v>1457</v>
      </c>
      <c r="E52" s="217"/>
      <c r="F52" s="218" t="s">
        <v>1488</v>
      </c>
      <c r="G52" s="217">
        <v>74362.899999999994</v>
      </c>
      <c r="H52" s="217"/>
      <c r="I52" s="225">
        <v>51297.06</v>
      </c>
    </row>
    <row r="53" spans="1:9" x14ac:dyDescent="0.25">
      <c r="A53" s="223">
        <v>44255</v>
      </c>
      <c r="B53" s="217">
        <v>266407</v>
      </c>
      <c r="C53" s="217" t="s">
        <v>1459</v>
      </c>
      <c r="D53" s="216" t="s">
        <v>1490</v>
      </c>
      <c r="E53" s="217"/>
      <c r="F53" s="218" t="s">
        <v>1458</v>
      </c>
      <c r="G53" s="217">
        <v>63.69</v>
      </c>
      <c r="H53" s="217"/>
      <c r="I53" s="225">
        <v>51360.75</v>
      </c>
    </row>
    <row r="54" spans="1:9" x14ac:dyDescent="0.25">
      <c r="A54" s="223">
        <v>44255</v>
      </c>
      <c r="B54" s="217">
        <v>266869</v>
      </c>
      <c r="C54" s="217" t="s">
        <v>1491</v>
      </c>
      <c r="D54" s="216" t="s">
        <v>1460</v>
      </c>
      <c r="E54" s="217"/>
      <c r="F54" s="218" t="s">
        <v>265</v>
      </c>
      <c r="G54" s="217"/>
      <c r="H54" s="217">
        <v>-2044.87</v>
      </c>
      <c r="I54" s="225">
        <v>49315.88</v>
      </c>
    </row>
    <row r="55" spans="1:9" x14ac:dyDescent="0.25">
      <c r="A55" s="223">
        <v>44286</v>
      </c>
      <c r="B55" s="217">
        <v>267283</v>
      </c>
      <c r="C55" s="217" t="s">
        <v>1492</v>
      </c>
      <c r="D55" s="216">
        <v>32021</v>
      </c>
      <c r="E55" s="217"/>
      <c r="F55" s="218" t="s">
        <v>1493</v>
      </c>
      <c r="G55" s="217"/>
      <c r="H55" s="217">
        <v>-579.92999999999995</v>
      </c>
      <c r="I55" s="225">
        <v>48735.95</v>
      </c>
    </row>
    <row r="56" spans="1:9" x14ac:dyDescent="0.25">
      <c r="A56" s="223">
        <v>44286</v>
      </c>
      <c r="B56" s="217">
        <v>267284</v>
      </c>
      <c r="C56" s="217" t="s">
        <v>1494</v>
      </c>
      <c r="D56" s="216">
        <v>32021</v>
      </c>
      <c r="E56" s="217"/>
      <c r="F56" s="218" t="s">
        <v>360</v>
      </c>
      <c r="G56" s="217">
        <v>18636.47</v>
      </c>
      <c r="H56" s="217"/>
      <c r="I56" s="225">
        <v>67372.42</v>
      </c>
    </row>
    <row r="57" spans="1:9" x14ac:dyDescent="0.25">
      <c r="A57" s="223">
        <v>44316</v>
      </c>
      <c r="B57" s="217">
        <v>267762</v>
      </c>
      <c r="C57" s="217" t="s">
        <v>1482</v>
      </c>
      <c r="D57" s="216" t="s">
        <v>1466</v>
      </c>
      <c r="E57" s="217"/>
      <c r="F57" s="218" t="s">
        <v>1458</v>
      </c>
      <c r="G57" s="217">
        <v>127.61</v>
      </c>
      <c r="H57" s="217"/>
      <c r="I57" s="225">
        <v>67500.03</v>
      </c>
    </row>
    <row r="58" spans="1:9" x14ac:dyDescent="0.25">
      <c r="A58" s="223">
        <v>44347</v>
      </c>
      <c r="B58" s="217">
        <v>268262</v>
      </c>
      <c r="C58" s="217" t="s">
        <v>1465</v>
      </c>
      <c r="D58" s="216" t="s">
        <v>1466</v>
      </c>
      <c r="E58" s="217"/>
      <c r="F58" s="218" t="s">
        <v>1458</v>
      </c>
      <c r="G58" s="217">
        <v>166.17</v>
      </c>
      <c r="H58" s="217"/>
      <c r="I58" s="225">
        <v>67666.2</v>
      </c>
    </row>
    <row r="59" spans="1:9" x14ac:dyDescent="0.25">
      <c r="A59" s="223">
        <v>44377</v>
      </c>
      <c r="B59" s="217">
        <v>268543</v>
      </c>
      <c r="C59" s="217" t="s">
        <v>1467</v>
      </c>
      <c r="D59" s="216" t="s">
        <v>1383</v>
      </c>
      <c r="E59" s="217"/>
      <c r="F59" s="218" t="s">
        <v>1458</v>
      </c>
      <c r="G59" s="217">
        <v>188.52</v>
      </c>
      <c r="H59" s="217"/>
      <c r="I59" s="225">
        <v>67854.720000000001</v>
      </c>
    </row>
    <row r="60" spans="1:9" x14ac:dyDescent="0.25">
      <c r="A60" s="223">
        <v>44408</v>
      </c>
      <c r="B60" s="217">
        <v>269099</v>
      </c>
      <c r="C60" s="217" t="s">
        <v>1483</v>
      </c>
      <c r="D60" s="216" t="s">
        <v>1395</v>
      </c>
      <c r="E60" s="217"/>
      <c r="F60" s="218" t="s">
        <v>1458</v>
      </c>
      <c r="G60" s="217">
        <v>229.91</v>
      </c>
      <c r="H60" s="217"/>
      <c r="I60" s="225">
        <v>68084.63</v>
      </c>
    </row>
    <row r="61" spans="1:9" x14ac:dyDescent="0.25">
      <c r="A61" s="223">
        <v>44439</v>
      </c>
      <c r="B61" s="217">
        <v>269623</v>
      </c>
      <c r="C61" s="217" t="s">
        <v>1469</v>
      </c>
      <c r="D61" s="216" t="s">
        <v>1397</v>
      </c>
      <c r="E61" s="217"/>
      <c r="F61" s="218" t="s">
        <v>1458</v>
      </c>
      <c r="G61" s="217">
        <v>263.74</v>
      </c>
      <c r="H61" s="217"/>
      <c r="I61" s="225">
        <v>68348.37</v>
      </c>
    </row>
    <row r="62" spans="1:9" x14ac:dyDescent="0.25">
      <c r="A62" s="223">
        <v>44469</v>
      </c>
      <c r="B62" s="217">
        <v>270263</v>
      </c>
      <c r="C62" s="217" t="s">
        <v>1470</v>
      </c>
      <c r="D62" s="216" t="s">
        <v>1385</v>
      </c>
      <c r="E62" s="217"/>
      <c r="F62" s="218" t="s">
        <v>1458</v>
      </c>
      <c r="G62" s="217">
        <v>270.38</v>
      </c>
      <c r="H62" s="217"/>
      <c r="I62" s="225">
        <v>68618.75</v>
      </c>
    </row>
    <row r="63" spans="1:9" x14ac:dyDescent="0.25">
      <c r="A63" s="223">
        <v>44499</v>
      </c>
      <c r="B63" s="217">
        <v>270605</v>
      </c>
      <c r="C63" s="217" t="s">
        <v>1471</v>
      </c>
      <c r="D63" s="216">
        <v>44470</v>
      </c>
      <c r="E63" s="217"/>
      <c r="F63" s="218" t="s">
        <v>1458</v>
      </c>
      <c r="G63" s="217">
        <v>316.79000000000002</v>
      </c>
      <c r="H63" s="217"/>
      <c r="I63" s="225">
        <v>68935.539999999994</v>
      </c>
    </row>
    <row r="64" spans="1:9" x14ac:dyDescent="0.25">
      <c r="A64" s="223">
        <v>44530</v>
      </c>
      <c r="B64" s="217">
        <v>271396</v>
      </c>
      <c r="C64" s="217" t="s">
        <v>1472</v>
      </c>
      <c r="D64" s="216" t="s">
        <v>1390</v>
      </c>
      <c r="E64" s="217"/>
      <c r="F64" s="218" t="s">
        <v>1458</v>
      </c>
      <c r="G64" s="217">
        <v>381.44</v>
      </c>
      <c r="H64" s="217"/>
      <c r="I64" s="225">
        <v>69316.98</v>
      </c>
    </row>
    <row r="65" spans="1:9" x14ac:dyDescent="0.25">
      <c r="A65" s="223">
        <v>44561</v>
      </c>
      <c r="B65" s="217">
        <v>272093</v>
      </c>
      <c r="C65" s="217" t="s">
        <v>1484</v>
      </c>
      <c r="D65" s="216" t="s">
        <v>1392</v>
      </c>
      <c r="E65" s="217"/>
      <c r="F65" s="218" t="s">
        <v>1458</v>
      </c>
      <c r="G65" s="217">
        <v>497.81</v>
      </c>
      <c r="H65" s="217"/>
      <c r="I65" s="225">
        <v>69814.789999999994</v>
      </c>
    </row>
    <row r="66" spans="1:9" x14ac:dyDescent="0.25">
      <c r="A66" s="220" t="s">
        <v>1368</v>
      </c>
      <c r="B66" s="220" t="s">
        <v>986</v>
      </c>
      <c r="C66" s="220">
        <v>12135</v>
      </c>
      <c r="D66" s="221" t="s">
        <v>117</v>
      </c>
      <c r="E66" s="220" t="s">
        <v>1369</v>
      </c>
      <c r="F66" s="226">
        <v>120378.03</v>
      </c>
      <c r="G66" s="220"/>
      <c r="H66" s="220"/>
      <c r="I66" s="220"/>
    </row>
    <row r="67" spans="1:9" x14ac:dyDescent="0.25">
      <c r="A67" s="223">
        <v>44217</v>
      </c>
      <c r="B67" s="217">
        <v>264956</v>
      </c>
      <c r="C67" s="217" t="s">
        <v>1456</v>
      </c>
      <c r="D67" s="216" t="s">
        <v>1457</v>
      </c>
      <c r="E67" s="217"/>
      <c r="F67" s="218" t="s">
        <v>1458</v>
      </c>
      <c r="G67" s="217">
        <v>61.71</v>
      </c>
      <c r="H67" s="217"/>
      <c r="I67" s="225">
        <v>120439.74</v>
      </c>
    </row>
    <row r="68" spans="1:9" x14ac:dyDescent="0.25">
      <c r="A68" s="223">
        <v>44255</v>
      </c>
      <c r="B68" s="217">
        <v>266408</v>
      </c>
      <c r="C68" s="217" t="s">
        <v>1459</v>
      </c>
      <c r="D68" s="216" t="s">
        <v>1460</v>
      </c>
      <c r="E68" s="217"/>
      <c r="F68" s="218" t="s">
        <v>1458</v>
      </c>
      <c r="G68" s="217">
        <v>55.5</v>
      </c>
      <c r="H68" s="217"/>
      <c r="I68" s="225">
        <v>120495.24</v>
      </c>
    </row>
    <row r="69" spans="1:9" x14ac:dyDescent="0.25">
      <c r="A69" s="223">
        <v>44286</v>
      </c>
      <c r="B69" s="217">
        <v>267100</v>
      </c>
      <c r="C69" s="217" t="s">
        <v>1495</v>
      </c>
      <c r="D69" s="216" t="s">
        <v>1462</v>
      </c>
      <c r="E69" s="217"/>
      <c r="F69" s="218" t="s">
        <v>1493</v>
      </c>
      <c r="G69" s="217"/>
      <c r="H69" s="217">
        <v>-989.16</v>
      </c>
      <c r="I69" s="225">
        <v>119506.08</v>
      </c>
    </row>
    <row r="70" spans="1:9" x14ac:dyDescent="0.25">
      <c r="A70" s="223">
        <v>44286</v>
      </c>
      <c r="B70" s="217">
        <v>267285</v>
      </c>
      <c r="C70" s="217" t="s">
        <v>1496</v>
      </c>
      <c r="D70" s="216">
        <v>32021</v>
      </c>
      <c r="E70" s="217"/>
      <c r="F70" s="218" t="s">
        <v>366</v>
      </c>
      <c r="G70" s="217">
        <v>185.22</v>
      </c>
      <c r="H70" s="217"/>
      <c r="I70" s="225">
        <v>119691.3</v>
      </c>
    </row>
    <row r="71" spans="1:9" x14ac:dyDescent="0.25">
      <c r="A71" s="223">
        <v>44316</v>
      </c>
      <c r="B71" s="217">
        <v>267763</v>
      </c>
      <c r="C71" s="217" t="s">
        <v>1482</v>
      </c>
      <c r="D71" s="216" t="s">
        <v>1464</v>
      </c>
      <c r="E71" s="217"/>
      <c r="F71" s="218" t="s">
        <v>1458</v>
      </c>
      <c r="G71" s="217">
        <v>232.52</v>
      </c>
      <c r="H71" s="217"/>
      <c r="I71" s="225">
        <v>119923.82</v>
      </c>
    </row>
    <row r="72" spans="1:9" x14ac:dyDescent="0.25">
      <c r="A72" s="223">
        <v>44347</v>
      </c>
      <c r="B72" s="217">
        <v>268263</v>
      </c>
      <c r="C72" s="217" t="s">
        <v>1465</v>
      </c>
      <c r="D72" s="216" t="s">
        <v>1466</v>
      </c>
      <c r="E72" s="217"/>
      <c r="F72" s="218" t="s">
        <v>1458</v>
      </c>
      <c r="G72" s="217">
        <v>145.97999999999999</v>
      </c>
      <c r="H72" s="217"/>
      <c r="I72" s="225">
        <v>120069.8</v>
      </c>
    </row>
    <row r="73" spans="1:9" x14ac:dyDescent="0.25">
      <c r="A73" s="223">
        <v>44377</v>
      </c>
      <c r="B73" s="217">
        <v>268538</v>
      </c>
      <c r="C73" s="217" t="s">
        <v>1497</v>
      </c>
      <c r="D73" s="216" t="s">
        <v>1383</v>
      </c>
      <c r="E73" s="217"/>
      <c r="F73" s="218" t="s">
        <v>1458</v>
      </c>
      <c r="G73" s="217">
        <v>315.91000000000003</v>
      </c>
      <c r="H73" s="217"/>
      <c r="I73" s="225">
        <v>120385.71</v>
      </c>
    </row>
    <row r="74" spans="1:9" x14ac:dyDescent="0.25">
      <c r="A74" s="223">
        <v>44408</v>
      </c>
      <c r="B74" s="217">
        <v>269100</v>
      </c>
      <c r="C74" s="217" t="s">
        <v>1483</v>
      </c>
      <c r="D74" s="216" t="s">
        <v>1395</v>
      </c>
      <c r="E74" s="217"/>
      <c r="F74" s="218" t="s">
        <v>1458</v>
      </c>
      <c r="G74" s="217">
        <v>418.92</v>
      </c>
      <c r="H74" s="217"/>
      <c r="I74" s="225">
        <v>120804.63</v>
      </c>
    </row>
    <row r="75" spans="1:9" x14ac:dyDescent="0.25">
      <c r="A75" s="223">
        <v>44439</v>
      </c>
      <c r="B75" s="217">
        <v>269624</v>
      </c>
      <c r="C75" s="217" t="s">
        <v>1469</v>
      </c>
      <c r="D75" s="216" t="s">
        <v>1397</v>
      </c>
      <c r="E75" s="217"/>
      <c r="F75" s="218" t="s">
        <v>1458</v>
      </c>
      <c r="G75" s="217">
        <v>480.56</v>
      </c>
      <c r="H75" s="217"/>
      <c r="I75" s="225">
        <v>121285.19</v>
      </c>
    </row>
    <row r="76" spans="1:9" x14ac:dyDescent="0.25">
      <c r="A76" s="223">
        <v>44469</v>
      </c>
      <c r="B76" s="217">
        <v>270264</v>
      </c>
      <c r="C76" s="217" t="s">
        <v>1470</v>
      </c>
      <c r="D76" s="216" t="s">
        <v>1385</v>
      </c>
      <c r="E76" s="217"/>
      <c r="F76" s="218" t="s">
        <v>1458</v>
      </c>
      <c r="G76" s="217">
        <v>492.66</v>
      </c>
      <c r="H76" s="217"/>
      <c r="I76" s="225">
        <v>121777.85</v>
      </c>
    </row>
    <row r="77" spans="1:9" x14ac:dyDescent="0.25">
      <c r="A77" s="223">
        <v>44499</v>
      </c>
      <c r="B77" s="217">
        <v>270606</v>
      </c>
      <c r="C77" s="217" t="s">
        <v>1471</v>
      </c>
      <c r="D77" s="216">
        <v>44470</v>
      </c>
      <c r="E77" s="217"/>
      <c r="F77" s="218" t="s">
        <v>1458</v>
      </c>
      <c r="G77" s="217">
        <v>577.23</v>
      </c>
      <c r="H77" s="217"/>
      <c r="I77" s="225">
        <v>122355.08</v>
      </c>
    </row>
    <row r="78" spans="1:9" x14ac:dyDescent="0.25">
      <c r="A78" s="223">
        <v>44530</v>
      </c>
      <c r="B78" s="217">
        <v>271397</v>
      </c>
      <c r="C78" s="217" t="s">
        <v>1472</v>
      </c>
      <c r="D78" s="216" t="s">
        <v>1390</v>
      </c>
      <c r="E78" s="217"/>
      <c r="F78" s="218" t="s">
        <v>1458</v>
      </c>
      <c r="G78" s="217">
        <v>695.03</v>
      </c>
      <c r="H78" s="217"/>
      <c r="I78" s="225">
        <v>123050.11</v>
      </c>
    </row>
    <row r="79" spans="1:9" x14ac:dyDescent="0.25">
      <c r="A79" s="223">
        <v>44561</v>
      </c>
      <c r="B79" s="217">
        <v>272094</v>
      </c>
      <c r="C79" s="217" t="s">
        <v>1484</v>
      </c>
      <c r="D79" s="216" t="s">
        <v>1392</v>
      </c>
      <c r="E79" s="217"/>
      <c r="F79" s="218" t="s">
        <v>1458</v>
      </c>
      <c r="G79" s="217">
        <v>907.08</v>
      </c>
      <c r="H79" s="217"/>
      <c r="I79" s="225">
        <v>123957.19</v>
      </c>
    </row>
    <row r="82" spans="1:9" s="117" customFormat="1" ht="15.75" x14ac:dyDescent="0.25">
      <c r="A82" s="773" t="s">
        <v>1410</v>
      </c>
      <c r="B82" s="773"/>
      <c r="C82" s="773"/>
      <c r="D82" s="216"/>
      <c r="E82" s="217"/>
      <c r="F82" s="218"/>
      <c r="G82" s="217"/>
      <c r="H82" s="217"/>
      <c r="I82" s="217"/>
    </row>
    <row r="83" spans="1:9" s="117" customFormat="1" x14ac:dyDescent="0.25">
      <c r="A83" s="220" t="s">
        <v>1368</v>
      </c>
      <c r="B83" s="220" t="s">
        <v>969</v>
      </c>
      <c r="C83" s="220">
        <v>11239</v>
      </c>
      <c r="D83" s="221" t="s">
        <v>99</v>
      </c>
      <c r="E83" s="220" t="s">
        <v>1369</v>
      </c>
      <c r="F83" s="222">
        <v>1323.52</v>
      </c>
      <c r="G83" s="220"/>
      <c r="H83" s="220"/>
      <c r="I83" s="220"/>
    </row>
    <row r="84" spans="1:9" s="117" customFormat="1" x14ac:dyDescent="0.25">
      <c r="A84" s="223">
        <v>44592</v>
      </c>
      <c r="B84" s="217">
        <v>272632</v>
      </c>
      <c r="C84" s="217" t="s">
        <v>1498</v>
      </c>
      <c r="D84" s="224" t="s">
        <v>1413</v>
      </c>
      <c r="E84" s="217"/>
      <c r="F84" s="218" t="s">
        <v>1458</v>
      </c>
      <c r="G84" s="217">
        <v>9.66</v>
      </c>
      <c r="H84" s="225"/>
      <c r="I84" s="225">
        <v>1333.18</v>
      </c>
    </row>
    <row r="85" spans="1:9" s="117" customFormat="1" x14ac:dyDescent="0.25">
      <c r="A85" s="223">
        <v>44620</v>
      </c>
      <c r="B85" s="217">
        <v>274745</v>
      </c>
      <c r="C85" s="217" t="s">
        <v>1499</v>
      </c>
      <c r="D85" s="224" t="s">
        <v>1500</v>
      </c>
      <c r="E85" s="217"/>
      <c r="F85" s="218" t="s">
        <v>1458</v>
      </c>
      <c r="G85" s="217">
        <v>10.130000000000001</v>
      </c>
      <c r="H85" s="225"/>
      <c r="I85" s="225">
        <v>1343.31</v>
      </c>
    </row>
    <row r="86" spans="1:9" s="117" customFormat="1" x14ac:dyDescent="0.25">
      <c r="A86" s="223">
        <v>44651</v>
      </c>
      <c r="B86" s="217">
        <v>277486</v>
      </c>
      <c r="C86" s="217" t="s">
        <v>1501</v>
      </c>
      <c r="D86" s="224" t="s">
        <v>1416</v>
      </c>
      <c r="E86" s="217"/>
      <c r="F86" s="218" t="s">
        <v>1458</v>
      </c>
      <c r="G86" s="225">
        <v>12.49</v>
      </c>
      <c r="H86" s="217"/>
      <c r="I86" s="225">
        <v>1355.8</v>
      </c>
    </row>
    <row r="87" spans="1:9" s="117" customFormat="1" x14ac:dyDescent="0.25">
      <c r="A87" s="223">
        <v>44681</v>
      </c>
      <c r="B87" s="217">
        <v>278191</v>
      </c>
      <c r="C87" s="217" t="s">
        <v>1502</v>
      </c>
      <c r="D87" s="224" t="s">
        <v>1418</v>
      </c>
      <c r="E87" s="217"/>
      <c r="F87" s="218" t="s">
        <v>1458</v>
      </c>
      <c r="G87" s="225">
        <v>11.25</v>
      </c>
      <c r="H87" s="217"/>
      <c r="I87" s="225">
        <v>1367.05</v>
      </c>
    </row>
    <row r="88" spans="1:9" s="117" customFormat="1" x14ac:dyDescent="0.25">
      <c r="A88" s="223">
        <v>44712</v>
      </c>
      <c r="B88" s="217">
        <v>278908</v>
      </c>
      <c r="C88" s="217" t="s">
        <v>1503</v>
      </c>
      <c r="D88" s="224" t="s">
        <v>1420</v>
      </c>
      <c r="E88" s="217"/>
      <c r="F88" s="218" t="s">
        <v>1458</v>
      </c>
      <c r="G88" s="217">
        <v>14.08</v>
      </c>
      <c r="H88" s="225"/>
      <c r="I88" s="225">
        <v>1381.13</v>
      </c>
    </row>
    <row r="89" spans="1:9" s="117" customFormat="1" x14ac:dyDescent="0.25">
      <c r="A89" s="223">
        <v>44742</v>
      </c>
      <c r="B89" s="217">
        <v>279577</v>
      </c>
      <c r="C89" s="217" t="s">
        <v>1504</v>
      </c>
      <c r="D89" s="216" t="s">
        <v>1421</v>
      </c>
      <c r="E89" s="217"/>
      <c r="F89" s="218" t="s">
        <v>1458</v>
      </c>
      <c r="G89" s="217">
        <v>14.1</v>
      </c>
      <c r="H89" s="225"/>
      <c r="I89" s="225">
        <v>1395.23</v>
      </c>
    </row>
    <row r="90" spans="1:9" s="117" customFormat="1" x14ac:dyDescent="0.25">
      <c r="A90" s="223">
        <v>44773</v>
      </c>
      <c r="B90" s="217">
        <v>280387</v>
      </c>
      <c r="C90" s="217" t="s">
        <v>1505</v>
      </c>
      <c r="D90" s="216" t="s">
        <v>1423</v>
      </c>
      <c r="E90" s="217"/>
      <c r="F90" s="218" t="s">
        <v>1458</v>
      </c>
      <c r="G90" s="225">
        <v>14.37</v>
      </c>
      <c r="H90" s="217"/>
      <c r="I90" s="225">
        <v>1409.6</v>
      </c>
    </row>
    <row r="91" spans="1:9" s="117" customFormat="1" x14ac:dyDescent="0.25">
      <c r="A91" s="223">
        <v>44804</v>
      </c>
      <c r="B91" s="217">
        <v>281305</v>
      </c>
      <c r="C91" s="217" t="s">
        <v>1506</v>
      </c>
      <c r="D91" s="216" t="s">
        <v>1424</v>
      </c>
      <c r="E91" s="217"/>
      <c r="F91" s="218" t="s">
        <v>1458</v>
      </c>
      <c r="G91" s="217">
        <v>16.489999999999998</v>
      </c>
      <c r="H91" s="225"/>
      <c r="I91" s="225">
        <v>1426.09</v>
      </c>
    </row>
    <row r="92" spans="1:9" s="117" customFormat="1" x14ac:dyDescent="0.25">
      <c r="A92" s="223">
        <v>44834</v>
      </c>
      <c r="B92" s="217">
        <v>282446</v>
      </c>
      <c r="C92" s="217" t="s">
        <v>1507</v>
      </c>
      <c r="D92" s="216">
        <v>92022</v>
      </c>
      <c r="E92" s="217"/>
      <c r="F92" s="218" t="s">
        <v>1458</v>
      </c>
      <c r="G92" s="217">
        <v>15.26</v>
      </c>
      <c r="H92" s="225"/>
      <c r="I92" s="225">
        <v>1441.35</v>
      </c>
    </row>
    <row r="93" spans="1:9" x14ac:dyDescent="0.25">
      <c r="A93" s="223">
        <v>44865</v>
      </c>
      <c r="B93" s="217">
        <v>283489</v>
      </c>
      <c r="C93" s="217" t="s">
        <v>1600</v>
      </c>
      <c r="D93" s="216" t="s">
        <v>1601</v>
      </c>
      <c r="E93" s="217"/>
      <c r="F93" s="218" t="s">
        <v>1458</v>
      </c>
      <c r="G93" s="218">
        <v>14.7</v>
      </c>
      <c r="H93" s="217"/>
      <c r="I93" s="225">
        <v>1456.05</v>
      </c>
    </row>
    <row r="94" spans="1:9" x14ac:dyDescent="0.25">
      <c r="A94" s="223">
        <v>44895</v>
      </c>
      <c r="B94" s="217">
        <v>284080</v>
      </c>
      <c r="C94" s="217" t="s">
        <v>1602</v>
      </c>
      <c r="D94" s="216" t="s">
        <v>1603</v>
      </c>
      <c r="E94" s="217"/>
      <c r="F94" s="218" t="s">
        <v>1458</v>
      </c>
      <c r="G94" s="218">
        <v>14.86</v>
      </c>
      <c r="H94" s="217"/>
      <c r="I94" s="225">
        <v>1470.91</v>
      </c>
    </row>
    <row r="95" spans="1:9" x14ac:dyDescent="0.25">
      <c r="A95" s="223">
        <v>44926</v>
      </c>
      <c r="B95" s="217">
        <v>285122</v>
      </c>
      <c r="C95" s="217" t="s">
        <v>1604</v>
      </c>
      <c r="D95" s="216" t="s">
        <v>1605</v>
      </c>
      <c r="E95" s="217"/>
      <c r="F95" s="218" t="s">
        <v>1458</v>
      </c>
      <c r="G95" s="218">
        <v>16.47</v>
      </c>
      <c r="H95" s="217"/>
      <c r="I95" s="225">
        <v>1487.38</v>
      </c>
    </row>
    <row r="96" spans="1:9" s="117" customFormat="1" x14ac:dyDescent="0.25">
      <c r="A96" s="220" t="s">
        <v>1368</v>
      </c>
      <c r="B96" s="220" t="s">
        <v>349</v>
      </c>
      <c r="C96" s="220">
        <v>112316</v>
      </c>
      <c r="D96" s="221" t="s">
        <v>350</v>
      </c>
      <c r="E96" s="220" t="s">
        <v>1369</v>
      </c>
      <c r="F96" s="222">
        <v>0</v>
      </c>
      <c r="G96" s="220"/>
      <c r="H96" s="220"/>
      <c r="I96" s="220"/>
    </row>
    <row r="97" spans="1:10" s="117" customFormat="1" x14ac:dyDescent="0.25">
      <c r="A97" s="223">
        <v>44742</v>
      </c>
      <c r="B97" s="217">
        <v>280585</v>
      </c>
      <c r="C97" s="217" t="s">
        <v>1508</v>
      </c>
      <c r="D97" s="216">
        <v>62022</v>
      </c>
      <c r="E97" s="217"/>
      <c r="F97" s="218" t="s">
        <v>254</v>
      </c>
      <c r="G97" s="225">
        <v>597612.79</v>
      </c>
      <c r="H97" s="217"/>
      <c r="I97" s="225">
        <v>597612.79</v>
      </c>
    </row>
    <row r="98" spans="1:10" s="117" customFormat="1" x14ac:dyDescent="0.25">
      <c r="A98" s="223">
        <v>44773</v>
      </c>
      <c r="B98" s="217">
        <v>280698</v>
      </c>
      <c r="C98" s="217" t="s">
        <v>1509</v>
      </c>
      <c r="D98" s="216" t="s">
        <v>1423</v>
      </c>
      <c r="E98" s="217"/>
      <c r="F98" s="218" t="s">
        <v>254</v>
      </c>
      <c r="G98" s="217"/>
      <c r="H98" s="225">
        <v>-100127.24</v>
      </c>
      <c r="I98" s="225">
        <v>497485.55</v>
      </c>
    </row>
    <row r="99" spans="1:10" s="117" customFormat="1" x14ac:dyDescent="0.25">
      <c r="A99" s="223">
        <v>44804</v>
      </c>
      <c r="B99" s="217">
        <v>281728</v>
      </c>
      <c r="C99" s="217" t="s">
        <v>1510</v>
      </c>
      <c r="D99" s="216" t="s">
        <v>1424</v>
      </c>
      <c r="E99" s="217"/>
      <c r="F99" s="218" t="s">
        <v>254</v>
      </c>
      <c r="G99" s="225">
        <v>67925.95</v>
      </c>
      <c r="H99" s="217"/>
      <c r="I99" s="225">
        <v>565411.5</v>
      </c>
    </row>
    <row r="100" spans="1:10" s="117" customFormat="1" x14ac:dyDescent="0.25">
      <c r="A100" s="223">
        <v>44834</v>
      </c>
      <c r="B100" s="217">
        <v>282650</v>
      </c>
      <c r="C100" s="217" t="s">
        <v>1511</v>
      </c>
      <c r="D100" s="216" t="s">
        <v>1426</v>
      </c>
      <c r="E100" s="217"/>
      <c r="F100" s="218" t="s">
        <v>254</v>
      </c>
      <c r="G100" s="217">
        <v>28300.46</v>
      </c>
      <c r="H100" s="217"/>
      <c r="I100" s="225">
        <v>593711.96</v>
      </c>
    </row>
    <row r="101" spans="1:10" x14ac:dyDescent="0.25">
      <c r="A101" s="223">
        <v>44865</v>
      </c>
      <c r="B101">
        <v>283532</v>
      </c>
      <c r="C101" s="217" t="s">
        <v>1606</v>
      </c>
      <c r="D101" s="216" t="s">
        <v>1601</v>
      </c>
      <c r="E101" s="224"/>
      <c r="F101" s="218"/>
      <c r="G101" s="217"/>
      <c r="H101" s="218">
        <v>-141255.18</v>
      </c>
      <c r="I101" s="217">
        <v>452456.78</v>
      </c>
    </row>
    <row r="102" spans="1:10" x14ac:dyDescent="0.25">
      <c r="A102" s="223">
        <v>44895</v>
      </c>
      <c r="B102">
        <v>284234</v>
      </c>
      <c r="C102" s="217" t="s">
        <v>1607</v>
      </c>
      <c r="D102" s="216" t="s">
        <v>1603</v>
      </c>
      <c r="E102" s="224"/>
      <c r="F102" s="218"/>
      <c r="G102" s="217">
        <v>215987.71</v>
      </c>
      <c r="H102" s="218"/>
      <c r="I102" s="217">
        <v>668444.49</v>
      </c>
    </row>
    <row r="103" spans="1:10" s="117" customFormat="1" x14ac:dyDescent="0.25">
      <c r="A103" s="220" t="s">
        <v>1368</v>
      </c>
      <c r="B103" s="220" t="s">
        <v>351</v>
      </c>
      <c r="C103" s="220">
        <v>112317</v>
      </c>
      <c r="D103" s="221" t="s">
        <v>352</v>
      </c>
      <c r="E103" s="220" t="s">
        <v>1369</v>
      </c>
      <c r="F103" s="222">
        <v>0</v>
      </c>
      <c r="G103" s="220"/>
      <c r="H103" s="220"/>
      <c r="I103" s="220"/>
    </row>
    <row r="104" spans="1:10" s="117" customFormat="1" x14ac:dyDescent="0.25">
      <c r="A104" s="223">
        <v>44742</v>
      </c>
      <c r="B104" s="217">
        <v>280586</v>
      </c>
      <c r="C104" s="217" t="s">
        <v>1512</v>
      </c>
      <c r="D104" s="216">
        <v>62022</v>
      </c>
      <c r="E104" s="217"/>
      <c r="F104" s="218" t="s">
        <v>255</v>
      </c>
      <c r="G104" s="217">
        <v>202352.27</v>
      </c>
      <c r="H104" s="225"/>
      <c r="I104" s="225">
        <v>202352.27</v>
      </c>
    </row>
    <row r="105" spans="1:10" s="117" customFormat="1" x14ac:dyDescent="0.25">
      <c r="A105" s="223">
        <v>44773</v>
      </c>
      <c r="B105" s="217">
        <v>280699</v>
      </c>
      <c r="C105" s="217" t="s">
        <v>1513</v>
      </c>
      <c r="D105" s="216" t="s">
        <v>1423</v>
      </c>
      <c r="E105" s="217"/>
      <c r="F105" s="218" t="s">
        <v>255</v>
      </c>
      <c r="G105" s="217"/>
      <c r="H105" s="225">
        <v>-87235.83</v>
      </c>
      <c r="I105" s="225">
        <v>115116.44</v>
      </c>
    </row>
    <row r="106" spans="1:10" s="117" customFormat="1" x14ac:dyDescent="0.25">
      <c r="A106" s="223">
        <v>44804</v>
      </c>
      <c r="B106" s="217">
        <v>281729</v>
      </c>
      <c r="C106" s="217" t="s">
        <v>1514</v>
      </c>
      <c r="D106" s="216" t="s">
        <v>1424</v>
      </c>
      <c r="E106" s="217"/>
      <c r="F106" s="218" t="s">
        <v>255</v>
      </c>
      <c r="G106" s="225">
        <v>6922.2</v>
      </c>
      <c r="H106" s="217"/>
      <c r="I106" s="225">
        <v>122038.64</v>
      </c>
    </row>
    <row r="107" spans="1:10" s="117" customFormat="1" x14ac:dyDescent="0.25">
      <c r="A107" s="223">
        <v>44834</v>
      </c>
      <c r="B107" s="217">
        <v>282649</v>
      </c>
      <c r="C107" s="217" t="s">
        <v>1515</v>
      </c>
      <c r="D107" s="216" t="s">
        <v>1426</v>
      </c>
      <c r="E107" s="217"/>
      <c r="F107" s="218" t="s">
        <v>255</v>
      </c>
      <c r="G107" s="225">
        <v>13858.56</v>
      </c>
      <c r="H107" s="217"/>
      <c r="I107" s="225">
        <v>135897.20000000001</v>
      </c>
    </row>
    <row r="108" spans="1:10" x14ac:dyDescent="0.25">
      <c r="A108" s="223">
        <v>44865</v>
      </c>
      <c r="B108" s="217">
        <v>283531</v>
      </c>
      <c r="C108" s="217" t="s">
        <v>1608</v>
      </c>
      <c r="D108" s="216" t="s">
        <v>1601</v>
      </c>
      <c r="E108" s="217"/>
      <c r="F108" s="218"/>
      <c r="G108" s="225"/>
      <c r="H108" s="217">
        <v>-78752.22</v>
      </c>
      <c r="I108" s="225">
        <v>57144.98</v>
      </c>
      <c r="J108" s="117"/>
    </row>
    <row r="109" spans="1:10" x14ac:dyDescent="0.25">
      <c r="A109" s="223">
        <v>44895</v>
      </c>
      <c r="B109" s="217">
        <v>284235</v>
      </c>
      <c r="C109" s="217" t="s">
        <v>1609</v>
      </c>
      <c r="D109" s="216" t="s">
        <v>1603</v>
      </c>
      <c r="E109" s="217"/>
      <c r="F109" s="218"/>
      <c r="G109" s="225">
        <v>210374.3</v>
      </c>
      <c r="H109" s="217"/>
      <c r="I109" s="225">
        <v>267519.28000000003</v>
      </c>
      <c r="J109" s="117"/>
    </row>
    <row r="110" spans="1:10" s="117" customFormat="1" x14ac:dyDescent="0.25">
      <c r="A110" s="220" t="s">
        <v>1368</v>
      </c>
      <c r="B110" s="220" t="s">
        <v>356</v>
      </c>
      <c r="C110" s="220">
        <v>112321</v>
      </c>
      <c r="D110" s="221" t="s">
        <v>100</v>
      </c>
      <c r="E110" s="220" t="s">
        <v>1369</v>
      </c>
      <c r="F110" s="222">
        <v>56555.29</v>
      </c>
      <c r="G110" s="220"/>
      <c r="H110" s="220"/>
      <c r="I110" s="220"/>
    </row>
    <row r="111" spans="1:10" s="117" customFormat="1" x14ac:dyDescent="0.25">
      <c r="A111" s="223">
        <v>44562</v>
      </c>
      <c r="B111" s="217">
        <v>273382</v>
      </c>
      <c r="C111" s="217" t="s">
        <v>1516</v>
      </c>
      <c r="D111" s="216" t="s">
        <v>1457</v>
      </c>
      <c r="E111" s="217"/>
      <c r="F111" s="218" t="s">
        <v>1476</v>
      </c>
      <c r="G111" s="225"/>
      <c r="H111" s="217">
        <v>-56555.29</v>
      </c>
      <c r="I111" s="225">
        <v>0</v>
      </c>
    </row>
    <row r="112" spans="1:10" s="117" customFormat="1" x14ac:dyDescent="0.25">
      <c r="A112" s="223">
        <v>44592</v>
      </c>
      <c r="B112" s="217">
        <v>272627</v>
      </c>
      <c r="C112" s="217" t="s">
        <v>1517</v>
      </c>
      <c r="D112" s="216" t="s">
        <v>1518</v>
      </c>
      <c r="E112" s="217"/>
      <c r="F112" s="218" t="s">
        <v>1479</v>
      </c>
      <c r="G112" s="225">
        <v>16127.22</v>
      </c>
      <c r="H112" s="217"/>
      <c r="I112" s="225">
        <v>16127.22</v>
      </c>
    </row>
    <row r="113" spans="1:9" s="117" customFormat="1" x14ac:dyDescent="0.25">
      <c r="A113" s="223">
        <v>44593</v>
      </c>
      <c r="B113" s="217">
        <v>274776</v>
      </c>
      <c r="C113" s="217" t="s">
        <v>1519</v>
      </c>
      <c r="D113" s="216">
        <v>22022</v>
      </c>
      <c r="E113" s="217"/>
      <c r="F113" s="218" t="s">
        <v>1476</v>
      </c>
      <c r="G113" s="225"/>
      <c r="H113" s="217">
        <v>-16127.22</v>
      </c>
      <c r="I113" s="225">
        <v>0</v>
      </c>
    </row>
    <row r="114" spans="1:9" s="117" customFormat="1" x14ac:dyDescent="0.25">
      <c r="A114" s="223">
        <v>44706</v>
      </c>
      <c r="B114" s="217">
        <v>278763</v>
      </c>
      <c r="C114" s="217" t="s">
        <v>1520</v>
      </c>
      <c r="D114" s="216" t="s">
        <v>1521</v>
      </c>
      <c r="E114" s="217"/>
      <c r="F114" s="218" t="s">
        <v>1479</v>
      </c>
      <c r="G114" s="225">
        <v>34692.54</v>
      </c>
      <c r="H114" s="217"/>
      <c r="I114" s="225">
        <v>34692.54</v>
      </c>
    </row>
    <row r="115" spans="1:9" s="117" customFormat="1" x14ac:dyDescent="0.25">
      <c r="A115" s="223">
        <v>44713</v>
      </c>
      <c r="B115" s="217">
        <v>279544</v>
      </c>
      <c r="C115" s="217" t="s">
        <v>1522</v>
      </c>
      <c r="D115" s="216" t="s">
        <v>1421</v>
      </c>
      <c r="E115" s="217"/>
      <c r="F115" s="218" t="s">
        <v>1476</v>
      </c>
      <c r="G115" s="225"/>
      <c r="H115" s="217">
        <v>-34692.54</v>
      </c>
      <c r="I115" s="225">
        <v>0</v>
      </c>
    </row>
    <row r="116" spans="1:9" s="117" customFormat="1" x14ac:dyDescent="0.25">
      <c r="A116" s="223">
        <v>44768</v>
      </c>
      <c r="B116" s="217">
        <v>280000</v>
      </c>
      <c r="C116" s="217" t="s">
        <v>1523</v>
      </c>
      <c r="D116" s="216" t="s">
        <v>1524</v>
      </c>
      <c r="E116" s="217"/>
      <c r="F116" s="218" t="s">
        <v>1479</v>
      </c>
      <c r="G116" s="225">
        <v>26077.279999999999</v>
      </c>
      <c r="H116" s="217"/>
      <c r="I116" s="225">
        <v>26077.279999999999</v>
      </c>
    </row>
    <row r="117" spans="1:9" s="117" customFormat="1" x14ac:dyDescent="0.25">
      <c r="A117" s="223">
        <v>44774</v>
      </c>
      <c r="B117" s="217">
        <v>280745</v>
      </c>
      <c r="C117" s="217" t="s">
        <v>1523</v>
      </c>
      <c r="D117" s="216">
        <v>82022</v>
      </c>
      <c r="E117" s="217"/>
      <c r="F117" s="218" t="s">
        <v>1476</v>
      </c>
      <c r="G117" s="225"/>
      <c r="H117" s="217">
        <v>-26077.279999999999</v>
      </c>
      <c r="I117" s="225">
        <v>0</v>
      </c>
    </row>
    <row r="118" spans="1:9" x14ac:dyDescent="0.25">
      <c r="A118" s="223">
        <v>44924</v>
      </c>
      <c r="B118" s="217">
        <v>285062</v>
      </c>
      <c r="C118" s="217" t="s">
        <v>1610</v>
      </c>
      <c r="D118" s="216" t="s">
        <v>1611</v>
      </c>
      <c r="E118" s="217"/>
      <c r="F118" s="218"/>
      <c r="G118" s="225">
        <v>160515.44</v>
      </c>
      <c r="H118" s="217"/>
      <c r="I118" s="225">
        <v>160515.44</v>
      </c>
    </row>
    <row r="119" spans="1:9" s="117" customFormat="1" x14ac:dyDescent="0.25">
      <c r="A119" s="220" t="s">
        <v>1368</v>
      </c>
      <c r="B119" s="220" t="s">
        <v>970</v>
      </c>
      <c r="C119" s="220">
        <v>112323</v>
      </c>
      <c r="D119" s="221" t="s">
        <v>101</v>
      </c>
      <c r="E119" s="220" t="s">
        <v>1369</v>
      </c>
      <c r="F119" s="226">
        <v>5083.6400000000003</v>
      </c>
      <c r="G119" s="220"/>
      <c r="H119" s="220"/>
      <c r="I119" s="220"/>
    </row>
    <row r="120" spans="1:9" s="117" customFormat="1" x14ac:dyDescent="0.25">
      <c r="A120" s="223">
        <v>44592</v>
      </c>
      <c r="B120" s="217">
        <v>272636</v>
      </c>
      <c r="C120" s="217" t="s">
        <v>1498</v>
      </c>
      <c r="D120" s="216" t="s">
        <v>1413</v>
      </c>
      <c r="E120" s="217"/>
      <c r="F120" s="218" t="s">
        <v>1458</v>
      </c>
      <c r="G120" s="217">
        <v>27.68</v>
      </c>
      <c r="H120" s="217"/>
      <c r="I120" s="225">
        <v>5111.32</v>
      </c>
    </row>
    <row r="121" spans="1:9" s="117" customFormat="1" x14ac:dyDescent="0.25">
      <c r="A121" s="223">
        <v>44620</v>
      </c>
      <c r="B121" s="217">
        <v>274746</v>
      </c>
      <c r="C121" s="217" t="s">
        <v>1499</v>
      </c>
      <c r="D121" s="216">
        <v>22022</v>
      </c>
      <c r="E121" s="217"/>
      <c r="F121" s="218" t="s">
        <v>1458</v>
      </c>
      <c r="G121" s="217">
        <v>28.81</v>
      </c>
      <c r="H121" s="217"/>
      <c r="I121" s="225">
        <v>5140.13</v>
      </c>
    </row>
    <row r="122" spans="1:9" s="117" customFormat="1" x14ac:dyDescent="0.25">
      <c r="A122" s="223">
        <v>44651</v>
      </c>
      <c r="B122" s="217">
        <v>277487</v>
      </c>
      <c r="C122" s="217" t="s">
        <v>1501</v>
      </c>
      <c r="D122" s="216" t="s">
        <v>1416</v>
      </c>
      <c r="E122" s="217"/>
      <c r="F122" s="218" t="s">
        <v>1458</v>
      </c>
      <c r="G122" s="217">
        <v>41</v>
      </c>
      <c r="H122" s="217"/>
      <c r="I122" s="225">
        <v>5181.13</v>
      </c>
    </row>
    <row r="123" spans="1:9" s="117" customFormat="1" x14ac:dyDescent="0.25">
      <c r="A123" s="223">
        <v>44651</v>
      </c>
      <c r="B123" s="217">
        <v>277751</v>
      </c>
      <c r="C123" s="217" t="s">
        <v>1525</v>
      </c>
      <c r="D123" s="216" t="s">
        <v>1416</v>
      </c>
      <c r="E123" s="217"/>
      <c r="F123" s="218" t="s">
        <v>1476</v>
      </c>
      <c r="G123" s="217">
        <v>617.96</v>
      </c>
      <c r="H123" s="217"/>
      <c r="I123" s="225">
        <v>5799.09</v>
      </c>
    </row>
    <row r="124" spans="1:9" s="117" customFormat="1" x14ac:dyDescent="0.25">
      <c r="A124" s="223">
        <v>44681</v>
      </c>
      <c r="B124" s="217">
        <v>278192</v>
      </c>
      <c r="C124" s="217" t="s">
        <v>1502</v>
      </c>
      <c r="D124" s="224" t="s">
        <v>1418</v>
      </c>
      <c r="E124" s="217"/>
      <c r="F124" s="218" t="s">
        <v>1458</v>
      </c>
      <c r="G124" s="217">
        <v>36.6</v>
      </c>
      <c r="H124" s="225"/>
      <c r="I124" s="225">
        <v>5835.69</v>
      </c>
    </row>
    <row r="125" spans="1:9" s="117" customFormat="1" x14ac:dyDescent="0.25">
      <c r="A125" s="223">
        <v>44712</v>
      </c>
      <c r="B125" s="217">
        <v>278909</v>
      </c>
      <c r="C125" s="217" t="s">
        <v>1503</v>
      </c>
      <c r="D125" s="224" t="s">
        <v>1420</v>
      </c>
      <c r="E125" s="217"/>
      <c r="F125" s="218" t="s">
        <v>1458</v>
      </c>
      <c r="G125" s="217">
        <v>45.41</v>
      </c>
      <c r="H125" s="225"/>
      <c r="I125" s="225">
        <v>5881.1</v>
      </c>
    </row>
    <row r="126" spans="1:9" s="117" customFormat="1" x14ac:dyDescent="0.25">
      <c r="A126" s="223">
        <v>44742</v>
      </c>
      <c r="B126" s="217">
        <v>279578</v>
      </c>
      <c r="C126" s="217" t="s">
        <v>1504</v>
      </c>
      <c r="D126" s="216" t="s">
        <v>1421</v>
      </c>
      <c r="E126" s="217"/>
      <c r="F126" s="218" t="s">
        <v>1458</v>
      </c>
      <c r="G126" s="217">
        <v>44.98</v>
      </c>
      <c r="H126" s="225"/>
      <c r="I126" s="225">
        <v>5926.08</v>
      </c>
    </row>
    <row r="127" spans="1:9" s="117" customFormat="1" x14ac:dyDescent="0.25">
      <c r="A127" s="223">
        <v>44773</v>
      </c>
      <c r="B127" s="217">
        <v>280388</v>
      </c>
      <c r="C127" s="217" t="s">
        <v>1505</v>
      </c>
      <c r="D127" s="216" t="s">
        <v>1423</v>
      </c>
      <c r="E127" s="217"/>
      <c r="F127" s="218" t="s">
        <v>1458</v>
      </c>
      <c r="G127" s="217">
        <v>45.42</v>
      </c>
      <c r="H127" s="225"/>
      <c r="I127" s="225">
        <v>5971.5</v>
      </c>
    </row>
    <row r="128" spans="1:9" s="117" customFormat="1" x14ac:dyDescent="0.25">
      <c r="A128" s="223">
        <v>44804</v>
      </c>
      <c r="B128" s="217">
        <v>281306</v>
      </c>
      <c r="C128" s="217" t="s">
        <v>1506</v>
      </c>
      <c r="D128" s="216" t="s">
        <v>1424</v>
      </c>
      <c r="E128" s="217"/>
      <c r="F128" s="218" t="s">
        <v>1458</v>
      </c>
      <c r="G128" s="217">
        <v>51.59</v>
      </c>
      <c r="H128" s="217"/>
      <c r="I128" s="225">
        <v>6023.09</v>
      </c>
    </row>
    <row r="129" spans="1:9" s="117" customFormat="1" x14ac:dyDescent="0.25">
      <c r="A129" s="223">
        <v>44834</v>
      </c>
      <c r="B129" s="217">
        <v>282447</v>
      </c>
      <c r="C129" s="217" t="s">
        <v>1507</v>
      </c>
      <c r="D129" s="216">
        <v>92022</v>
      </c>
      <c r="E129" s="217"/>
      <c r="F129" s="218" t="s">
        <v>1458</v>
      </c>
      <c r="G129" s="217">
        <v>47.18</v>
      </c>
      <c r="H129" s="225"/>
      <c r="I129" s="225">
        <v>6070.27</v>
      </c>
    </row>
    <row r="130" spans="1:9" x14ac:dyDescent="0.25">
      <c r="A130" s="223">
        <v>44865</v>
      </c>
      <c r="B130" s="217">
        <v>283490</v>
      </c>
      <c r="C130" s="217" t="s">
        <v>1600</v>
      </c>
      <c r="D130" s="216" t="s">
        <v>1601</v>
      </c>
      <c r="E130" s="217"/>
      <c r="G130" s="218">
        <v>44.97</v>
      </c>
      <c r="H130" s="217"/>
      <c r="I130" s="225">
        <v>6115.24</v>
      </c>
    </row>
    <row r="131" spans="1:9" x14ac:dyDescent="0.25">
      <c r="A131" s="223">
        <v>44895</v>
      </c>
      <c r="B131" s="217">
        <v>284081</v>
      </c>
      <c r="C131" s="217" t="s">
        <v>1602</v>
      </c>
      <c r="D131" s="216" t="s">
        <v>1603</v>
      </c>
      <c r="E131" s="217"/>
      <c r="G131" s="218">
        <v>44.98</v>
      </c>
      <c r="H131" s="217"/>
      <c r="I131" s="225">
        <v>6160.22</v>
      </c>
    </row>
    <row r="132" spans="1:9" x14ac:dyDescent="0.25">
      <c r="A132" s="223">
        <v>44926</v>
      </c>
      <c r="B132" s="217">
        <v>285123</v>
      </c>
      <c r="C132" s="217" t="s">
        <v>1604</v>
      </c>
      <c r="D132" s="216" t="s">
        <v>1605</v>
      </c>
      <c r="E132" s="217"/>
      <c r="G132" s="218">
        <v>49.37</v>
      </c>
      <c r="H132" s="217"/>
      <c r="I132" s="225">
        <v>6209.59</v>
      </c>
    </row>
    <row r="133" spans="1:9" s="117" customFormat="1" x14ac:dyDescent="0.25">
      <c r="A133" s="220" t="s">
        <v>1368</v>
      </c>
      <c r="B133" s="220" t="s">
        <v>362</v>
      </c>
      <c r="C133" s="220">
        <v>112327</v>
      </c>
      <c r="D133" s="221" t="s">
        <v>102</v>
      </c>
      <c r="E133" s="220" t="s">
        <v>1369</v>
      </c>
      <c r="F133" s="226">
        <v>214.89</v>
      </c>
      <c r="G133" s="220"/>
      <c r="H133" s="220"/>
      <c r="I133" s="220"/>
    </row>
    <row r="134" spans="1:9" s="117" customFormat="1" x14ac:dyDescent="0.25">
      <c r="A134" s="223">
        <v>44592</v>
      </c>
      <c r="B134" s="217">
        <v>272633</v>
      </c>
      <c r="C134" s="217" t="s">
        <v>1498</v>
      </c>
      <c r="D134" s="216" t="s">
        <v>1413</v>
      </c>
      <c r="E134" s="217"/>
      <c r="F134" s="218" t="s">
        <v>1458</v>
      </c>
      <c r="G134" s="217">
        <v>1.5</v>
      </c>
      <c r="H134" s="225"/>
      <c r="I134" s="225">
        <v>216.39</v>
      </c>
    </row>
    <row r="135" spans="1:9" s="117" customFormat="1" x14ac:dyDescent="0.25">
      <c r="A135" s="223">
        <v>44620</v>
      </c>
      <c r="B135" s="217">
        <v>274747</v>
      </c>
      <c r="C135" s="217" t="s">
        <v>1499</v>
      </c>
      <c r="D135" s="216" t="s">
        <v>1500</v>
      </c>
      <c r="E135" s="217"/>
      <c r="F135" s="218" t="s">
        <v>1458</v>
      </c>
      <c r="G135" s="217">
        <v>1.56</v>
      </c>
      <c r="H135" s="217"/>
      <c r="I135" s="225">
        <v>217.95</v>
      </c>
    </row>
    <row r="136" spans="1:9" s="117" customFormat="1" x14ac:dyDescent="0.25">
      <c r="A136" s="223">
        <v>44651</v>
      </c>
      <c r="B136" s="217">
        <v>277488</v>
      </c>
      <c r="C136" s="217" t="s">
        <v>1501</v>
      </c>
      <c r="D136" s="216" t="s">
        <v>1416</v>
      </c>
      <c r="E136" s="217"/>
      <c r="F136" s="218" t="s">
        <v>1458</v>
      </c>
      <c r="G136" s="217">
        <v>1.91</v>
      </c>
      <c r="H136" s="217"/>
      <c r="I136" s="225">
        <v>219.86</v>
      </c>
    </row>
    <row r="137" spans="1:9" s="117" customFormat="1" x14ac:dyDescent="0.25">
      <c r="A137" s="223">
        <v>44681</v>
      </c>
      <c r="B137" s="217">
        <v>278193</v>
      </c>
      <c r="C137" s="217" t="s">
        <v>1502</v>
      </c>
      <c r="D137" s="216" t="s">
        <v>1418</v>
      </c>
      <c r="E137" s="217"/>
      <c r="F137" s="218" t="s">
        <v>1458</v>
      </c>
      <c r="G137" s="217">
        <v>1.71</v>
      </c>
      <c r="H137" s="225"/>
      <c r="I137" s="225">
        <v>221.57</v>
      </c>
    </row>
    <row r="138" spans="1:9" s="117" customFormat="1" x14ac:dyDescent="0.25">
      <c r="A138" s="223">
        <v>44712</v>
      </c>
      <c r="B138" s="217">
        <v>278910</v>
      </c>
      <c r="C138" s="217" t="s">
        <v>1503</v>
      </c>
      <c r="D138" s="216" t="s">
        <v>1420</v>
      </c>
      <c r="E138" s="217"/>
      <c r="F138" s="218" t="s">
        <v>1458</v>
      </c>
      <c r="G138" s="217">
        <v>2.12</v>
      </c>
      <c r="H138" s="217"/>
      <c r="I138" s="225">
        <v>223.69</v>
      </c>
    </row>
    <row r="139" spans="1:9" s="117" customFormat="1" x14ac:dyDescent="0.25">
      <c r="A139" s="223">
        <v>44742</v>
      </c>
      <c r="B139" s="217">
        <v>279579</v>
      </c>
      <c r="C139" s="217" t="s">
        <v>1504</v>
      </c>
      <c r="D139" s="216" t="s">
        <v>1421</v>
      </c>
      <c r="E139" s="217"/>
      <c r="F139" s="218" t="s">
        <v>1458</v>
      </c>
      <c r="G139" s="217">
        <v>2.11</v>
      </c>
      <c r="H139" s="217"/>
      <c r="I139" s="225">
        <v>225.8</v>
      </c>
    </row>
    <row r="140" spans="1:9" s="117" customFormat="1" x14ac:dyDescent="0.25">
      <c r="A140" s="223">
        <v>44773</v>
      </c>
      <c r="B140" s="217">
        <v>280389</v>
      </c>
      <c r="C140" s="217" t="s">
        <v>1505</v>
      </c>
      <c r="D140" s="216" t="s">
        <v>1423</v>
      </c>
      <c r="E140" s="217"/>
      <c r="F140" s="218" t="s">
        <v>1458</v>
      </c>
      <c r="G140" s="217">
        <v>2.12</v>
      </c>
      <c r="H140" s="217"/>
      <c r="I140" s="225">
        <v>227.92</v>
      </c>
    </row>
    <row r="141" spans="1:9" s="117" customFormat="1" x14ac:dyDescent="0.25">
      <c r="A141" s="223">
        <v>44804</v>
      </c>
      <c r="B141" s="217">
        <v>281307</v>
      </c>
      <c r="C141" s="217" t="s">
        <v>1506</v>
      </c>
      <c r="D141" s="216" t="s">
        <v>1424</v>
      </c>
      <c r="E141" s="217"/>
      <c r="F141" s="218" t="s">
        <v>1458</v>
      </c>
      <c r="G141" s="217">
        <v>2.41</v>
      </c>
      <c r="H141" s="217"/>
      <c r="I141" s="225">
        <v>230.33</v>
      </c>
    </row>
    <row r="142" spans="1:9" s="117" customFormat="1" x14ac:dyDescent="0.25">
      <c r="A142" s="223">
        <v>44834</v>
      </c>
      <c r="B142" s="217">
        <v>282448</v>
      </c>
      <c r="C142" s="217" t="s">
        <v>1507</v>
      </c>
      <c r="D142" s="216">
        <v>92022</v>
      </c>
      <c r="E142" s="217"/>
      <c r="F142" s="218" t="s">
        <v>1458</v>
      </c>
      <c r="G142" s="217">
        <v>2.2000000000000002</v>
      </c>
      <c r="H142" s="217"/>
      <c r="I142" s="225">
        <v>232.53</v>
      </c>
    </row>
    <row r="143" spans="1:9" x14ac:dyDescent="0.25">
      <c r="A143" s="223">
        <v>44865</v>
      </c>
      <c r="B143" s="217">
        <v>283492</v>
      </c>
      <c r="C143" s="217" t="s">
        <v>1600</v>
      </c>
      <c r="D143" s="216" t="s">
        <v>1601</v>
      </c>
      <c r="E143" s="217"/>
      <c r="F143" s="218"/>
      <c r="G143" s="217">
        <v>2.1</v>
      </c>
      <c r="H143" s="217"/>
      <c r="I143" s="225">
        <v>234.63</v>
      </c>
    </row>
    <row r="144" spans="1:9" x14ac:dyDescent="0.25">
      <c r="A144" s="223">
        <v>44895</v>
      </c>
      <c r="B144" s="217">
        <v>284083</v>
      </c>
      <c r="C144" s="217" t="s">
        <v>1602</v>
      </c>
      <c r="D144" s="216" t="s">
        <v>1603</v>
      </c>
      <c r="E144" s="217"/>
      <c r="F144" s="218"/>
      <c r="G144" s="217">
        <v>2.1</v>
      </c>
      <c r="H144" s="217"/>
      <c r="I144" s="225">
        <v>236.73</v>
      </c>
    </row>
    <row r="145" spans="1:9" x14ac:dyDescent="0.25">
      <c r="A145" s="223">
        <v>44926</v>
      </c>
      <c r="B145" s="217">
        <v>285125</v>
      </c>
      <c r="C145" s="217" t="s">
        <v>1604</v>
      </c>
      <c r="D145" s="216" t="s">
        <v>1605</v>
      </c>
      <c r="E145" s="217"/>
      <c r="F145" s="218"/>
      <c r="G145" s="217">
        <v>2.2999999999999998</v>
      </c>
      <c r="H145" s="217"/>
      <c r="I145" s="225">
        <v>239.03</v>
      </c>
    </row>
    <row r="146" spans="1:9" s="117" customFormat="1" x14ac:dyDescent="0.25">
      <c r="A146" s="220" t="s">
        <v>1368</v>
      </c>
      <c r="B146" s="220" t="s">
        <v>1269</v>
      </c>
      <c r="C146" s="220">
        <v>112332</v>
      </c>
      <c r="D146" s="221" t="s">
        <v>1270</v>
      </c>
      <c r="E146" s="220" t="s">
        <v>1369</v>
      </c>
      <c r="F146" s="226">
        <v>0</v>
      </c>
      <c r="G146" s="220"/>
      <c r="H146" s="220"/>
      <c r="I146" s="220"/>
    </row>
    <row r="147" spans="1:9" s="117" customFormat="1" x14ac:dyDescent="0.25">
      <c r="A147" s="223">
        <v>44774</v>
      </c>
      <c r="B147" s="217">
        <v>281725</v>
      </c>
      <c r="C147" s="217" t="s">
        <v>1526</v>
      </c>
      <c r="D147" s="216" t="s">
        <v>1413</v>
      </c>
      <c r="E147" s="217"/>
      <c r="F147" s="218" t="s">
        <v>1527</v>
      </c>
      <c r="G147" s="217">
        <v>271598.88</v>
      </c>
      <c r="H147" s="217"/>
      <c r="I147" s="225">
        <v>271598.88</v>
      </c>
    </row>
    <row r="148" spans="1:9" s="117" customFormat="1" x14ac:dyDescent="0.25">
      <c r="A148" s="223">
        <v>44834</v>
      </c>
      <c r="B148" s="217">
        <v>282452</v>
      </c>
      <c r="C148" s="217" t="s">
        <v>1528</v>
      </c>
      <c r="D148" s="216">
        <v>12022</v>
      </c>
      <c r="E148" s="217"/>
      <c r="F148" s="218" t="s">
        <v>1458</v>
      </c>
      <c r="G148" s="217">
        <v>1982.67</v>
      </c>
      <c r="H148" s="217"/>
      <c r="I148" s="225">
        <v>273581.55</v>
      </c>
    </row>
    <row r="149" spans="1:9" s="117" customFormat="1" x14ac:dyDescent="0.25">
      <c r="A149" s="223">
        <v>44834</v>
      </c>
      <c r="B149" s="217">
        <v>282453</v>
      </c>
      <c r="C149" s="217" t="s">
        <v>1529</v>
      </c>
      <c r="D149" s="216">
        <v>22022</v>
      </c>
      <c r="E149" s="217"/>
      <c r="F149" s="218" t="s">
        <v>1458</v>
      </c>
      <c r="G149" s="217">
        <v>2064.15</v>
      </c>
      <c r="H149" s="217"/>
      <c r="I149" s="225">
        <v>275645.7</v>
      </c>
    </row>
    <row r="150" spans="1:9" s="117" customFormat="1" x14ac:dyDescent="0.25">
      <c r="A150" s="223">
        <v>44834</v>
      </c>
      <c r="B150" s="217">
        <v>282454</v>
      </c>
      <c r="C150" s="217" t="s">
        <v>1530</v>
      </c>
      <c r="D150" s="216">
        <v>32022</v>
      </c>
      <c r="E150" s="217"/>
      <c r="F150" s="218" t="s">
        <v>1458</v>
      </c>
      <c r="G150" s="217">
        <v>2525.87</v>
      </c>
      <c r="H150" s="217"/>
      <c r="I150" s="225">
        <v>278171.57</v>
      </c>
    </row>
    <row r="151" spans="1:9" s="117" customFormat="1" x14ac:dyDescent="0.25">
      <c r="A151" s="223">
        <v>44834</v>
      </c>
      <c r="B151" s="217">
        <v>282455</v>
      </c>
      <c r="C151" s="217" t="s">
        <v>1531</v>
      </c>
      <c r="D151" s="216">
        <v>42022</v>
      </c>
      <c r="E151" s="217"/>
      <c r="F151" s="218" t="s">
        <v>1458</v>
      </c>
      <c r="G151" s="217">
        <v>2254.27</v>
      </c>
      <c r="H151" s="217"/>
      <c r="I151" s="225">
        <v>280425.84000000003</v>
      </c>
    </row>
    <row r="152" spans="1:9" s="117" customFormat="1" x14ac:dyDescent="0.25">
      <c r="A152" s="223">
        <v>44834</v>
      </c>
      <c r="B152" s="217">
        <v>282456</v>
      </c>
      <c r="C152" s="217" t="s">
        <v>1532</v>
      </c>
      <c r="D152" s="216">
        <v>52022</v>
      </c>
      <c r="E152" s="217"/>
      <c r="F152" s="218" t="s">
        <v>1458</v>
      </c>
      <c r="G152" s="217">
        <v>2797.47</v>
      </c>
      <c r="H152" s="217"/>
      <c r="I152" s="225">
        <v>283223.31</v>
      </c>
    </row>
    <row r="153" spans="1:9" s="117" customFormat="1" x14ac:dyDescent="0.25">
      <c r="A153" s="223">
        <v>44834</v>
      </c>
      <c r="B153" s="217">
        <v>282457</v>
      </c>
      <c r="C153" s="217" t="s">
        <v>1533</v>
      </c>
      <c r="D153" s="216">
        <v>62022</v>
      </c>
      <c r="E153" s="217"/>
      <c r="F153" s="218" t="s">
        <v>1458</v>
      </c>
      <c r="G153" s="217">
        <v>2770.31</v>
      </c>
      <c r="H153" s="217"/>
      <c r="I153" s="225">
        <v>285993.62</v>
      </c>
    </row>
    <row r="154" spans="1:9" s="117" customFormat="1" x14ac:dyDescent="0.25">
      <c r="A154" s="223">
        <v>44834</v>
      </c>
      <c r="B154" s="217">
        <v>282458</v>
      </c>
      <c r="C154" s="217" t="s">
        <v>1534</v>
      </c>
      <c r="D154" s="216">
        <v>72022</v>
      </c>
      <c r="E154" s="217"/>
      <c r="F154" s="218" t="s">
        <v>1458</v>
      </c>
      <c r="G154" s="217">
        <v>2797.47</v>
      </c>
      <c r="H154" s="217"/>
      <c r="I154" s="225">
        <v>288791.09000000003</v>
      </c>
    </row>
    <row r="155" spans="1:9" s="117" customFormat="1" x14ac:dyDescent="0.25">
      <c r="A155" s="223">
        <v>44834</v>
      </c>
      <c r="B155" s="217">
        <v>282459</v>
      </c>
      <c r="C155" s="217" t="s">
        <v>1535</v>
      </c>
      <c r="D155" s="216">
        <v>82022</v>
      </c>
      <c r="E155" s="217"/>
      <c r="F155" s="218" t="s">
        <v>1458</v>
      </c>
      <c r="G155" s="217">
        <v>3177.71</v>
      </c>
      <c r="H155" s="217"/>
      <c r="I155" s="225">
        <v>291968.8</v>
      </c>
    </row>
    <row r="156" spans="1:9" s="117" customFormat="1" x14ac:dyDescent="0.25">
      <c r="A156" s="223">
        <v>44834</v>
      </c>
      <c r="B156" s="217">
        <v>282460</v>
      </c>
      <c r="C156" s="217" t="s">
        <v>1536</v>
      </c>
      <c r="D156" s="216">
        <v>92022</v>
      </c>
      <c r="E156" s="217"/>
      <c r="F156" s="218" t="s">
        <v>1458</v>
      </c>
      <c r="G156" s="217">
        <v>2906.1</v>
      </c>
      <c r="H156" s="217"/>
      <c r="I156" s="225">
        <v>294874.90000000002</v>
      </c>
    </row>
    <row r="157" spans="1:9" s="117" customFormat="1" x14ac:dyDescent="0.25">
      <c r="A157" s="220" t="s">
        <v>1368</v>
      </c>
      <c r="B157" s="220" t="s">
        <v>1271</v>
      </c>
      <c r="C157" s="220">
        <v>112333</v>
      </c>
      <c r="D157" s="221" t="s">
        <v>1272</v>
      </c>
      <c r="E157" s="220" t="s">
        <v>1369</v>
      </c>
      <c r="F157" s="226">
        <v>0</v>
      </c>
      <c r="G157" s="220"/>
      <c r="H157" s="220"/>
      <c r="I157" s="220"/>
    </row>
    <row r="158" spans="1:9" s="117" customFormat="1" x14ac:dyDescent="0.25">
      <c r="A158" s="223">
        <v>44774</v>
      </c>
      <c r="B158" s="217">
        <v>281726</v>
      </c>
      <c r="C158" s="217" t="s">
        <v>1526</v>
      </c>
      <c r="D158" s="216" t="s">
        <v>1413</v>
      </c>
      <c r="E158" s="217"/>
      <c r="F158" s="218" t="s">
        <v>1527</v>
      </c>
      <c r="G158" s="217">
        <v>104108.06</v>
      </c>
      <c r="H158" s="217"/>
      <c r="I158" s="225">
        <v>104108.06</v>
      </c>
    </row>
    <row r="159" spans="1:9" s="117" customFormat="1" x14ac:dyDescent="0.25">
      <c r="A159" s="223">
        <v>44834</v>
      </c>
      <c r="B159" s="217">
        <v>282461</v>
      </c>
      <c r="C159" s="217" t="s">
        <v>1537</v>
      </c>
      <c r="D159" s="216">
        <v>12022</v>
      </c>
      <c r="E159" s="217"/>
      <c r="F159" s="218" t="s">
        <v>1458</v>
      </c>
      <c r="G159" s="217">
        <v>759.99</v>
      </c>
      <c r="H159" s="217"/>
      <c r="I159" s="225">
        <v>104868.05</v>
      </c>
    </row>
    <row r="160" spans="1:9" s="117" customFormat="1" x14ac:dyDescent="0.25">
      <c r="A160" s="223">
        <v>44834</v>
      </c>
      <c r="B160" s="217">
        <v>282462</v>
      </c>
      <c r="C160" s="217" t="s">
        <v>1538</v>
      </c>
      <c r="D160" s="216">
        <v>22022</v>
      </c>
      <c r="E160" s="217"/>
      <c r="F160" s="218" t="s">
        <v>1458</v>
      </c>
      <c r="G160" s="217">
        <v>791.22</v>
      </c>
      <c r="H160" s="217"/>
      <c r="I160" s="225">
        <v>105659.27</v>
      </c>
    </row>
    <row r="161" spans="1:56" s="117" customFormat="1" x14ac:dyDescent="0.25">
      <c r="A161" s="223">
        <v>44834</v>
      </c>
      <c r="B161" s="217">
        <v>282463</v>
      </c>
      <c r="C161" s="217" t="s">
        <v>1539</v>
      </c>
      <c r="D161" s="216">
        <v>32022</v>
      </c>
      <c r="E161" s="217"/>
      <c r="F161" s="218" t="s">
        <v>1458</v>
      </c>
      <c r="G161" s="217">
        <v>968.2</v>
      </c>
      <c r="H161" s="217"/>
      <c r="I161" s="225">
        <v>106627.47</v>
      </c>
    </row>
    <row r="162" spans="1:56" s="117" customFormat="1" x14ac:dyDescent="0.25">
      <c r="A162" s="223">
        <v>44834</v>
      </c>
      <c r="B162" s="217">
        <v>282464</v>
      </c>
      <c r="C162" s="217" t="s">
        <v>1540</v>
      </c>
      <c r="D162" s="216">
        <v>42022</v>
      </c>
      <c r="E162" s="217"/>
      <c r="F162" s="218" t="s">
        <v>1458</v>
      </c>
      <c r="G162" s="217">
        <v>864.1</v>
      </c>
      <c r="H162" s="217"/>
      <c r="I162" s="225">
        <v>107491.57</v>
      </c>
    </row>
    <row r="163" spans="1:56" s="117" customFormat="1" x14ac:dyDescent="0.25">
      <c r="A163" s="223">
        <v>44834</v>
      </c>
      <c r="B163" s="217">
        <v>282465</v>
      </c>
      <c r="C163" s="217" t="s">
        <v>1541</v>
      </c>
      <c r="D163" s="216">
        <v>52022</v>
      </c>
      <c r="E163" s="217"/>
      <c r="F163" s="218" t="s">
        <v>1458</v>
      </c>
      <c r="G163" s="217">
        <v>1072.31</v>
      </c>
      <c r="H163" s="217"/>
      <c r="I163" s="225">
        <v>108563.88</v>
      </c>
    </row>
    <row r="164" spans="1:56" s="117" customFormat="1" x14ac:dyDescent="0.25">
      <c r="A164" s="223">
        <v>44834</v>
      </c>
      <c r="B164" s="217">
        <v>282466</v>
      </c>
      <c r="C164" s="217" t="s">
        <v>1542</v>
      </c>
      <c r="D164" s="216">
        <v>62022</v>
      </c>
      <c r="E164" s="217"/>
      <c r="F164" s="218" t="s">
        <v>1458</v>
      </c>
      <c r="G164" s="217">
        <v>1061.9000000000001</v>
      </c>
      <c r="H164" s="217"/>
      <c r="I164" s="225">
        <v>109625.78</v>
      </c>
    </row>
    <row r="165" spans="1:56" s="117" customFormat="1" x14ac:dyDescent="0.25">
      <c r="A165" s="223">
        <v>44834</v>
      </c>
      <c r="B165" s="217">
        <v>282467</v>
      </c>
      <c r="C165" s="217" t="s">
        <v>1543</v>
      </c>
      <c r="D165" s="216">
        <v>72022</v>
      </c>
      <c r="E165" s="217"/>
      <c r="F165" s="218" t="s">
        <v>1458</v>
      </c>
      <c r="G165" s="217">
        <v>1072.31</v>
      </c>
      <c r="H165" s="217"/>
      <c r="I165" s="225">
        <v>110698.09</v>
      </c>
    </row>
    <row r="166" spans="1:56" s="117" customFormat="1" x14ac:dyDescent="0.25">
      <c r="A166" s="223">
        <v>44834</v>
      </c>
      <c r="B166" s="217">
        <v>282468</v>
      </c>
      <c r="C166" s="217" t="s">
        <v>1544</v>
      </c>
      <c r="D166" s="216">
        <v>82022</v>
      </c>
      <c r="E166" s="217"/>
      <c r="F166" s="218" t="s">
        <v>1458</v>
      </c>
      <c r="G166" s="217">
        <v>1218.06</v>
      </c>
      <c r="H166" s="217"/>
      <c r="I166" s="225">
        <v>111916.15</v>
      </c>
    </row>
    <row r="167" spans="1:56" s="117" customFormat="1" x14ac:dyDescent="0.25">
      <c r="A167" s="223">
        <v>44834</v>
      </c>
      <c r="B167" s="217">
        <v>282469</v>
      </c>
      <c r="C167" s="217" t="s">
        <v>1545</v>
      </c>
      <c r="D167" s="216">
        <v>92022</v>
      </c>
      <c r="E167" s="217"/>
      <c r="F167" s="218" t="s">
        <v>1458</v>
      </c>
      <c r="G167" s="217">
        <v>1113.97</v>
      </c>
      <c r="H167" s="217"/>
      <c r="I167" s="225">
        <v>113030.12</v>
      </c>
    </row>
    <row r="168" spans="1:56" s="117" customFormat="1" x14ac:dyDescent="0.25">
      <c r="A168" s="220" t="s">
        <v>1368</v>
      </c>
      <c r="B168" s="220" t="s">
        <v>1273</v>
      </c>
      <c r="C168" s="220">
        <v>112334</v>
      </c>
      <c r="D168" s="221" t="s">
        <v>1274</v>
      </c>
      <c r="E168" s="220" t="s">
        <v>1369</v>
      </c>
      <c r="F168" s="226">
        <v>0</v>
      </c>
      <c r="G168" s="220"/>
      <c r="H168" s="220"/>
      <c r="I168" s="220"/>
    </row>
    <row r="169" spans="1:56" s="176" customFormat="1" x14ac:dyDescent="0.25">
      <c r="A169" s="223">
        <v>44782</v>
      </c>
      <c r="B169" s="217">
        <v>280775</v>
      </c>
      <c r="C169" s="217" t="s">
        <v>1546</v>
      </c>
      <c r="D169" s="216" t="s">
        <v>1547</v>
      </c>
      <c r="E169" s="217"/>
      <c r="F169" s="218" t="s">
        <v>1548</v>
      </c>
      <c r="G169" s="217">
        <v>187.79</v>
      </c>
      <c r="H169" s="217"/>
      <c r="I169" s="225">
        <v>187.79</v>
      </c>
      <c r="J169" s="117"/>
      <c r="K169" s="117"/>
      <c r="L169" s="117"/>
      <c r="M169" s="117"/>
      <c r="N169" s="117"/>
      <c r="O169" s="117"/>
      <c r="P169" s="117"/>
      <c r="Q169" s="117"/>
      <c r="R169" s="117"/>
      <c r="S169" s="117"/>
      <c r="T169" s="117"/>
      <c r="U169" s="117"/>
      <c r="V169" s="117"/>
      <c r="W169" s="117"/>
      <c r="X169" s="117"/>
      <c r="Y169" s="117"/>
      <c r="Z169" s="117"/>
      <c r="AA169" s="117"/>
      <c r="AB169" s="117"/>
      <c r="AC169" s="117"/>
      <c r="AD169" s="117"/>
      <c r="AE169" s="117"/>
      <c r="AF169" s="117"/>
      <c r="AG169" s="117"/>
      <c r="AH169" s="117"/>
      <c r="AI169" s="117"/>
      <c r="AJ169" s="117"/>
      <c r="AK169" s="117"/>
      <c r="AL169" s="117"/>
      <c r="AM169" s="117"/>
      <c r="AN169" s="117"/>
      <c r="AO169" s="117"/>
      <c r="AP169" s="117"/>
      <c r="AQ169" s="117"/>
      <c r="AR169" s="117"/>
      <c r="AS169" s="117"/>
      <c r="AT169" s="117"/>
      <c r="AU169" s="117"/>
      <c r="AV169" s="117"/>
      <c r="AW169" s="117"/>
      <c r="AX169" s="117"/>
      <c r="AY169" s="117"/>
      <c r="AZ169" s="117"/>
      <c r="BA169" s="117"/>
      <c r="BB169" s="117"/>
      <c r="BC169" s="117"/>
      <c r="BD169" s="117"/>
    </row>
    <row r="170" spans="1:56" s="117" customFormat="1" x14ac:dyDescent="0.25">
      <c r="A170" s="223">
        <v>44834</v>
      </c>
      <c r="B170" s="217">
        <v>282532</v>
      </c>
      <c r="C170" s="217" t="s">
        <v>1549</v>
      </c>
      <c r="D170" s="216" t="s">
        <v>1426</v>
      </c>
      <c r="E170" s="217"/>
      <c r="F170" s="218" t="s">
        <v>1458</v>
      </c>
      <c r="G170" s="217">
        <v>2.0099999999999998</v>
      </c>
      <c r="H170" s="217"/>
      <c r="I170" s="225">
        <v>189.8</v>
      </c>
    </row>
    <row r="171" spans="1:56" s="117" customFormat="1" x14ac:dyDescent="0.25">
      <c r="A171" s="220" t="s">
        <v>1368</v>
      </c>
      <c r="B171" s="220" t="s">
        <v>368</v>
      </c>
      <c r="C171" s="220">
        <v>1123999</v>
      </c>
      <c r="D171" s="221" t="s">
        <v>369</v>
      </c>
      <c r="E171" s="220" t="s">
        <v>1369</v>
      </c>
      <c r="F171" s="226">
        <v>0</v>
      </c>
      <c r="G171" s="220"/>
      <c r="H171" s="220"/>
      <c r="I171" s="220"/>
    </row>
    <row r="172" spans="1:56" s="117" customFormat="1" x14ac:dyDescent="0.25">
      <c r="A172" s="223">
        <v>44593</v>
      </c>
      <c r="B172" s="217">
        <v>274769</v>
      </c>
      <c r="C172" s="217" t="s">
        <v>1550</v>
      </c>
      <c r="D172" s="216" t="s">
        <v>1551</v>
      </c>
      <c r="E172" s="217"/>
      <c r="F172" s="218" t="s">
        <v>1552</v>
      </c>
      <c r="G172" s="217">
        <v>3836.68</v>
      </c>
      <c r="H172" s="217"/>
      <c r="I172" s="225">
        <v>3836.68</v>
      </c>
    </row>
    <row r="173" spans="1:56" s="117" customFormat="1" x14ac:dyDescent="0.25">
      <c r="A173" s="223">
        <v>44593</v>
      </c>
      <c r="B173" s="217">
        <v>274770</v>
      </c>
      <c r="C173" s="217" t="s">
        <v>1553</v>
      </c>
      <c r="D173" s="216" t="s">
        <v>1551</v>
      </c>
      <c r="E173" s="217"/>
      <c r="F173" s="218" t="s">
        <v>173</v>
      </c>
      <c r="G173" s="217"/>
      <c r="H173" s="217">
        <v>-3836.68</v>
      </c>
      <c r="I173" s="225">
        <v>0</v>
      </c>
    </row>
    <row r="174" spans="1:56" s="117" customFormat="1" x14ac:dyDescent="0.25">
      <c r="A174" s="220" t="s">
        <v>1368</v>
      </c>
      <c r="B174" s="220" t="s">
        <v>984</v>
      </c>
      <c r="C174" s="220">
        <v>12131</v>
      </c>
      <c r="D174" s="221" t="s">
        <v>115</v>
      </c>
      <c r="E174" s="220" t="s">
        <v>1369</v>
      </c>
      <c r="F174" s="226">
        <v>69814.789999999994</v>
      </c>
      <c r="G174" s="220"/>
      <c r="H174" s="220"/>
      <c r="I174" s="220"/>
    </row>
    <row r="175" spans="1:56" s="117" customFormat="1" x14ac:dyDescent="0.25">
      <c r="A175" s="223">
        <v>44592</v>
      </c>
      <c r="B175" s="217">
        <v>272634</v>
      </c>
      <c r="C175" s="217" t="s">
        <v>1498</v>
      </c>
      <c r="D175" s="216" t="s">
        <v>1413</v>
      </c>
      <c r="E175" s="217"/>
      <c r="F175" s="218" t="s">
        <v>1458</v>
      </c>
      <c r="G175" s="217">
        <v>471.95</v>
      </c>
      <c r="H175" s="217"/>
      <c r="I175" s="225">
        <v>70286.740000000005</v>
      </c>
    </row>
    <row r="176" spans="1:56" s="117" customFormat="1" x14ac:dyDescent="0.25">
      <c r="A176" s="223">
        <v>44620</v>
      </c>
      <c r="B176" s="217">
        <v>274748</v>
      </c>
      <c r="C176" s="217" t="s">
        <v>1499</v>
      </c>
      <c r="D176" s="216" t="s">
        <v>1500</v>
      </c>
      <c r="E176" s="217"/>
      <c r="F176" s="218" t="s">
        <v>1458</v>
      </c>
      <c r="G176" s="217">
        <v>491.35</v>
      </c>
      <c r="H176" s="217"/>
      <c r="I176" s="225">
        <v>70778.09</v>
      </c>
    </row>
    <row r="177" spans="1:9" s="117" customFormat="1" x14ac:dyDescent="0.25">
      <c r="A177" s="223">
        <v>44651</v>
      </c>
      <c r="B177" s="217">
        <v>277489</v>
      </c>
      <c r="C177" s="217" t="s">
        <v>1501</v>
      </c>
      <c r="D177" s="216" t="s">
        <v>1416</v>
      </c>
      <c r="E177" s="217"/>
      <c r="F177" s="218" t="s">
        <v>1458</v>
      </c>
      <c r="G177" s="217">
        <v>601.25</v>
      </c>
      <c r="H177" s="217"/>
      <c r="I177" s="225">
        <v>71379.34</v>
      </c>
    </row>
    <row r="178" spans="1:9" s="117" customFormat="1" x14ac:dyDescent="0.25">
      <c r="A178" s="223">
        <v>44681</v>
      </c>
      <c r="B178" s="217">
        <v>278194</v>
      </c>
      <c r="C178" s="217" t="s">
        <v>1502</v>
      </c>
      <c r="D178" s="216" t="s">
        <v>1418</v>
      </c>
      <c r="E178" s="217"/>
      <c r="F178" s="218" t="s">
        <v>1458</v>
      </c>
      <c r="G178" s="217">
        <v>536.6</v>
      </c>
      <c r="H178" s="217"/>
      <c r="I178" s="225">
        <v>71915.94</v>
      </c>
    </row>
    <row r="179" spans="1:9" s="117" customFormat="1" x14ac:dyDescent="0.25">
      <c r="A179" s="223">
        <v>44690</v>
      </c>
      <c r="B179" s="217">
        <v>278920</v>
      </c>
      <c r="C179" s="217" t="s">
        <v>1554</v>
      </c>
      <c r="D179" s="216" t="s">
        <v>1555</v>
      </c>
      <c r="E179" s="217"/>
      <c r="F179" s="218" t="s">
        <v>1548</v>
      </c>
      <c r="G179" s="217"/>
      <c r="H179" s="217">
        <v>-105415.29</v>
      </c>
      <c r="I179" s="225">
        <v>-33499.35</v>
      </c>
    </row>
    <row r="180" spans="1:9" s="117" customFormat="1" x14ac:dyDescent="0.25">
      <c r="A180" s="223">
        <v>44690</v>
      </c>
      <c r="B180" s="217">
        <v>278937</v>
      </c>
      <c r="C180" s="217" t="s">
        <v>1556</v>
      </c>
      <c r="D180" s="216">
        <v>32022</v>
      </c>
      <c r="E180" s="217"/>
      <c r="F180" s="218" t="s">
        <v>1458</v>
      </c>
      <c r="G180" s="217">
        <v>52864.35</v>
      </c>
      <c r="H180" s="217"/>
      <c r="I180" s="225">
        <v>19365</v>
      </c>
    </row>
    <row r="181" spans="1:9" s="117" customFormat="1" x14ac:dyDescent="0.25">
      <c r="A181" s="223">
        <v>44712</v>
      </c>
      <c r="B181" s="217">
        <v>278911</v>
      </c>
      <c r="C181" s="217" t="s">
        <v>1503</v>
      </c>
      <c r="D181" s="216" t="s">
        <v>1420</v>
      </c>
      <c r="E181" s="217"/>
      <c r="F181" s="218" t="s">
        <v>1458</v>
      </c>
      <c r="G181" s="217">
        <v>665.9</v>
      </c>
      <c r="H181" s="217"/>
      <c r="I181" s="225">
        <v>20030.900000000001</v>
      </c>
    </row>
    <row r="182" spans="1:9" s="117" customFormat="1" x14ac:dyDescent="0.25">
      <c r="A182" s="223">
        <v>44742</v>
      </c>
      <c r="B182" s="217">
        <v>279580</v>
      </c>
      <c r="C182" s="217" t="s">
        <v>1504</v>
      </c>
      <c r="D182" s="216" t="s">
        <v>1421</v>
      </c>
      <c r="E182" s="217"/>
      <c r="F182" s="218" t="s">
        <v>1458</v>
      </c>
      <c r="G182" s="217">
        <v>176.52</v>
      </c>
      <c r="H182" s="217"/>
      <c r="I182" s="225">
        <v>20207.419999999998</v>
      </c>
    </row>
    <row r="183" spans="1:9" s="117" customFormat="1" x14ac:dyDescent="0.25">
      <c r="A183" s="223">
        <v>44773</v>
      </c>
      <c r="B183" s="217">
        <v>280390</v>
      </c>
      <c r="C183" s="217" t="s">
        <v>1505</v>
      </c>
      <c r="D183" s="216" t="s">
        <v>1423</v>
      </c>
      <c r="E183" s="217"/>
      <c r="F183" s="218" t="s">
        <v>1458</v>
      </c>
      <c r="G183" s="217">
        <v>178.25</v>
      </c>
      <c r="H183" s="217"/>
      <c r="I183" s="225">
        <v>20385.669999999998</v>
      </c>
    </row>
    <row r="184" spans="1:9" s="117" customFormat="1" x14ac:dyDescent="0.25">
      <c r="A184" s="223">
        <v>44804</v>
      </c>
      <c r="B184" s="217">
        <v>281308</v>
      </c>
      <c r="C184" s="217" t="s">
        <v>1506</v>
      </c>
      <c r="D184" s="216" t="s">
        <v>1424</v>
      </c>
      <c r="E184" s="217"/>
      <c r="F184" s="218" t="s">
        <v>1458</v>
      </c>
      <c r="G184" s="217">
        <v>202.47</v>
      </c>
      <c r="H184" s="217"/>
      <c r="I184" s="225">
        <v>20588.14</v>
      </c>
    </row>
    <row r="185" spans="1:9" s="117" customFormat="1" x14ac:dyDescent="0.25">
      <c r="A185" s="223">
        <v>44834</v>
      </c>
      <c r="B185" s="217">
        <v>282449</v>
      </c>
      <c r="C185" s="217" t="s">
        <v>1507</v>
      </c>
      <c r="D185" s="216">
        <v>92022</v>
      </c>
      <c r="E185" s="217"/>
      <c r="F185" s="218" t="s">
        <v>1458</v>
      </c>
      <c r="G185" s="217">
        <v>185.17</v>
      </c>
      <c r="H185" s="217"/>
      <c r="I185" s="225">
        <v>20773.310000000001</v>
      </c>
    </row>
    <row r="186" spans="1:9" s="117" customFormat="1" x14ac:dyDescent="0.25">
      <c r="A186" s="220" t="s">
        <v>1368</v>
      </c>
      <c r="B186" s="220" t="s">
        <v>986</v>
      </c>
      <c r="C186" s="220">
        <v>12135</v>
      </c>
      <c r="D186" s="221" t="s">
        <v>117</v>
      </c>
      <c r="E186" s="220" t="s">
        <v>1369</v>
      </c>
      <c r="F186" s="226">
        <v>123957.19</v>
      </c>
      <c r="G186" s="220"/>
      <c r="H186" s="220"/>
      <c r="I186" s="220"/>
    </row>
    <row r="187" spans="1:9" s="117" customFormat="1" x14ac:dyDescent="0.25">
      <c r="A187" s="223">
        <v>44592</v>
      </c>
      <c r="B187" s="217">
        <v>272635</v>
      </c>
      <c r="C187" s="217" t="s">
        <v>1498</v>
      </c>
      <c r="D187" s="216" t="s">
        <v>1413</v>
      </c>
      <c r="E187" s="217"/>
      <c r="F187" s="218" t="s">
        <v>1458</v>
      </c>
      <c r="G187" s="217">
        <v>859.96</v>
      </c>
      <c r="H187" s="217"/>
      <c r="I187" s="225">
        <v>124817.15</v>
      </c>
    </row>
    <row r="188" spans="1:9" s="117" customFormat="1" x14ac:dyDescent="0.25">
      <c r="A188" s="223">
        <v>44620</v>
      </c>
      <c r="B188" s="217">
        <v>274749</v>
      </c>
      <c r="C188" s="217" t="s">
        <v>1499</v>
      </c>
      <c r="D188" s="216" t="s">
        <v>1500</v>
      </c>
      <c r="E188" s="217"/>
      <c r="F188" s="218" t="s">
        <v>1458</v>
      </c>
      <c r="G188" s="217">
        <v>895.3</v>
      </c>
      <c r="H188" s="217"/>
      <c r="I188" s="225">
        <v>125712.45</v>
      </c>
    </row>
    <row r="189" spans="1:9" s="117" customFormat="1" x14ac:dyDescent="0.25">
      <c r="A189" s="223">
        <v>44651</v>
      </c>
      <c r="B189" s="217">
        <v>277490</v>
      </c>
      <c r="C189" s="217" t="s">
        <v>1501</v>
      </c>
      <c r="D189" s="216" t="s">
        <v>1416</v>
      </c>
      <c r="E189" s="217"/>
      <c r="F189" s="218" t="s">
        <v>1458</v>
      </c>
      <c r="G189" s="217">
        <v>1095.56</v>
      </c>
      <c r="H189" s="217"/>
      <c r="I189" s="225">
        <v>126808.01</v>
      </c>
    </row>
    <row r="190" spans="1:9" s="117" customFormat="1" x14ac:dyDescent="0.25">
      <c r="A190" s="223">
        <v>44681</v>
      </c>
      <c r="B190" s="217">
        <v>278195</v>
      </c>
      <c r="C190" s="217" t="s">
        <v>1502</v>
      </c>
      <c r="D190" s="216" t="s">
        <v>1418</v>
      </c>
      <c r="E190" s="217"/>
      <c r="F190" s="218" t="s">
        <v>1458</v>
      </c>
      <c r="G190" s="217">
        <v>977.76</v>
      </c>
      <c r="H190" s="217"/>
      <c r="I190" s="225">
        <v>127785.77</v>
      </c>
    </row>
    <row r="191" spans="1:9" s="117" customFormat="1" x14ac:dyDescent="0.25">
      <c r="A191" s="223">
        <v>44712</v>
      </c>
      <c r="B191" s="217">
        <v>278912</v>
      </c>
      <c r="C191" s="217" t="s">
        <v>1503</v>
      </c>
      <c r="D191" s="216" t="s">
        <v>1420</v>
      </c>
      <c r="E191" s="217"/>
      <c r="F191" s="218" t="s">
        <v>1458</v>
      </c>
      <c r="G191" s="217">
        <v>1213.3599999999999</v>
      </c>
      <c r="H191" s="217"/>
      <c r="I191" s="225">
        <v>128999.13</v>
      </c>
    </row>
    <row r="192" spans="1:9" s="117" customFormat="1" x14ac:dyDescent="0.25">
      <c r="A192" s="223">
        <v>44742</v>
      </c>
      <c r="B192" s="217">
        <v>279581</v>
      </c>
      <c r="C192" s="217" t="s">
        <v>1504</v>
      </c>
      <c r="D192" s="216" t="s">
        <v>1421</v>
      </c>
      <c r="E192" s="217"/>
      <c r="F192" s="218" t="s">
        <v>1458</v>
      </c>
      <c r="G192" s="217">
        <v>1201.57</v>
      </c>
      <c r="H192" s="217"/>
      <c r="I192" s="225">
        <v>130200.7</v>
      </c>
    </row>
    <row r="193" spans="1:12" s="117" customFormat="1" x14ac:dyDescent="0.25">
      <c r="A193" s="223">
        <v>44773</v>
      </c>
      <c r="B193" s="217">
        <v>280391</v>
      </c>
      <c r="C193" s="217" t="s">
        <v>1505</v>
      </c>
      <c r="D193" s="216" t="s">
        <v>1423</v>
      </c>
      <c r="E193" s="217"/>
      <c r="F193" s="218" t="s">
        <v>1458</v>
      </c>
      <c r="G193" s="217">
        <v>1213.3699999999999</v>
      </c>
      <c r="H193" s="217"/>
      <c r="I193" s="225">
        <v>131414.07</v>
      </c>
    </row>
    <row r="194" spans="1:12" s="117" customFormat="1" x14ac:dyDescent="0.25">
      <c r="A194" s="223">
        <v>44804</v>
      </c>
      <c r="B194" s="217">
        <v>281309</v>
      </c>
      <c r="C194" s="217" t="s">
        <v>1506</v>
      </c>
      <c r="D194" s="216" t="s">
        <v>1424</v>
      </c>
      <c r="E194" s="217"/>
      <c r="F194" s="218" t="s">
        <v>1458</v>
      </c>
      <c r="G194" s="217">
        <v>1378.28</v>
      </c>
      <c r="H194" s="217"/>
      <c r="I194" s="225">
        <v>132792.35</v>
      </c>
    </row>
    <row r="195" spans="1:12" s="117" customFormat="1" x14ac:dyDescent="0.25">
      <c r="A195" s="223">
        <v>44834</v>
      </c>
      <c r="B195" s="217">
        <v>282450</v>
      </c>
      <c r="C195" s="217" t="s">
        <v>1507</v>
      </c>
      <c r="D195" s="216">
        <v>92022</v>
      </c>
      <c r="E195" s="217"/>
      <c r="F195" s="218" t="s">
        <v>1458</v>
      </c>
      <c r="G195" s="217">
        <v>1260.48</v>
      </c>
      <c r="H195" s="217"/>
      <c r="I195" s="225">
        <v>134052.82999999999</v>
      </c>
    </row>
    <row r="196" spans="1:12" ht="15.75" thickBot="1" x14ac:dyDescent="0.3"/>
    <row r="197" spans="1:12" x14ac:dyDescent="0.25">
      <c r="B197" s="774">
        <v>2022</v>
      </c>
      <c r="C197" s="775"/>
      <c r="D197" s="775"/>
      <c r="E197" s="775"/>
      <c r="F197" s="775"/>
      <c r="G197" s="775"/>
      <c r="H197" s="775"/>
      <c r="I197" s="775"/>
      <c r="J197" s="227"/>
      <c r="L197" s="228"/>
    </row>
    <row r="198" spans="1:12" x14ac:dyDescent="0.25">
      <c r="B198" s="229"/>
      <c r="C198" s="230"/>
      <c r="D198" s="230"/>
      <c r="E198" s="230"/>
      <c r="F198" s="230"/>
      <c r="G198" s="230"/>
      <c r="H198" s="230" t="s">
        <v>1452</v>
      </c>
      <c r="I198" s="230" t="s">
        <v>1453</v>
      </c>
      <c r="J198" s="231"/>
      <c r="L198" s="228"/>
    </row>
    <row r="199" spans="1:12" s="117" customFormat="1" x14ac:dyDescent="0.25">
      <c r="B199" s="232">
        <v>44782</v>
      </c>
      <c r="C199" s="233">
        <v>280775</v>
      </c>
      <c r="D199" s="233" t="s">
        <v>1546</v>
      </c>
      <c r="E199" s="233" t="s">
        <v>1547</v>
      </c>
      <c r="F199" s="233"/>
      <c r="G199" s="233" t="s">
        <v>1548</v>
      </c>
      <c r="H199" s="233">
        <v>187.79</v>
      </c>
      <c r="I199" s="233"/>
      <c r="J199" s="234">
        <v>187.79</v>
      </c>
    </row>
    <row r="200" spans="1:12" s="117" customFormat="1" x14ac:dyDescent="0.25">
      <c r="B200" s="232">
        <v>44690</v>
      </c>
      <c r="C200" s="233">
        <v>278920</v>
      </c>
      <c r="D200" s="233" t="s">
        <v>1554</v>
      </c>
      <c r="E200" s="233" t="s">
        <v>1555</v>
      </c>
      <c r="F200" s="233"/>
      <c r="G200" s="233" t="s">
        <v>1548</v>
      </c>
      <c r="H200" s="233"/>
      <c r="I200" s="235">
        <v>-105415.29</v>
      </c>
      <c r="J200" s="236">
        <v>-33499.35</v>
      </c>
    </row>
    <row r="201" spans="1:12" ht="15.75" thickBot="1" x14ac:dyDescent="0.3">
      <c r="B201" s="237"/>
      <c r="C201" s="238"/>
      <c r="D201" s="238"/>
      <c r="E201" s="238"/>
      <c r="F201" s="238"/>
      <c r="G201" s="238"/>
      <c r="H201" s="239">
        <f>SUM(H199:H200)</f>
        <v>187.79</v>
      </c>
      <c r="I201" s="239">
        <f>SUM(I199:I200)</f>
        <v>-105415.29</v>
      </c>
      <c r="J201" s="240">
        <f>H201+I201</f>
        <v>-105227.5</v>
      </c>
      <c r="L201" s="241">
        <f>J201/1000</f>
        <v>-105.22750000000001</v>
      </c>
    </row>
    <row r="202" spans="1:12" ht="15.75" thickBot="1" x14ac:dyDescent="0.3">
      <c r="L202" s="228"/>
    </row>
    <row r="203" spans="1:12" x14ac:dyDescent="0.25">
      <c r="B203" s="774">
        <v>2021</v>
      </c>
      <c r="C203" s="775"/>
      <c r="D203" s="775"/>
      <c r="E203" s="775"/>
      <c r="F203" s="775"/>
      <c r="G203" s="775"/>
      <c r="H203" s="775"/>
      <c r="I203" s="775"/>
      <c r="J203" s="227"/>
      <c r="L203" s="228"/>
    </row>
    <row r="204" spans="1:12" x14ac:dyDescent="0.25">
      <c r="B204" s="229"/>
      <c r="C204" s="230"/>
      <c r="D204" s="230"/>
      <c r="E204" s="230"/>
      <c r="F204" s="230"/>
      <c r="G204" s="230"/>
      <c r="H204" s="230" t="s">
        <v>1452</v>
      </c>
      <c r="I204" s="230" t="s">
        <v>1453</v>
      </c>
      <c r="J204" s="231"/>
      <c r="L204" s="228"/>
    </row>
    <row r="205" spans="1:12" x14ac:dyDescent="0.25">
      <c r="B205" s="229"/>
      <c r="C205" s="242"/>
      <c r="D205" s="242"/>
      <c r="E205" s="242"/>
      <c r="F205" s="242"/>
      <c r="G205" s="242"/>
      <c r="H205" s="242"/>
      <c r="I205" s="242"/>
      <c r="J205" s="231"/>
      <c r="L205" s="228"/>
    </row>
    <row r="206" spans="1:12" ht="15.75" thickBot="1" x14ac:dyDescent="0.3">
      <c r="B206" s="237"/>
      <c r="C206" s="238"/>
      <c r="D206" s="238"/>
      <c r="E206" s="238"/>
      <c r="F206" s="238"/>
      <c r="G206" s="238"/>
      <c r="H206" s="239">
        <f>SUM(H205:H205)</f>
        <v>0</v>
      </c>
      <c r="I206" s="239">
        <f>SUM(I205:I205)</f>
        <v>0</v>
      </c>
      <c r="J206" s="240">
        <f>H206+I206</f>
        <v>0</v>
      </c>
      <c r="L206" s="241">
        <f>-J206/1000</f>
        <v>0</v>
      </c>
    </row>
    <row r="207" spans="1:12" ht="15.75" thickBot="1" x14ac:dyDescent="0.3">
      <c r="B207" s="242"/>
      <c r="C207" s="242"/>
      <c r="D207" s="242"/>
      <c r="E207" s="242"/>
      <c r="F207" s="242"/>
      <c r="G207" s="242"/>
      <c r="H207" s="243"/>
      <c r="I207" s="243"/>
      <c r="J207" s="243"/>
      <c r="L207" s="241"/>
    </row>
    <row r="208" spans="1:12" ht="15.75" thickBot="1" x14ac:dyDescent="0.3">
      <c r="B208" s="242"/>
      <c r="C208" s="242"/>
      <c r="D208" s="242"/>
      <c r="E208" s="242"/>
      <c r="F208" s="242"/>
      <c r="G208" s="242"/>
      <c r="H208" s="243"/>
      <c r="I208" s="343" t="s">
        <v>1454</v>
      </c>
      <c r="J208" s="344"/>
      <c r="K208" s="345"/>
      <c r="L208" s="346">
        <f>L206-L201</f>
        <v>105.22750000000001</v>
      </c>
    </row>
    <row r="209" spans="12:12" x14ac:dyDescent="0.25">
      <c r="L209" s="228"/>
    </row>
    <row r="210" spans="12:12" x14ac:dyDescent="0.25">
      <c r="L210" s="241"/>
    </row>
  </sheetData>
  <mergeCells count="4">
    <mergeCell ref="A4:C4"/>
    <mergeCell ref="A82:C82"/>
    <mergeCell ref="B197:I197"/>
    <mergeCell ref="B203:I203"/>
  </mergeCells>
  <pageMargins left="0.511811024" right="0.511811024" top="0.78740157499999996" bottom="0.78740157499999996" header="0.31496062000000002" footer="0.3149606200000000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3"/>
  <sheetViews>
    <sheetView showGridLines="0" zoomScale="112" zoomScaleNormal="112" workbookViewId="0">
      <selection activeCell="C7" sqref="C7"/>
    </sheetView>
  </sheetViews>
  <sheetFormatPr defaultRowHeight="15" x14ac:dyDescent="0.25"/>
  <cols>
    <col min="1" max="1" width="19.7109375" customWidth="1"/>
    <col min="2" max="2" width="16.42578125" customWidth="1"/>
    <col min="3" max="3" width="93.42578125" bestFit="1" customWidth="1"/>
    <col min="4" max="4" width="28.28515625" customWidth="1"/>
    <col min="5" max="5" width="22.85546875" bestFit="1" customWidth="1"/>
    <col min="6" max="6" width="18.85546875" bestFit="1" customWidth="1"/>
    <col min="7" max="7" width="9.85546875" bestFit="1" customWidth="1"/>
    <col min="8" max="8" width="12.140625" bestFit="1" customWidth="1"/>
    <col min="9" max="9" width="10.5703125" bestFit="1" customWidth="1"/>
  </cols>
  <sheetData>
    <row r="1" spans="1:8" x14ac:dyDescent="0.25">
      <c r="A1" t="s">
        <v>1357</v>
      </c>
      <c r="B1" t="s">
        <v>1358</v>
      </c>
      <c r="C1" t="s">
        <v>1359</v>
      </c>
      <c r="D1" t="s">
        <v>1360</v>
      </c>
      <c r="E1" t="s">
        <v>1362</v>
      </c>
      <c r="F1" t="s">
        <v>1363</v>
      </c>
      <c r="G1" t="s">
        <v>1364</v>
      </c>
      <c r="H1" t="s">
        <v>1365</v>
      </c>
    </row>
    <row r="2" spans="1:8" x14ac:dyDescent="0.25">
      <c r="A2" t="s">
        <v>1366</v>
      </c>
    </row>
    <row r="4" spans="1:8" ht="15.75" x14ac:dyDescent="0.25">
      <c r="A4" s="773" t="s">
        <v>1367</v>
      </c>
      <c r="B4" s="773"/>
      <c r="C4" s="773"/>
      <c r="D4" s="216"/>
      <c r="E4" s="218"/>
      <c r="F4" s="217"/>
      <c r="G4" s="217"/>
      <c r="H4" s="217"/>
    </row>
    <row r="5" spans="1:8" x14ac:dyDescent="0.25">
      <c r="A5" s="220" t="s">
        <v>1368</v>
      </c>
      <c r="B5" s="220" t="s">
        <v>988</v>
      </c>
      <c r="C5" s="220">
        <v>12181</v>
      </c>
      <c r="D5" s="221" t="s">
        <v>391</v>
      </c>
      <c r="E5" s="222">
        <v>3488417.17</v>
      </c>
      <c r="F5" s="220"/>
      <c r="G5" s="220"/>
      <c r="H5" s="220"/>
    </row>
    <row r="6" spans="1:8" x14ac:dyDescent="0.25">
      <c r="A6" s="223">
        <v>44227</v>
      </c>
      <c r="B6" s="217">
        <v>265007</v>
      </c>
      <c r="C6" s="217" t="s">
        <v>1557</v>
      </c>
      <c r="D6" s="224" t="s">
        <v>1457</v>
      </c>
      <c r="E6" s="218" t="s">
        <v>1458</v>
      </c>
      <c r="F6" s="217">
        <v>17442.09</v>
      </c>
      <c r="G6" s="225"/>
      <c r="H6" s="225">
        <v>3505859.26</v>
      </c>
    </row>
    <row r="7" spans="1:8" x14ac:dyDescent="0.25">
      <c r="A7" s="223">
        <v>44255</v>
      </c>
      <c r="B7" s="217">
        <v>266409</v>
      </c>
      <c r="C7" s="217" t="s">
        <v>1558</v>
      </c>
      <c r="D7" s="224" t="s">
        <v>1460</v>
      </c>
      <c r="E7" s="218" t="s">
        <v>1458</v>
      </c>
      <c r="F7" s="217">
        <v>17529.3</v>
      </c>
      <c r="G7" s="225"/>
      <c r="H7" s="225">
        <v>3523388.56</v>
      </c>
    </row>
    <row r="8" spans="1:8" x14ac:dyDescent="0.25">
      <c r="A8" s="223">
        <v>44286</v>
      </c>
      <c r="B8" s="217">
        <v>267116</v>
      </c>
      <c r="C8" s="217" t="s">
        <v>1559</v>
      </c>
      <c r="D8" s="224">
        <v>32021</v>
      </c>
      <c r="E8" s="218" t="s">
        <v>1493</v>
      </c>
      <c r="F8" s="225"/>
      <c r="G8" s="217">
        <v>-90008.72</v>
      </c>
      <c r="H8" s="225">
        <v>3433379.8399999999</v>
      </c>
    </row>
    <row r="9" spans="1:8" x14ac:dyDescent="0.25">
      <c r="A9" s="223">
        <v>44377</v>
      </c>
      <c r="B9" s="217">
        <v>268535</v>
      </c>
      <c r="C9" s="217" t="s">
        <v>1560</v>
      </c>
      <c r="D9" s="224" t="s">
        <v>1383</v>
      </c>
      <c r="E9" s="218" t="s">
        <v>1458</v>
      </c>
      <c r="F9" s="225">
        <v>64592.07</v>
      </c>
      <c r="G9" s="217"/>
      <c r="H9" s="225">
        <v>3497971.91</v>
      </c>
    </row>
    <row r="10" spans="1:8" x14ac:dyDescent="0.25">
      <c r="A10" s="223">
        <v>44469</v>
      </c>
      <c r="B10" s="217">
        <v>270273</v>
      </c>
      <c r="C10" s="217" t="s">
        <v>1561</v>
      </c>
      <c r="D10" s="224" t="s">
        <v>1385</v>
      </c>
      <c r="E10" s="218" t="s">
        <v>1458</v>
      </c>
      <c r="F10" s="217">
        <v>50814.66</v>
      </c>
      <c r="G10" s="225"/>
      <c r="H10" s="225">
        <v>3548786.57</v>
      </c>
    </row>
    <row r="11" spans="1:8" x14ac:dyDescent="0.25">
      <c r="A11" s="223">
        <v>44500</v>
      </c>
      <c r="B11" s="217">
        <v>270882</v>
      </c>
      <c r="C11" s="217" t="s">
        <v>1562</v>
      </c>
      <c r="D11" s="216" t="s">
        <v>1388</v>
      </c>
      <c r="E11" s="218" t="s">
        <v>1458</v>
      </c>
      <c r="F11" s="217">
        <v>46248.24</v>
      </c>
      <c r="G11" s="225"/>
      <c r="H11" s="225">
        <v>3595034.81</v>
      </c>
    </row>
    <row r="12" spans="1:8" x14ac:dyDescent="0.25">
      <c r="A12" s="223">
        <v>44530</v>
      </c>
      <c r="B12" s="217">
        <v>271400</v>
      </c>
      <c r="C12" s="217" t="s">
        <v>1563</v>
      </c>
      <c r="D12" s="216" t="s">
        <v>1390</v>
      </c>
      <c r="E12" s="218" t="s">
        <v>1458</v>
      </c>
      <c r="F12" s="225">
        <v>32354.3</v>
      </c>
      <c r="G12" s="217"/>
      <c r="H12" s="225">
        <v>3627389.11</v>
      </c>
    </row>
    <row r="13" spans="1:8" x14ac:dyDescent="0.25">
      <c r="A13" s="223">
        <v>44561</v>
      </c>
      <c r="B13" s="217">
        <v>272195</v>
      </c>
      <c r="C13" s="217" t="s">
        <v>1563</v>
      </c>
      <c r="D13" s="216" t="s">
        <v>1392</v>
      </c>
      <c r="E13" s="218" t="s">
        <v>1458</v>
      </c>
      <c r="F13" s="217">
        <v>82062.539999999994</v>
      </c>
      <c r="G13" s="225"/>
      <c r="H13" s="225">
        <v>3709451.65</v>
      </c>
    </row>
    <row r="14" spans="1:8" x14ac:dyDescent="0.25">
      <c r="A14" s="220" t="s">
        <v>1368</v>
      </c>
      <c r="B14" s="220" t="s">
        <v>989</v>
      </c>
      <c r="C14" s="220">
        <v>12182</v>
      </c>
      <c r="D14" s="221" t="s">
        <v>393</v>
      </c>
      <c r="E14" s="222">
        <v>220771.6</v>
      </c>
      <c r="F14" s="220"/>
      <c r="G14" s="220"/>
      <c r="H14" s="220"/>
    </row>
    <row r="15" spans="1:8" x14ac:dyDescent="0.25">
      <c r="A15" s="223">
        <v>44227</v>
      </c>
      <c r="B15" s="217">
        <v>265008</v>
      </c>
      <c r="C15" s="217" t="s">
        <v>1564</v>
      </c>
      <c r="D15" s="216" t="s">
        <v>1457</v>
      </c>
      <c r="E15" s="218" t="s">
        <v>1458</v>
      </c>
      <c r="F15" s="225">
        <v>1103.8599999999999</v>
      </c>
      <c r="G15" s="217"/>
      <c r="H15" s="225">
        <v>221875.46</v>
      </c>
    </row>
    <row r="16" spans="1:8" x14ac:dyDescent="0.25">
      <c r="A16" s="223">
        <v>44255</v>
      </c>
      <c r="B16" s="217">
        <v>266410</v>
      </c>
      <c r="C16" s="217" t="s">
        <v>1565</v>
      </c>
      <c r="D16" s="216" t="s">
        <v>1460</v>
      </c>
      <c r="E16" s="218" t="s">
        <v>1458</v>
      </c>
      <c r="F16" s="225">
        <v>1109.3800000000001</v>
      </c>
      <c r="G16" s="217"/>
      <c r="H16" s="225">
        <v>222984.84</v>
      </c>
    </row>
    <row r="17" spans="1:8" x14ac:dyDescent="0.25">
      <c r="A17" s="223">
        <v>44286</v>
      </c>
      <c r="B17" s="217">
        <v>267118</v>
      </c>
      <c r="C17" s="217" t="s">
        <v>1566</v>
      </c>
      <c r="D17" s="224">
        <v>32021</v>
      </c>
      <c r="E17" s="218" t="s">
        <v>1493</v>
      </c>
      <c r="F17" s="217"/>
      <c r="G17" s="225">
        <v>-47826.58</v>
      </c>
      <c r="H17" s="225">
        <v>175158.26</v>
      </c>
    </row>
    <row r="18" spans="1:8" x14ac:dyDescent="0.25">
      <c r="A18" s="223">
        <v>44316</v>
      </c>
      <c r="B18" s="217">
        <v>267764</v>
      </c>
      <c r="C18" s="217" t="s">
        <v>1567</v>
      </c>
      <c r="D18" s="216" t="s">
        <v>1464</v>
      </c>
      <c r="E18" s="218" t="s">
        <v>1458</v>
      </c>
      <c r="F18" s="225">
        <v>231.65</v>
      </c>
      <c r="G18" s="217"/>
      <c r="H18" s="225">
        <v>175389.91</v>
      </c>
    </row>
    <row r="19" spans="1:8" x14ac:dyDescent="0.25">
      <c r="A19" s="223">
        <v>44347</v>
      </c>
      <c r="B19" s="217">
        <v>268289</v>
      </c>
      <c r="C19" s="217" t="s">
        <v>1568</v>
      </c>
      <c r="D19" s="224" t="s">
        <v>1466</v>
      </c>
      <c r="E19" s="218" t="s">
        <v>1458</v>
      </c>
      <c r="F19" s="217">
        <v>278.87</v>
      </c>
      <c r="G19" s="217"/>
      <c r="H19" s="225">
        <v>175668.78</v>
      </c>
    </row>
    <row r="20" spans="1:8" x14ac:dyDescent="0.25">
      <c r="A20" s="223">
        <v>44377</v>
      </c>
      <c r="B20" s="217">
        <v>268536</v>
      </c>
      <c r="C20" s="217" t="s">
        <v>1569</v>
      </c>
      <c r="D20" s="224" t="s">
        <v>1383</v>
      </c>
      <c r="E20" s="218" t="s">
        <v>1458</v>
      </c>
      <c r="F20" s="217">
        <v>335.18</v>
      </c>
      <c r="G20" s="225"/>
      <c r="H20" s="225">
        <v>176003.96</v>
      </c>
    </row>
    <row r="21" spans="1:8" x14ac:dyDescent="0.25">
      <c r="A21" s="223">
        <v>44408</v>
      </c>
      <c r="B21" s="217">
        <v>269117</v>
      </c>
      <c r="C21" s="217" t="s">
        <v>1570</v>
      </c>
      <c r="D21" s="216" t="s">
        <v>1395</v>
      </c>
      <c r="E21" s="218" t="s">
        <v>1458</v>
      </c>
      <c r="F21" s="217">
        <v>387.69</v>
      </c>
      <c r="G21" s="225"/>
      <c r="H21" s="225">
        <v>176391.65</v>
      </c>
    </row>
    <row r="22" spans="1:8" x14ac:dyDescent="0.25">
      <c r="A22" s="223">
        <v>44439</v>
      </c>
      <c r="B22" s="217">
        <v>269583</v>
      </c>
      <c r="C22" s="217" t="s">
        <v>1571</v>
      </c>
      <c r="D22" s="224" t="s">
        <v>1397</v>
      </c>
      <c r="E22" s="218" t="s">
        <v>1458</v>
      </c>
      <c r="F22" s="217">
        <v>431.45</v>
      </c>
      <c r="G22" s="225"/>
      <c r="H22" s="225">
        <v>176823.1</v>
      </c>
    </row>
    <row r="23" spans="1:8" x14ac:dyDescent="0.25">
      <c r="A23" s="223">
        <v>44469</v>
      </c>
      <c r="B23" s="217">
        <v>270274</v>
      </c>
      <c r="C23" s="217" t="s">
        <v>1572</v>
      </c>
      <c r="D23" s="216" t="s">
        <v>1385</v>
      </c>
      <c r="E23" s="218" t="s">
        <v>1458</v>
      </c>
      <c r="F23" s="225">
        <v>511.75</v>
      </c>
      <c r="G23" s="217"/>
      <c r="H23" s="225">
        <v>177334.85</v>
      </c>
    </row>
    <row r="24" spans="1:8" x14ac:dyDescent="0.25">
      <c r="A24" s="223">
        <v>44500</v>
      </c>
      <c r="B24" s="217">
        <v>270837</v>
      </c>
      <c r="C24" s="217" t="s">
        <v>1572</v>
      </c>
      <c r="D24" s="216" t="s">
        <v>1388</v>
      </c>
      <c r="E24" s="218" t="s">
        <v>1458</v>
      </c>
      <c r="F24" s="225">
        <v>551.62</v>
      </c>
      <c r="G24" s="217"/>
      <c r="H24" s="225">
        <v>177886.47</v>
      </c>
    </row>
    <row r="25" spans="1:8" x14ac:dyDescent="0.25">
      <c r="A25" s="223">
        <v>44530</v>
      </c>
      <c r="B25" s="217">
        <v>271398</v>
      </c>
      <c r="C25" s="217" t="s">
        <v>1573</v>
      </c>
      <c r="D25" s="216" t="s">
        <v>1390</v>
      </c>
      <c r="E25" s="218" t="s">
        <v>1458</v>
      </c>
      <c r="F25" s="225">
        <v>635.94000000000005</v>
      </c>
      <c r="G25" s="217"/>
      <c r="H25" s="225">
        <v>178522.41</v>
      </c>
    </row>
    <row r="26" spans="1:8" x14ac:dyDescent="0.25">
      <c r="A26" s="223">
        <v>44561</v>
      </c>
      <c r="B26" s="217">
        <v>272193</v>
      </c>
      <c r="C26" s="217" t="s">
        <v>1573</v>
      </c>
      <c r="D26" s="216" t="s">
        <v>1392</v>
      </c>
      <c r="E26" s="218" t="s">
        <v>1458</v>
      </c>
      <c r="F26" s="225">
        <v>794.32</v>
      </c>
      <c r="G26" s="217"/>
      <c r="H26" s="225">
        <v>179316.73</v>
      </c>
    </row>
    <row r="27" spans="1:8" x14ac:dyDescent="0.25">
      <c r="A27" s="220" t="s">
        <v>1368</v>
      </c>
      <c r="B27" s="220" t="s">
        <v>990</v>
      </c>
      <c r="C27" s="220">
        <v>12183</v>
      </c>
      <c r="D27" s="221" t="s">
        <v>120</v>
      </c>
      <c r="E27" s="222">
        <v>144420.5</v>
      </c>
      <c r="F27" s="220"/>
      <c r="G27" s="220"/>
      <c r="H27" s="220"/>
    </row>
    <row r="28" spans="1:8" x14ac:dyDescent="0.25">
      <c r="A28" s="223">
        <v>44227</v>
      </c>
      <c r="B28" s="217">
        <v>265009</v>
      </c>
      <c r="C28" s="217" t="s">
        <v>1564</v>
      </c>
      <c r="D28" s="216" t="s">
        <v>1457</v>
      </c>
      <c r="E28" s="218" t="s">
        <v>1458</v>
      </c>
      <c r="F28" s="225">
        <v>722.1</v>
      </c>
      <c r="G28" s="217"/>
      <c r="H28" s="225">
        <v>145142.6</v>
      </c>
    </row>
    <row r="29" spans="1:8" x14ac:dyDescent="0.25">
      <c r="A29" s="223">
        <v>44255</v>
      </c>
      <c r="B29" s="217">
        <v>266411</v>
      </c>
      <c r="C29" s="217" t="s">
        <v>1565</v>
      </c>
      <c r="D29" s="216" t="s">
        <v>1460</v>
      </c>
      <c r="E29" s="218" t="s">
        <v>1458</v>
      </c>
      <c r="F29" s="225">
        <v>725.71</v>
      </c>
      <c r="G29" s="217"/>
      <c r="H29" s="225">
        <v>145868.31</v>
      </c>
    </row>
    <row r="30" spans="1:8" x14ac:dyDescent="0.25">
      <c r="A30" s="223">
        <v>44286</v>
      </c>
      <c r="B30" s="217">
        <v>267117</v>
      </c>
      <c r="C30" s="217" t="s">
        <v>1574</v>
      </c>
      <c r="D30" s="216">
        <v>32021</v>
      </c>
      <c r="E30" s="218" t="s">
        <v>1493</v>
      </c>
      <c r="F30" s="225"/>
      <c r="G30" s="217">
        <v>-4514.33</v>
      </c>
      <c r="H30" s="225">
        <v>141353.98000000001</v>
      </c>
    </row>
    <row r="31" spans="1:8" x14ac:dyDescent="0.25">
      <c r="A31" s="223">
        <v>44316</v>
      </c>
      <c r="B31" s="217">
        <v>267765</v>
      </c>
      <c r="C31" s="217" t="s">
        <v>1482</v>
      </c>
      <c r="D31" s="216" t="s">
        <v>1464</v>
      </c>
      <c r="E31" s="218" t="s">
        <v>1458</v>
      </c>
      <c r="F31" s="225">
        <v>985.91</v>
      </c>
      <c r="G31" s="217"/>
      <c r="H31" s="225">
        <v>142339.89000000001</v>
      </c>
    </row>
    <row r="32" spans="1:8" x14ac:dyDescent="0.25">
      <c r="A32" s="223">
        <v>44347</v>
      </c>
      <c r="B32" s="217">
        <v>268290</v>
      </c>
      <c r="C32" s="217" t="s">
        <v>1575</v>
      </c>
      <c r="D32" s="216" t="s">
        <v>1466</v>
      </c>
      <c r="E32" s="218" t="s">
        <v>1458</v>
      </c>
      <c r="F32" s="225"/>
      <c r="G32" s="217">
        <v>-11.79</v>
      </c>
      <c r="H32" s="225">
        <v>142328.1</v>
      </c>
    </row>
    <row r="33" spans="1:8" x14ac:dyDescent="0.25">
      <c r="A33" s="223">
        <v>44377</v>
      </c>
      <c r="B33" s="217">
        <v>268537</v>
      </c>
      <c r="C33" s="217" t="s">
        <v>1576</v>
      </c>
      <c r="D33" s="216" t="s">
        <v>1383</v>
      </c>
      <c r="E33" s="218" t="s">
        <v>1458</v>
      </c>
      <c r="F33" s="217">
        <v>1181.32</v>
      </c>
      <c r="G33" s="217"/>
      <c r="H33" s="225">
        <v>143509.42000000001</v>
      </c>
    </row>
    <row r="34" spans="1:8" x14ac:dyDescent="0.25">
      <c r="A34" s="223">
        <v>44408</v>
      </c>
      <c r="B34" s="217">
        <v>269118</v>
      </c>
      <c r="C34" s="217" t="s">
        <v>1570</v>
      </c>
      <c r="D34" s="216" t="s">
        <v>1395</v>
      </c>
      <c r="E34" s="218" t="s">
        <v>1458</v>
      </c>
      <c r="F34" s="217">
        <v>760.6</v>
      </c>
      <c r="G34" s="217"/>
      <c r="H34" s="225">
        <v>144270.01999999999</v>
      </c>
    </row>
    <row r="35" spans="1:8" x14ac:dyDescent="0.25">
      <c r="A35" s="223">
        <v>44439</v>
      </c>
      <c r="B35" s="217">
        <v>269584</v>
      </c>
      <c r="C35" s="217" t="s">
        <v>1577</v>
      </c>
      <c r="D35" s="216" t="s">
        <v>1397</v>
      </c>
      <c r="E35" s="218" t="s">
        <v>1458</v>
      </c>
      <c r="F35" s="217">
        <v>1384.99</v>
      </c>
      <c r="G35" s="217"/>
      <c r="H35" s="225">
        <v>145655.01</v>
      </c>
    </row>
    <row r="36" spans="1:8" x14ac:dyDescent="0.25">
      <c r="A36" s="223">
        <v>44469</v>
      </c>
      <c r="B36" s="217">
        <v>270275</v>
      </c>
      <c r="C36" s="217" t="s">
        <v>1578</v>
      </c>
      <c r="D36" s="216" t="s">
        <v>1385</v>
      </c>
      <c r="E36" s="218" t="s">
        <v>1458</v>
      </c>
      <c r="F36" s="217">
        <v>1267.19</v>
      </c>
      <c r="G36" s="217"/>
      <c r="H36" s="225">
        <v>146922.20000000001</v>
      </c>
    </row>
    <row r="37" spans="1:8" x14ac:dyDescent="0.25">
      <c r="A37" s="223">
        <v>44500</v>
      </c>
      <c r="B37" s="217">
        <v>270838</v>
      </c>
      <c r="C37" s="217" t="s">
        <v>1578</v>
      </c>
      <c r="D37" s="216" t="s">
        <v>1388</v>
      </c>
      <c r="E37" s="218" t="s">
        <v>1458</v>
      </c>
      <c r="F37" s="217">
        <v>1704.3</v>
      </c>
      <c r="G37" s="217"/>
      <c r="H37" s="225">
        <v>148626.5</v>
      </c>
    </row>
    <row r="38" spans="1:8" x14ac:dyDescent="0.25">
      <c r="A38" s="223">
        <v>44530</v>
      </c>
      <c r="B38" s="217">
        <v>271399</v>
      </c>
      <c r="C38" s="217" t="s">
        <v>1579</v>
      </c>
      <c r="D38" s="224" t="s">
        <v>1390</v>
      </c>
      <c r="E38" s="218" t="s">
        <v>1458</v>
      </c>
      <c r="F38" s="217">
        <v>1857.83</v>
      </c>
      <c r="G38" s="225"/>
      <c r="H38" s="225">
        <v>150484.32999999999</v>
      </c>
    </row>
    <row r="39" spans="1:8" x14ac:dyDescent="0.25">
      <c r="A39" s="223">
        <v>44561</v>
      </c>
      <c r="B39" s="217">
        <v>272194</v>
      </c>
      <c r="C39" s="217" t="s">
        <v>1580</v>
      </c>
      <c r="D39" s="224" t="s">
        <v>1392</v>
      </c>
      <c r="E39" s="218" t="s">
        <v>1458</v>
      </c>
      <c r="F39" s="217">
        <v>1429.61</v>
      </c>
      <c r="G39" s="225"/>
      <c r="H39" s="225">
        <v>151913.94</v>
      </c>
    </row>
    <row r="40" spans="1:8" x14ac:dyDescent="0.25">
      <c r="A40" s="223">
        <v>44561</v>
      </c>
      <c r="B40" s="217">
        <v>272379</v>
      </c>
      <c r="C40" s="217" t="s">
        <v>1581</v>
      </c>
      <c r="D40" s="216" t="s">
        <v>1392</v>
      </c>
      <c r="E40" s="218" t="s">
        <v>1458</v>
      </c>
      <c r="F40" s="217">
        <v>1108.96</v>
      </c>
      <c r="G40" s="225"/>
      <c r="H40" s="225">
        <v>153022.9</v>
      </c>
    </row>
    <row r="41" spans="1:8" s="117" customFormat="1" x14ac:dyDescent="0.25">
      <c r="A41" s="244"/>
      <c r="D41" s="245"/>
      <c r="E41" s="246"/>
      <c r="G41" s="209"/>
      <c r="H41" s="209"/>
    </row>
    <row r="42" spans="1:8" ht="15.75" x14ac:dyDescent="0.25">
      <c r="A42" s="773" t="s">
        <v>1410</v>
      </c>
      <c r="B42" s="773"/>
      <c r="C42" s="773"/>
      <c r="D42" s="216"/>
      <c r="E42" s="218"/>
      <c r="F42" s="217"/>
      <c r="G42" s="217"/>
      <c r="H42" s="217"/>
    </row>
    <row r="43" spans="1:8" x14ac:dyDescent="0.25">
      <c r="A43" s="220" t="s">
        <v>1368</v>
      </c>
      <c r="B43" s="220" t="s">
        <v>988</v>
      </c>
      <c r="C43" s="220">
        <v>12181</v>
      </c>
      <c r="D43" s="221" t="s">
        <v>391</v>
      </c>
      <c r="E43" s="222">
        <v>3709451.65</v>
      </c>
      <c r="F43" s="220"/>
      <c r="G43" s="220"/>
      <c r="H43" s="220"/>
    </row>
    <row r="44" spans="1:8" x14ac:dyDescent="0.25">
      <c r="A44" s="223">
        <v>44592</v>
      </c>
      <c r="B44" s="217">
        <v>273387</v>
      </c>
      <c r="C44" s="217" t="s">
        <v>1563</v>
      </c>
      <c r="D44" s="216" t="s">
        <v>1413</v>
      </c>
      <c r="E44" s="218" t="s">
        <v>1458</v>
      </c>
      <c r="F44" s="217">
        <v>38138.949999999997</v>
      </c>
      <c r="G44" s="225"/>
      <c r="H44" s="225">
        <v>3747590.6</v>
      </c>
    </row>
    <row r="45" spans="1:8" x14ac:dyDescent="0.25">
      <c r="A45" s="223">
        <v>44620</v>
      </c>
      <c r="B45" s="217">
        <v>274590</v>
      </c>
      <c r="C45" s="217" t="s">
        <v>1582</v>
      </c>
      <c r="D45" s="216" t="s">
        <v>1500</v>
      </c>
      <c r="E45" s="218" t="s">
        <v>1458</v>
      </c>
      <c r="F45" s="217">
        <v>38138.949999999997</v>
      </c>
      <c r="G45" s="225"/>
      <c r="H45" s="225">
        <v>3785729.55</v>
      </c>
    </row>
    <row r="46" spans="1:8" x14ac:dyDescent="0.25">
      <c r="A46" s="223">
        <v>44651</v>
      </c>
      <c r="B46" s="217">
        <v>277504</v>
      </c>
      <c r="C46" s="217" t="s">
        <v>1582</v>
      </c>
      <c r="D46" s="216" t="s">
        <v>1416</v>
      </c>
      <c r="E46" s="218" t="s">
        <v>1458</v>
      </c>
      <c r="F46" s="217">
        <v>17968.62</v>
      </c>
      <c r="G46" s="225"/>
      <c r="H46" s="225">
        <v>3803698.17</v>
      </c>
    </row>
    <row r="47" spans="1:8" x14ac:dyDescent="0.25">
      <c r="A47" s="223">
        <v>44681</v>
      </c>
      <c r="B47" s="217">
        <v>278198</v>
      </c>
      <c r="C47" s="217" t="s">
        <v>1582</v>
      </c>
      <c r="D47" s="216" t="s">
        <v>1418</v>
      </c>
      <c r="E47" s="218" t="s">
        <v>1458</v>
      </c>
      <c r="F47" s="217">
        <v>31415.51</v>
      </c>
      <c r="G47" s="217"/>
      <c r="H47" s="225">
        <v>3835113.68</v>
      </c>
    </row>
    <row r="48" spans="1:8" x14ac:dyDescent="0.25">
      <c r="A48" s="223">
        <v>44712</v>
      </c>
      <c r="B48" s="217">
        <v>278907</v>
      </c>
      <c r="C48" s="217" t="s">
        <v>1582</v>
      </c>
      <c r="D48" s="216" t="s">
        <v>1420</v>
      </c>
      <c r="E48" s="218" t="s">
        <v>1458</v>
      </c>
      <c r="F48" s="217">
        <v>31415.51</v>
      </c>
      <c r="G48" s="217"/>
      <c r="H48" s="225">
        <v>3866529.19</v>
      </c>
    </row>
    <row r="49" spans="1:8" x14ac:dyDescent="0.25">
      <c r="A49" s="223">
        <v>44742</v>
      </c>
      <c r="B49" s="217">
        <v>279575</v>
      </c>
      <c r="C49" s="217" t="s">
        <v>1582</v>
      </c>
      <c r="D49" s="216" t="s">
        <v>1421</v>
      </c>
      <c r="E49" s="218" t="s">
        <v>1458</v>
      </c>
      <c r="F49" s="217">
        <v>52660.09</v>
      </c>
      <c r="G49" s="217"/>
      <c r="H49" s="225">
        <v>3919189.28</v>
      </c>
    </row>
    <row r="50" spans="1:8" x14ac:dyDescent="0.25">
      <c r="A50" s="223">
        <v>44773</v>
      </c>
      <c r="B50" s="217">
        <v>280345</v>
      </c>
      <c r="C50" s="217" t="s">
        <v>1582</v>
      </c>
      <c r="D50" s="216" t="s">
        <v>1423</v>
      </c>
      <c r="E50" s="218" t="s">
        <v>1458</v>
      </c>
      <c r="F50" s="217">
        <v>38497.040000000001</v>
      </c>
      <c r="G50" s="217"/>
      <c r="H50" s="225">
        <v>3957686.32</v>
      </c>
    </row>
    <row r="51" spans="1:8" x14ac:dyDescent="0.25">
      <c r="A51" s="223">
        <v>44804</v>
      </c>
      <c r="B51" s="217">
        <v>281120</v>
      </c>
      <c r="C51" s="217" t="s">
        <v>1582</v>
      </c>
      <c r="D51" s="216" t="s">
        <v>1424</v>
      </c>
      <c r="E51" s="218" t="s">
        <v>1458</v>
      </c>
      <c r="F51" s="217">
        <v>38497.040000000001</v>
      </c>
      <c r="G51" s="217"/>
      <c r="H51" s="225">
        <v>3996183.36</v>
      </c>
    </row>
    <row r="52" spans="1:8" x14ac:dyDescent="0.25">
      <c r="A52" s="223">
        <v>44834</v>
      </c>
      <c r="B52" s="217">
        <v>282781</v>
      </c>
      <c r="C52" s="217" t="s">
        <v>1582</v>
      </c>
      <c r="D52" s="216" t="s">
        <v>1426</v>
      </c>
      <c r="E52" s="218" t="s">
        <v>1458</v>
      </c>
      <c r="F52" s="217"/>
      <c r="G52" s="217">
        <v>-114960.25</v>
      </c>
      <c r="H52" s="225">
        <v>3881223.11</v>
      </c>
    </row>
    <row r="53" spans="1:8" x14ac:dyDescent="0.25">
      <c r="A53" s="220" t="s">
        <v>1368</v>
      </c>
      <c r="B53" s="220" t="s">
        <v>989</v>
      </c>
      <c r="C53" s="220">
        <v>12182</v>
      </c>
      <c r="D53" s="221" t="s">
        <v>393</v>
      </c>
      <c r="E53" s="222">
        <v>179316.73</v>
      </c>
      <c r="F53" s="220"/>
      <c r="G53" s="220"/>
      <c r="H53" s="220"/>
    </row>
    <row r="54" spans="1:8" x14ac:dyDescent="0.25">
      <c r="A54" s="223">
        <v>44592</v>
      </c>
      <c r="B54" s="217">
        <v>272637</v>
      </c>
      <c r="C54" s="217" t="s">
        <v>1573</v>
      </c>
      <c r="D54" s="216" t="s">
        <v>1413</v>
      </c>
      <c r="E54" s="218" t="s">
        <v>1458</v>
      </c>
      <c r="F54" s="217">
        <v>1004.75</v>
      </c>
      <c r="G54" s="217"/>
      <c r="H54" s="225">
        <v>180321.48</v>
      </c>
    </row>
    <row r="55" spans="1:8" s="176" customFormat="1" x14ac:dyDescent="0.25">
      <c r="A55" s="223">
        <v>44615</v>
      </c>
      <c r="B55" s="217">
        <v>274593</v>
      </c>
      <c r="C55" s="217" t="s">
        <v>1583</v>
      </c>
      <c r="D55" s="216" t="s">
        <v>1584</v>
      </c>
      <c r="E55" s="218" t="s">
        <v>1548</v>
      </c>
      <c r="F55" s="217">
        <v>21973.599999999999</v>
      </c>
      <c r="G55" s="217"/>
      <c r="H55" s="225">
        <v>202295.08</v>
      </c>
    </row>
    <row r="56" spans="1:8" x14ac:dyDescent="0.25">
      <c r="A56" s="223">
        <v>44620</v>
      </c>
      <c r="B56" s="217">
        <v>274589</v>
      </c>
      <c r="C56" s="217" t="s">
        <v>1573</v>
      </c>
      <c r="D56" s="216" t="s">
        <v>1500</v>
      </c>
      <c r="E56" s="218" t="s">
        <v>1458</v>
      </c>
      <c r="F56" s="217">
        <v>1105.7</v>
      </c>
      <c r="G56" s="217"/>
      <c r="H56" s="225">
        <v>203400.78</v>
      </c>
    </row>
    <row r="57" spans="1:8" s="176" customFormat="1" x14ac:dyDescent="0.25">
      <c r="A57" s="223">
        <v>44642</v>
      </c>
      <c r="B57" s="217">
        <v>277445</v>
      </c>
      <c r="C57" s="217" t="s">
        <v>1585</v>
      </c>
      <c r="D57" s="216" t="s">
        <v>1586</v>
      </c>
      <c r="E57" s="218" t="s">
        <v>1548</v>
      </c>
      <c r="F57" s="217">
        <v>10986.8</v>
      </c>
      <c r="G57" s="217"/>
      <c r="H57" s="225">
        <v>214387.58</v>
      </c>
    </row>
    <row r="58" spans="1:8" x14ac:dyDescent="0.25">
      <c r="A58" s="223">
        <v>44651</v>
      </c>
      <c r="B58" s="217">
        <v>277501</v>
      </c>
      <c r="C58" s="217" t="s">
        <v>1573</v>
      </c>
      <c r="D58" s="216" t="s">
        <v>1416</v>
      </c>
      <c r="E58" s="218" t="s">
        <v>1458</v>
      </c>
      <c r="F58" s="217">
        <v>8234.85</v>
      </c>
      <c r="G58" s="217"/>
      <c r="H58" s="225">
        <v>222622.43</v>
      </c>
    </row>
    <row r="59" spans="1:8" x14ac:dyDescent="0.25">
      <c r="A59" s="223">
        <v>44651</v>
      </c>
      <c r="B59" s="217">
        <v>277768</v>
      </c>
      <c r="C59" s="217" t="s">
        <v>1587</v>
      </c>
      <c r="D59" s="216">
        <v>22022</v>
      </c>
      <c r="E59" s="218" t="s">
        <v>1458</v>
      </c>
      <c r="F59" s="217">
        <v>2719.68</v>
      </c>
      <c r="G59" s="217"/>
      <c r="H59" s="225">
        <v>225342.11</v>
      </c>
    </row>
    <row r="60" spans="1:8" s="176" customFormat="1" x14ac:dyDescent="0.25">
      <c r="A60" s="223">
        <v>44651</v>
      </c>
      <c r="B60" s="217">
        <v>277769</v>
      </c>
      <c r="C60" s="217" t="s">
        <v>1588</v>
      </c>
      <c r="D60" s="216">
        <v>32022</v>
      </c>
      <c r="E60" s="218" t="s">
        <v>1589</v>
      </c>
      <c r="F60" s="217">
        <v>54245.26</v>
      </c>
      <c r="G60" s="217"/>
      <c r="H60" s="225">
        <v>279587.37</v>
      </c>
    </row>
    <row r="61" spans="1:8" s="176" customFormat="1" x14ac:dyDescent="0.25">
      <c r="A61" s="223">
        <v>44651</v>
      </c>
      <c r="B61" s="217">
        <v>277770</v>
      </c>
      <c r="C61" s="217" t="s">
        <v>1590</v>
      </c>
      <c r="D61" s="216">
        <v>32022</v>
      </c>
      <c r="E61" s="218" t="s">
        <v>1493</v>
      </c>
      <c r="F61" s="217"/>
      <c r="G61" s="217">
        <v>-10382.299999999999</v>
      </c>
      <c r="H61" s="225">
        <v>269205.07</v>
      </c>
    </row>
    <row r="62" spans="1:8" x14ac:dyDescent="0.25">
      <c r="A62" s="223">
        <v>44681</v>
      </c>
      <c r="B62" s="217">
        <v>278196</v>
      </c>
      <c r="C62" s="217" t="s">
        <v>1573</v>
      </c>
      <c r="D62" s="216" t="s">
        <v>1418</v>
      </c>
      <c r="E62" s="218" t="s">
        <v>1458</v>
      </c>
      <c r="F62" s="217">
        <v>1600.29</v>
      </c>
      <c r="G62" s="217"/>
      <c r="H62" s="225">
        <v>270805.36</v>
      </c>
    </row>
    <row r="63" spans="1:8" x14ac:dyDescent="0.25">
      <c r="A63" s="223">
        <v>44712</v>
      </c>
      <c r="B63" s="217">
        <v>278905</v>
      </c>
      <c r="C63" s="217" t="s">
        <v>1573</v>
      </c>
      <c r="D63" s="216" t="s">
        <v>1420</v>
      </c>
      <c r="E63" s="218" t="s">
        <v>1458</v>
      </c>
      <c r="F63" s="217">
        <v>1668</v>
      </c>
      <c r="G63" s="217"/>
      <c r="H63" s="225">
        <v>272473.36</v>
      </c>
    </row>
    <row r="64" spans="1:8" x14ac:dyDescent="0.25">
      <c r="A64" s="223">
        <v>44742</v>
      </c>
      <c r="B64" s="217">
        <v>279572</v>
      </c>
      <c r="C64" s="217" t="s">
        <v>1573</v>
      </c>
      <c r="D64" s="216" t="s">
        <v>1421</v>
      </c>
      <c r="E64" s="218" t="s">
        <v>1458</v>
      </c>
      <c r="F64" s="217">
        <v>1777.32</v>
      </c>
      <c r="G64" s="217"/>
      <c r="H64" s="225">
        <v>274250.68</v>
      </c>
    </row>
    <row r="65" spans="1:8" s="176" customFormat="1" x14ac:dyDescent="0.25">
      <c r="A65" s="223">
        <v>44761</v>
      </c>
      <c r="B65" s="217">
        <v>280171</v>
      </c>
      <c r="C65" s="217" t="s">
        <v>1591</v>
      </c>
      <c r="D65" s="216" t="s">
        <v>1592</v>
      </c>
      <c r="E65" s="218" t="s">
        <v>1548</v>
      </c>
      <c r="F65" s="217">
        <v>10986.8</v>
      </c>
      <c r="G65" s="217"/>
      <c r="H65" s="225">
        <v>285237.48</v>
      </c>
    </row>
    <row r="66" spans="1:8" x14ac:dyDescent="0.25">
      <c r="A66" s="223">
        <v>44773</v>
      </c>
      <c r="B66" s="217">
        <v>280343</v>
      </c>
      <c r="C66" s="217" t="s">
        <v>1573</v>
      </c>
      <c r="D66" s="216" t="s">
        <v>1423</v>
      </c>
      <c r="E66" s="218" t="s">
        <v>1458</v>
      </c>
      <c r="F66" s="217">
        <v>1811.4</v>
      </c>
      <c r="G66" s="217"/>
      <c r="H66" s="225">
        <v>287048.88</v>
      </c>
    </row>
    <row r="67" spans="1:8" x14ac:dyDescent="0.25">
      <c r="A67" s="223">
        <v>44804</v>
      </c>
      <c r="B67" s="217">
        <v>281119</v>
      </c>
      <c r="C67" s="217" t="s">
        <v>1573</v>
      </c>
      <c r="D67" s="216" t="s">
        <v>1424</v>
      </c>
      <c r="E67" s="218" t="s">
        <v>1458</v>
      </c>
      <c r="F67" s="217">
        <v>2070.11</v>
      </c>
      <c r="G67" s="217"/>
      <c r="H67" s="225">
        <v>289118.99</v>
      </c>
    </row>
    <row r="68" spans="1:8" x14ac:dyDescent="0.25">
      <c r="A68" s="223">
        <v>44834</v>
      </c>
      <c r="B68" s="217">
        <v>282470</v>
      </c>
      <c r="C68" s="217" t="s">
        <v>1573</v>
      </c>
      <c r="D68" s="216" t="s">
        <v>1426</v>
      </c>
      <c r="E68" s="218" t="s">
        <v>1458</v>
      </c>
      <c r="F68" s="217">
        <v>1988.26</v>
      </c>
      <c r="G68" s="217"/>
      <c r="H68" s="225">
        <v>291107.25</v>
      </c>
    </row>
    <row r="69" spans="1:8" x14ac:dyDescent="0.25">
      <c r="A69" s="220" t="s">
        <v>1368</v>
      </c>
      <c r="B69" s="220" t="s">
        <v>990</v>
      </c>
      <c r="C69" s="220">
        <v>12183</v>
      </c>
      <c r="D69" s="221" t="s">
        <v>120</v>
      </c>
      <c r="E69" s="222">
        <v>153022.9</v>
      </c>
      <c r="F69" s="220"/>
      <c r="G69" s="220"/>
      <c r="H69" s="220"/>
    </row>
    <row r="70" spans="1:8" x14ac:dyDescent="0.25">
      <c r="A70" s="223">
        <v>44592</v>
      </c>
      <c r="B70" s="217">
        <v>273386</v>
      </c>
      <c r="C70" s="217" t="s">
        <v>1593</v>
      </c>
      <c r="D70" s="216" t="s">
        <v>1413</v>
      </c>
      <c r="E70" s="218" t="s">
        <v>1458</v>
      </c>
      <c r="F70" s="217">
        <v>1108.96</v>
      </c>
      <c r="G70" s="217"/>
      <c r="H70" s="225">
        <v>154131.85999999999</v>
      </c>
    </row>
    <row r="71" spans="1:8" x14ac:dyDescent="0.25">
      <c r="A71" s="223">
        <v>44620</v>
      </c>
      <c r="B71" s="217">
        <v>274591</v>
      </c>
      <c r="C71" s="217" t="s">
        <v>1594</v>
      </c>
      <c r="D71" s="216" t="s">
        <v>1413</v>
      </c>
      <c r="E71" s="218" t="s">
        <v>1458</v>
      </c>
      <c r="F71" s="217"/>
      <c r="G71" s="217">
        <v>-282.62</v>
      </c>
      <c r="H71" s="225">
        <v>153849.24</v>
      </c>
    </row>
    <row r="72" spans="1:8" x14ac:dyDescent="0.25">
      <c r="A72" s="223">
        <v>44620</v>
      </c>
      <c r="B72" s="217">
        <v>274592</v>
      </c>
      <c r="C72" s="217" t="s">
        <v>1595</v>
      </c>
      <c r="D72" s="216" t="s">
        <v>1500</v>
      </c>
      <c r="E72" s="218" t="s">
        <v>1458</v>
      </c>
      <c r="F72" s="217">
        <v>826.33</v>
      </c>
      <c r="G72" s="217"/>
      <c r="H72" s="225">
        <v>154675.57</v>
      </c>
    </row>
    <row r="73" spans="1:8" x14ac:dyDescent="0.25">
      <c r="A73" s="223">
        <v>44651</v>
      </c>
      <c r="B73" s="217">
        <v>277502</v>
      </c>
      <c r="C73" s="217" t="s">
        <v>1596</v>
      </c>
      <c r="D73" s="216" t="s">
        <v>1416</v>
      </c>
      <c r="E73" s="218" t="s">
        <v>1458</v>
      </c>
      <c r="F73" s="217">
        <v>727.54</v>
      </c>
      <c r="G73" s="217"/>
      <c r="H73" s="225">
        <v>155403.10999999999</v>
      </c>
    </row>
    <row r="74" spans="1:8" x14ac:dyDescent="0.25">
      <c r="A74" s="223">
        <v>44651</v>
      </c>
      <c r="B74" s="217">
        <v>277503</v>
      </c>
      <c r="C74" s="217" t="s">
        <v>1595</v>
      </c>
      <c r="D74" s="216" t="s">
        <v>1416</v>
      </c>
      <c r="E74" s="218" t="s">
        <v>1458</v>
      </c>
      <c r="F74" s="217">
        <v>1840.66</v>
      </c>
      <c r="G74" s="217"/>
      <c r="H74" s="225">
        <v>157243.76999999999</v>
      </c>
    </row>
    <row r="75" spans="1:8" x14ac:dyDescent="0.25">
      <c r="A75" s="223">
        <v>44681</v>
      </c>
      <c r="B75" s="217">
        <v>278197</v>
      </c>
      <c r="C75" s="217" t="s">
        <v>1595</v>
      </c>
      <c r="D75" s="216" t="s">
        <v>1418</v>
      </c>
      <c r="E75" s="218" t="s">
        <v>1458</v>
      </c>
      <c r="F75" s="217">
        <v>1840.66</v>
      </c>
      <c r="G75" s="217"/>
      <c r="H75" s="225">
        <v>159084.43</v>
      </c>
    </row>
    <row r="76" spans="1:8" x14ac:dyDescent="0.25">
      <c r="A76" s="223">
        <v>44712</v>
      </c>
      <c r="B76" s="217">
        <v>278904</v>
      </c>
      <c r="C76" s="217" t="s">
        <v>1597</v>
      </c>
      <c r="D76" s="216" t="s">
        <v>1420</v>
      </c>
      <c r="E76" s="218" t="s">
        <v>1458</v>
      </c>
      <c r="F76" s="217"/>
      <c r="G76" s="217">
        <v>-173.87</v>
      </c>
      <c r="H76" s="225">
        <v>158910.56</v>
      </c>
    </row>
    <row r="77" spans="1:8" x14ac:dyDescent="0.25">
      <c r="A77" s="223">
        <v>44712</v>
      </c>
      <c r="B77" s="217">
        <v>278906</v>
      </c>
      <c r="C77" s="217" t="s">
        <v>1595</v>
      </c>
      <c r="D77" s="216" t="s">
        <v>1420</v>
      </c>
      <c r="E77" s="218" t="s">
        <v>1458</v>
      </c>
      <c r="F77" s="217">
        <v>1666.79</v>
      </c>
      <c r="G77" s="217"/>
      <c r="H77" s="225">
        <v>160577.35</v>
      </c>
    </row>
    <row r="78" spans="1:8" x14ac:dyDescent="0.25">
      <c r="A78" s="223">
        <v>44742</v>
      </c>
      <c r="B78" s="217">
        <v>279573</v>
      </c>
      <c r="C78" s="217" t="s">
        <v>1597</v>
      </c>
      <c r="D78" s="216" t="s">
        <v>1420</v>
      </c>
      <c r="E78" s="218" t="s">
        <v>1458</v>
      </c>
      <c r="F78" s="217"/>
      <c r="G78" s="217">
        <v>-919.91</v>
      </c>
      <c r="H78" s="225">
        <v>159657.44</v>
      </c>
    </row>
    <row r="79" spans="1:8" x14ac:dyDescent="0.25">
      <c r="A79" s="223">
        <v>44742</v>
      </c>
      <c r="B79" s="217">
        <v>279574</v>
      </c>
      <c r="C79" s="217" t="s">
        <v>1595</v>
      </c>
      <c r="D79" s="216" t="s">
        <v>1421</v>
      </c>
      <c r="E79" s="218" t="s">
        <v>1458</v>
      </c>
      <c r="F79" s="217">
        <v>1069.71</v>
      </c>
      <c r="G79" s="217"/>
      <c r="H79" s="225">
        <v>160727.15</v>
      </c>
    </row>
    <row r="80" spans="1:8" x14ac:dyDescent="0.25">
      <c r="A80" s="223">
        <v>44773</v>
      </c>
      <c r="B80" s="217">
        <v>280344</v>
      </c>
      <c r="C80" s="217" t="s">
        <v>1595</v>
      </c>
      <c r="D80" s="216" t="s">
        <v>1423</v>
      </c>
      <c r="E80" s="218" t="s">
        <v>1458</v>
      </c>
      <c r="F80" s="217">
        <v>1069.71</v>
      </c>
      <c r="G80" s="217"/>
      <c r="H80" s="225">
        <v>161796.85999999999</v>
      </c>
    </row>
    <row r="81" spans="1:11" x14ac:dyDescent="0.25">
      <c r="A81" s="223">
        <v>44804</v>
      </c>
      <c r="B81" s="217">
        <v>281149</v>
      </c>
      <c r="C81" s="217" t="s">
        <v>1598</v>
      </c>
      <c r="D81" s="216" t="s">
        <v>1424</v>
      </c>
      <c r="E81" s="218" t="s">
        <v>1458</v>
      </c>
      <c r="F81" s="217"/>
      <c r="G81" s="217">
        <v>-2162.65</v>
      </c>
      <c r="H81" s="225">
        <v>159634.21</v>
      </c>
    </row>
    <row r="82" spans="1:11" x14ac:dyDescent="0.25">
      <c r="A82" s="223">
        <v>44804</v>
      </c>
      <c r="B82" s="217">
        <v>281150</v>
      </c>
      <c r="C82" s="217" t="s">
        <v>1595</v>
      </c>
      <c r="D82" s="216" t="s">
        <v>1424</v>
      </c>
      <c r="E82" s="218" t="s">
        <v>1458</v>
      </c>
      <c r="F82" s="217">
        <v>746.87</v>
      </c>
      <c r="G82" s="217"/>
      <c r="H82" s="225">
        <v>160381.07999999999</v>
      </c>
    </row>
    <row r="83" spans="1:11" x14ac:dyDescent="0.25">
      <c r="A83" s="223">
        <v>44834</v>
      </c>
      <c r="B83" s="217">
        <v>282501</v>
      </c>
      <c r="C83" s="217" t="s">
        <v>1598</v>
      </c>
      <c r="D83" s="216" t="s">
        <v>1426</v>
      </c>
      <c r="E83" s="218" t="s">
        <v>1458</v>
      </c>
      <c r="F83" s="217"/>
      <c r="G83" s="217">
        <v>-1321.56</v>
      </c>
      <c r="H83" s="225">
        <v>159059.51999999999</v>
      </c>
    </row>
    <row r="84" spans="1:11" x14ac:dyDescent="0.25">
      <c r="A84" s="223">
        <v>44834</v>
      </c>
      <c r="B84" s="217">
        <v>282502</v>
      </c>
      <c r="C84" s="217" t="s">
        <v>1595</v>
      </c>
      <c r="D84" s="216" t="s">
        <v>1426</v>
      </c>
      <c r="E84" s="218" t="s">
        <v>1458</v>
      </c>
      <c r="F84" s="217">
        <v>574.67999999999995</v>
      </c>
      <c r="G84" s="217"/>
      <c r="H84" s="225">
        <v>159634.20000000001</v>
      </c>
    </row>
    <row r="85" spans="1:11" x14ac:dyDescent="0.25">
      <c r="A85" s="223"/>
      <c r="B85" s="217"/>
      <c r="C85" s="217"/>
      <c r="D85" s="224"/>
      <c r="E85" s="218"/>
      <c r="F85" s="217"/>
      <c r="G85" s="225"/>
      <c r="H85" s="225"/>
    </row>
    <row r="87" spans="1:11" ht="15.75" thickBot="1" x14ac:dyDescent="0.3"/>
    <row r="88" spans="1:11" x14ac:dyDescent="0.25">
      <c r="A88" s="774">
        <v>2022</v>
      </c>
      <c r="B88" s="775"/>
      <c r="C88" s="775"/>
      <c r="D88" s="775"/>
      <c r="E88" s="775"/>
      <c r="F88" s="775"/>
      <c r="G88" s="775"/>
      <c r="H88" s="775"/>
      <c r="I88" s="227"/>
      <c r="K88" s="228"/>
    </row>
    <row r="89" spans="1:11" x14ac:dyDescent="0.25">
      <c r="A89" s="229"/>
      <c r="B89" s="230"/>
      <c r="C89" s="230"/>
      <c r="D89" s="230"/>
      <c r="E89" s="230"/>
      <c r="F89" s="230"/>
      <c r="G89" s="230" t="s">
        <v>1452</v>
      </c>
      <c r="H89" s="230" t="s">
        <v>1453</v>
      </c>
      <c r="I89" s="231"/>
      <c r="K89" s="228"/>
    </row>
    <row r="90" spans="1:11" s="117" customFormat="1" x14ac:dyDescent="0.25">
      <c r="A90" s="232">
        <v>44615</v>
      </c>
      <c r="B90" s="233">
        <v>274593</v>
      </c>
      <c r="C90" s="233" t="s">
        <v>1583</v>
      </c>
      <c r="D90" s="247" t="s">
        <v>1584</v>
      </c>
      <c r="E90" s="233" t="s">
        <v>1548</v>
      </c>
      <c r="G90" s="235">
        <v>21973.599999999999</v>
      </c>
      <c r="H90" s="233"/>
      <c r="I90" s="236">
        <v>202295.08</v>
      </c>
      <c r="K90" s="185"/>
    </row>
    <row r="91" spans="1:11" s="117" customFormat="1" x14ac:dyDescent="0.25">
      <c r="A91" s="232">
        <v>44642</v>
      </c>
      <c r="B91" s="233">
        <v>277445</v>
      </c>
      <c r="C91" s="233" t="s">
        <v>1585</v>
      </c>
      <c r="D91" s="247" t="s">
        <v>1586</v>
      </c>
      <c r="E91" s="233" t="s">
        <v>1548</v>
      </c>
      <c r="G91" s="235">
        <v>10986.8</v>
      </c>
      <c r="H91" s="233"/>
      <c r="I91" s="236">
        <v>214387.58</v>
      </c>
      <c r="K91" s="185"/>
    </row>
    <row r="92" spans="1:11" s="117" customFormat="1" x14ac:dyDescent="0.25">
      <c r="A92" s="232">
        <v>44761</v>
      </c>
      <c r="B92" s="233">
        <v>280171</v>
      </c>
      <c r="C92" s="233" t="s">
        <v>1591</v>
      </c>
      <c r="D92" s="247" t="s">
        <v>1592</v>
      </c>
      <c r="E92" s="233" t="s">
        <v>1548</v>
      </c>
      <c r="G92" s="235">
        <v>10986.8</v>
      </c>
      <c r="H92" s="233"/>
      <c r="I92" s="236">
        <v>285237.48</v>
      </c>
      <c r="K92" s="185"/>
    </row>
    <row r="93" spans="1:11" x14ac:dyDescent="0.25">
      <c r="A93" s="229"/>
      <c r="B93" s="242"/>
      <c r="C93" s="242"/>
      <c r="D93" s="242"/>
      <c r="E93" s="242"/>
      <c r="F93" s="242"/>
      <c r="G93" s="242"/>
      <c r="H93" s="242"/>
      <c r="I93" s="231"/>
      <c r="K93" s="228"/>
    </row>
    <row r="94" spans="1:11" ht="15.75" thickBot="1" x14ac:dyDescent="0.3">
      <c r="A94" s="237"/>
      <c r="B94" s="238"/>
      <c r="C94" s="238"/>
      <c r="D94" s="238"/>
      <c r="E94" s="238"/>
      <c r="F94" s="238"/>
      <c r="G94" s="239">
        <f>SUM(G90:G93)</f>
        <v>43947.199999999997</v>
      </c>
      <c r="H94" s="239">
        <f>SUM(H90:H93)</f>
        <v>0</v>
      </c>
      <c r="I94" s="240">
        <f>G94+H94</f>
        <v>43947.199999999997</v>
      </c>
      <c r="K94" s="241">
        <f>I94/1000</f>
        <v>43.947199999999995</v>
      </c>
    </row>
    <row r="95" spans="1:11" ht="15.75" thickBot="1" x14ac:dyDescent="0.3">
      <c r="K95" s="228"/>
    </row>
    <row r="96" spans="1:11" x14ac:dyDescent="0.25">
      <c r="A96" s="774">
        <v>2021</v>
      </c>
      <c r="B96" s="775"/>
      <c r="C96" s="775"/>
      <c r="D96" s="775"/>
      <c r="E96" s="775"/>
      <c r="F96" s="775"/>
      <c r="G96" s="775"/>
      <c r="H96" s="775"/>
      <c r="I96" s="227"/>
      <c r="K96" s="228"/>
    </row>
    <row r="97" spans="1:11" x14ac:dyDescent="0.25">
      <c r="A97" s="229"/>
      <c r="B97" s="230"/>
      <c r="C97" s="230"/>
      <c r="D97" s="230"/>
      <c r="E97" s="230"/>
      <c r="F97" s="230"/>
      <c r="G97" s="230" t="s">
        <v>1452</v>
      </c>
      <c r="H97" s="230" t="s">
        <v>1453</v>
      </c>
      <c r="I97" s="231"/>
      <c r="K97" s="228"/>
    </row>
    <row r="98" spans="1:11" x14ac:dyDescent="0.25">
      <c r="A98" s="229"/>
      <c r="B98" s="242"/>
      <c r="C98" s="242"/>
      <c r="D98" s="242"/>
      <c r="E98" s="242"/>
      <c r="F98" s="242"/>
      <c r="G98" s="242"/>
      <c r="H98" s="242"/>
      <c r="I98" s="231"/>
      <c r="K98" s="228"/>
    </row>
    <row r="99" spans="1:11" ht="15.75" thickBot="1" x14ac:dyDescent="0.3">
      <c r="A99" s="237"/>
      <c r="B99" s="238"/>
      <c r="C99" s="238"/>
      <c r="D99" s="238"/>
      <c r="E99" s="238"/>
      <c r="F99" s="238"/>
      <c r="G99" s="239">
        <f>SUM(G98:G98)</f>
        <v>0</v>
      </c>
      <c r="H99" s="239">
        <f>SUM(H98:H98)</f>
        <v>0</v>
      </c>
      <c r="I99" s="240">
        <f>G99+H99</f>
        <v>0</v>
      </c>
      <c r="K99" s="241">
        <f>-I99/1000</f>
        <v>0</v>
      </c>
    </row>
    <row r="100" spans="1:11" ht="15.75" thickBot="1" x14ac:dyDescent="0.3">
      <c r="A100" s="242"/>
      <c r="B100" s="242"/>
      <c r="C100" s="242"/>
      <c r="D100" s="242"/>
      <c r="E100" s="242"/>
      <c r="F100" s="242"/>
      <c r="G100" s="243"/>
      <c r="H100" s="243"/>
      <c r="I100" s="243"/>
      <c r="K100" s="241"/>
    </row>
    <row r="101" spans="1:11" ht="15.75" thickBot="1" x14ac:dyDescent="0.3">
      <c r="A101" s="242"/>
      <c r="B101" s="242"/>
      <c r="C101" s="242"/>
      <c r="D101" s="242"/>
      <c r="E101" s="242"/>
      <c r="F101" s="242"/>
      <c r="G101" s="243"/>
      <c r="H101" s="343" t="s">
        <v>1454</v>
      </c>
      <c r="I101" s="344"/>
      <c r="J101" s="345"/>
      <c r="K101" s="346">
        <f>K99-K94</f>
        <v>-43.947199999999995</v>
      </c>
    </row>
    <row r="102" spans="1:11" x14ac:dyDescent="0.25">
      <c r="K102" s="228"/>
    </row>
    <row r="103" spans="1:11" x14ac:dyDescent="0.25">
      <c r="K103" s="241"/>
    </row>
  </sheetData>
  <mergeCells count="4">
    <mergeCell ref="A4:C4"/>
    <mergeCell ref="A42:C42"/>
    <mergeCell ref="A88:H88"/>
    <mergeCell ref="A96:H96"/>
  </mergeCells>
  <pageMargins left="0.511811024" right="0.511811024" top="0.78740157499999996" bottom="0.78740157499999996" header="0.31496062000000002" footer="0.3149606200000000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opLeftCell="B1" workbookViewId="0">
      <selection activeCell="I24" sqref="I24"/>
    </sheetView>
  </sheetViews>
  <sheetFormatPr defaultRowHeight="15" x14ac:dyDescent="0.25"/>
  <cols>
    <col min="1" max="1" width="38.140625" bestFit="1" customWidth="1"/>
    <col min="2" max="2" width="22.5703125" bestFit="1" customWidth="1"/>
    <col min="3" max="3" width="76.85546875" bestFit="1" customWidth="1"/>
    <col min="4" max="4" width="27.5703125" bestFit="1" customWidth="1"/>
    <col min="5" max="5" width="8.42578125" bestFit="1" customWidth="1"/>
    <col min="6" max="6" width="18" bestFit="1" customWidth="1"/>
    <col min="8" max="8" width="8.42578125" bestFit="1" customWidth="1"/>
    <col min="9" max="9" width="12.7109375" bestFit="1" customWidth="1"/>
  </cols>
  <sheetData>
    <row r="1" spans="1:9" x14ac:dyDescent="0.25">
      <c r="A1" t="s">
        <v>1357</v>
      </c>
      <c r="B1" t="s">
        <v>1358</v>
      </c>
      <c r="C1" t="s">
        <v>1359</v>
      </c>
      <c r="D1" t="s">
        <v>1360</v>
      </c>
      <c r="E1" t="s">
        <v>1361</v>
      </c>
      <c r="F1" t="s">
        <v>1362</v>
      </c>
      <c r="G1" t="s">
        <v>1363</v>
      </c>
      <c r="H1" t="s">
        <v>1364</v>
      </c>
      <c r="I1" t="s">
        <v>1365</v>
      </c>
    </row>
    <row r="2" spans="1:9" x14ac:dyDescent="0.25">
      <c r="A2" t="s">
        <v>1366</v>
      </c>
    </row>
    <row r="4" spans="1:9" x14ac:dyDescent="0.25">
      <c r="A4" t="s">
        <v>4588</v>
      </c>
    </row>
    <row r="5" spans="1:9" x14ac:dyDescent="0.25">
      <c r="A5" t="s">
        <v>4587</v>
      </c>
    </row>
    <row r="7" spans="1:9" x14ac:dyDescent="0.25">
      <c r="A7" t="s">
        <v>1368</v>
      </c>
      <c r="B7" t="s">
        <v>995</v>
      </c>
      <c r="C7">
        <v>12315</v>
      </c>
      <c r="D7" t="s">
        <v>125</v>
      </c>
      <c r="E7" t="s">
        <v>1369</v>
      </c>
      <c r="F7" s="260">
        <v>11462174.43</v>
      </c>
    </row>
    <row r="9" spans="1:9" x14ac:dyDescent="0.25">
      <c r="A9" t="s">
        <v>1370</v>
      </c>
      <c r="B9" t="s">
        <v>1371</v>
      </c>
      <c r="C9" t="s">
        <v>1372</v>
      </c>
      <c r="D9" t="s">
        <v>1373</v>
      </c>
      <c r="E9" t="s">
        <v>1374</v>
      </c>
      <c r="F9" t="s">
        <v>4583</v>
      </c>
      <c r="G9" t="s">
        <v>1288</v>
      </c>
      <c r="H9" t="s">
        <v>1289</v>
      </c>
      <c r="I9" t="s">
        <v>1290</v>
      </c>
    </row>
    <row r="10" spans="1:9" x14ac:dyDescent="0.25">
      <c r="A10" s="283">
        <v>43842</v>
      </c>
      <c r="B10">
        <v>286598</v>
      </c>
      <c r="C10" t="s">
        <v>4586</v>
      </c>
      <c r="D10">
        <v>12741</v>
      </c>
      <c r="E10" t="s">
        <v>4585</v>
      </c>
      <c r="F10" t="s">
        <v>4584</v>
      </c>
      <c r="G10" s="260">
        <v>30000</v>
      </c>
      <c r="I10" s="260">
        <v>11492174.43</v>
      </c>
    </row>
    <row r="12" spans="1:9" x14ac:dyDescent="0.25">
      <c r="A12" t="s">
        <v>1368</v>
      </c>
      <c r="B12" t="s">
        <v>996</v>
      </c>
      <c r="C12">
        <v>12317</v>
      </c>
      <c r="D12" t="s">
        <v>126</v>
      </c>
      <c r="E12" t="s">
        <v>1369</v>
      </c>
      <c r="F12" s="260">
        <v>2185828.31</v>
      </c>
    </row>
    <row r="14" spans="1:9" x14ac:dyDescent="0.25">
      <c r="A14" t="s">
        <v>1370</v>
      </c>
      <c r="B14" t="s">
        <v>1371</v>
      </c>
      <c r="C14" t="s">
        <v>1372</v>
      </c>
      <c r="D14" t="s">
        <v>1373</v>
      </c>
      <c r="E14" t="s">
        <v>1374</v>
      </c>
      <c r="F14" t="s">
        <v>4583</v>
      </c>
      <c r="G14" t="s">
        <v>1288</v>
      </c>
      <c r="H14" t="s">
        <v>1289</v>
      </c>
      <c r="I14" t="s">
        <v>1290</v>
      </c>
    </row>
    <row r="15" spans="1:9" x14ac:dyDescent="0.25">
      <c r="A15" s="283">
        <v>43914</v>
      </c>
      <c r="B15">
        <v>289040</v>
      </c>
      <c r="C15" t="s">
        <v>4582</v>
      </c>
      <c r="D15">
        <v>46</v>
      </c>
      <c r="F15" t="s">
        <v>4581</v>
      </c>
      <c r="G15" s="260">
        <v>16370</v>
      </c>
      <c r="I15" s="260">
        <v>2202198.31</v>
      </c>
    </row>
  </sheetData>
  <pageMargins left="0.511811024" right="0.511811024" top="0.78740157499999996" bottom="0.78740157499999996" header="0.31496062000000002" footer="0.3149606200000000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"/>
  <sheetViews>
    <sheetView showGridLines="0" zoomScaleNormal="100" workbookViewId="0">
      <selection activeCell="I17" sqref="I17"/>
    </sheetView>
  </sheetViews>
  <sheetFormatPr defaultRowHeight="15" x14ac:dyDescent="0.25"/>
  <cols>
    <col min="1" max="1" width="39.28515625" bestFit="1" customWidth="1"/>
    <col min="2" max="2" width="4.42578125" customWidth="1"/>
    <col min="3" max="3" width="15.5703125" customWidth="1"/>
    <col min="4" max="4" width="4" style="242" customWidth="1"/>
    <col min="5" max="5" width="15.42578125" customWidth="1"/>
    <col min="6" max="6" width="3" customWidth="1"/>
    <col min="7" max="7" width="15.7109375" bestFit="1" customWidth="1"/>
    <col min="8" max="8" width="4.140625" customWidth="1"/>
    <col min="9" max="9" width="14.7109375" customWidth="1"/>
  </cols>
  <sheetData>
    <row r="1" spans="1:18" x14ac:dyDescent="0.25">
      <c r="M1" s="242"/>
    </row>
    <row r="2" spans="1:18" ht="26.25" x14ac:dyDescent="0.25">
      <c r="A2" s="319" t="s">
        <v>1758</v>
      </c>
      <c r="B2" s="313"/>
      <c r="C2" s="314" t="s">
        <v>1755</v>
      </c>
      <c r="D2" s="315"/>
      <c r="E2" s="296" t="s">
        <v>1756</v>
      </c>
      <c r="F2" s="305"/>
      <c r="G2" s="314" t="s">
        <v>1757</v>
      </c>
      <c r="L2" s="319"/>
      <c r="M2" s="313"/>
      <c r="N2" s="314"/>
      <c r="O2" s="315"/>
      <c r="P2" s="296"/>
      <c r="Q2" s="305"/>
      <c r="R2" s="314"/>
    </row>
    <row r="3" spans="1:18" x14ac:dyDescent="0.25">
      <c r="A3" s="138"/>
      <c r="B3" s="139"/>
      <c r="C3" s="42"/>
      <c r="D3" s="42"/>
      <c r="E3" s="76"/>
      <c r="F3" s="76"/>
      <c r="G3" s="42"/>
      <c r="L3" s="138"/>
      <c r="M3" s="139"/>
      <c r="N3" s="42"/>
      <c r="O3" s="42"/>
      <c r="P3" s="76"/>
      <c r="Q3" s="76"/>
      <c r="R3" s="42"/>
    </row>
    <row r="4" spans="1:18" x14ac:dyDescent="0.25">
      <c r="A4" s="320" t="s">
        <v>1760</v>
      </c>
      <c r="B4" s="139"/>
      <c r="C4" s="316">
        <v>-3521</v>
      </c>
      <c r="D4" s="294"/>
      <c r="E4" s="295"/>
      <c r="F4" s="295"/>
      <c r="G4" s="316">
        <v>-3521</v>
      </c>
      <c r="L4" s="320"/>
      <c r="M4" s="139"/>
      <c r="N4" s="316"/>
      <c r="O4" s="294"/>
      <c r="P4" s="295"/>
      <c r="Q4" s="295"/>
      <c r="R4" s="316"/>
    </row>
    <row r="5" spans="1:18" x14ac:dyDescent="0.25">
      <c r="A5" s="146"/>
      <c r="B5" s="292"/>
      <c r="C5" s="8"/>
      <c r="D5" s="8"/>
      <c r="E5" s="23"/>
      <c r="F5" s="23"/>
      <c r="G5" s="8"/>
      <c r="L5" s="146"/>
      <c r="M5" s="292"/>
      <c r="N5" s="8"/>
      <c r="O5" s="8"/>
      <c r="P5" s="23"/>
      <c r="Q5" s="23"/>
      <c r="R5" s="8"/>
    </row>
    <row r="6" spans="1:18" x14ac:dyDescent="0.25">
      <c r="A6" s="145" t="s">
        <v>1753</v>
      </c>
      <c r="B6" s="293"/>
      <c r="C6" s="8">
        <v>-104</v>
      </c>
      <c r="D6" s="8"/>
      <c r="E6" s="23">
        <v>104</v>
      </c>
      <c r="F6" s="23"/>
      <c r="G6" s="8">
        <f>C6+E6</f>
        <v>0</v>
      </c>
      <c r="L6" s="145"/>
      <c r="M6" s="293"/>
      <c r="N6" s="8"/>
      <c r="O6" s="8"/>
      <c r="P6" s="23"/>
      <c r="Q6" s="23"/>
      <c r="R6" s="8"/>
    </row>
    <row r="7" spans="1:18" x14ac:dyDescent="0.25">
      <c r="A7" s="145" t="s">
        <v>1754</v>
      </c>
      <c r="B7" s="293"/>
      <c r="C7" s="8">
        <v>-272</v>
      </c>
      <c r="D7" s="8"/>
      <c r="E7" s="19">
        <v>272</v>
      </c>
      <c r="F7" s="19"/>
      <c r="G7" s="8">
        <f t="shared" ref="G7:G8" si="0">C7+E7</f>
        <v>0</v>
      </c>
      <c r="L7" s="145"/>
      <c r="M7" s="293"/>
      <c r="N7" s="8"/>
      <c r="O7" s="8"/>
      <c r="P7" s="19"/>
      <c r="Q7" s="19"/>
      <c r="R7" s="8"/>
    </row>
    <row r="8" spans="1:18" x14ac:dyDescent="0.25">
      <c r="A8" s="292" t="s">
        <v>46</v>
      </c>
      <c r="B8" s="292"/>
      <c r="C8" s="316">
        <f>SUM(C6:C7)</f>
        <v>-376</v>
      </c>
      <c r="D8" s="316"/>
      <c r="E8" s="317">
        <f>SUM(E6:E7)</f>
        <v>376</v>
      </c>
      <c r="F8" s="318"/>
      <c r="G8" s="25">
        <f t="shared" si="0"/>
        <v>0</v>
      </c>
      <c r="L8" s="292"/>
      <c r="M8" s="292"/>
      <c r="N8" s="316"/>
      <c r="O8" s="316"/>
      <c r="P8" s="317"/>
      <c r="Q8" s="318"/>
      <c r="R8" s="25"/>
    </row>
    <row r="9" spans="1:18" x14ac:dyDescent="0.25">
      <c r="A9" s="53"/>
      <c r="B9" s="161"/>
      <c r="C9" s="53"/>
      <c r="D9" s="53"/>
      <c r="E9" s="53"/>
      <c r="F9" s="53"/>
      <c r="G9" s="53"/>
      <c r="L9" s="53"/>
      <c r="M9" s="161"/>
      <c r="N9" s="53"/>
      <c r="O9" s="53"/>
      <c r="P9" s="53"/>
      <c r="Q9" s="53"/>
      <c r="R9" s="53"/>
    </row>
    <row r="10" spans="1:18" x14ac:dyDescent="0.25">
      <c r="A10" s="292" t="s">
        <v>1759</v>
      </c>
      <c r="B10" s="161"/>
      <c r="C10" s="316">
        <f>C4+C8</f>
        <v>-3897</v>
      </c>
      <c r="D10" s="316">
        <f t="shared" ref="D10:G10" si="1">D4+D8</f>
        <v>0</v>
      </c>
      <c r="E10" s="316">
        <f t="shared" si="1"/>
        <v>376</v>
      </c>
      <c r="F10" s="316">
        <f t="shared" si="1"/>
        <v>0</v>
      </c>
      <c r="G10" s="316">
        <f t="shared" si="1"/>
        <v>-3521</v>
      </c>
      <c r="L10" s="292"/>
      <c r="M10" s="161"/>
      <c r="N10" s="316"/>
      <c r="O10" s="316"/>
      <c r="P10" s="316"/>
      <c r="Q10" s="316"/>
      <c r="R10" s="316"/>
    </row>
    <row r="15" spans="1:18" x14ac:dyDescent="0.25">
      <c r="C15" s="321"/>
      <c r="D15" s="313"/>
      <c r="E15" s="322"/>
      <c r="F15" s="322"/>
      <c r="G15" s="313"/>
      <c r="H15" s="313"/>
      <c r="I15" s="322"/>
      <c r="J15" s="291"/>
      <c r="K15" s="323"/>
      <c r="L15" s="323"/>
      <c r="M15" s="291"/>
      <c r="N15" s="291"/>
      <c r="O15" s="323"/>
    </row>
    <row r="16" spans="1:18" x14ac:dyDescent="0.25">
      <c r="C16" s="139"/>
      <c r="D16" s="139"/>
      <c r="E16" s="42"/>
      <c r="F16" s="42"/>
      <c r="G16" s="76"/>
      <c r="H16" s="76"/>
      <c r="I16" s="42"/>
      <c r="J16" s="139"/>
      <c r="K16" s="42"/>
      <c r="L16" s="42"/>
      <c r="M16" s="76"/>
      <c r="N16" s="76"/>
      <c r="O16" s="42"/>
    </row>
    <row r="17" spans="3:15" x14ac:dyDescent="0.25">
      <c r="C17" s="320"/>
      <c r="D17" s="139"/>
      <c r="E17" s="324"/>
      <c r="F17" s="42"/>
      <c r="G17" s="76"/>
      <c r="H17" s="76"/>
      <c r="I17" s="324"/>
      <c r="J17" s="139"/>
      <c r="K17" s="325"/>
      <c r="L17" s="42"/>
      <c r="M17" s="76"/>
      <c r="N17" s="76"/>
      <c r="O17" s="325"/>
    </row>
    <row r="18" spans="3:15" x14ac:dyDescent="0.25">
      <c r="C18" s="292"/>
      <c r="D18" s="292"/>
      <c r="E18" s="22"/>
      <c r="F18" s="22"/>
      <c r="G18" s="23"/>
      <c r="H18" s="23"/>
      <c r="I18" s="22"/>
      <c r="J18" s="292"/>
      <c r="K18" s="22"/>
      <c r="L18" s="22"/>
      <c r="M18" s="23"/>
      <c r="N18" s="23"/>
      <c r="O18" s="22"/>
    </row>
    <row r="19" spans="3:15" x14ac:dyDescent="0.25">
      <c r="C19" s="293"/>
      <c r="D19" s="293"/>
      <c r="E19" s="22"/>
      <c r="F19" s="22"/>
      <c r="G19" s="23"/>
      <c r="H19" s="23"/>
      <c r="I19" s="22"/>
      <c r="J19" s="293"/>
      <c r="K19" s="22"/>
      <c r="L19" s="22"/>
      <c r="M19" s="23"/>
      <c r="N19" s="23"/>
      <c r="O19" s="22"/>
    </row>
    <row r="20" spans="3:15" x14ac:dyDescent="0.25">
      <c r="C20" s="293"/>
      <c r="D20" s="293"/>
      <c r="E20" s="22"/>
      <c r="F20" s="22"/>
      <c r="G20" s="19"/>
      <c r="H20" s="19"/>
      <c r="I20" s="22"/>
      <c r="J20" s="293"/>
      <c r="K20" s="22"/>
      <c r="L20" s="22"/>
      <c r="M20" s="19"/>
      <c r="N20" s="19"/>
      <c r="O20" s="22"/>
    </row>
    <row r="21" spans="3:15" x14ac:dyDescent="0.25">
      <c r="C21" s="292"/>
      <c r="D21" s="292"/>
      <c r="E21" s="324"/>
      <c r="F21" s="324"/>
      <c r="G21" s="326"/>
      <c r="H21" s="161"/>
      <c r="I21" s="7"/>
      <c r="J21" s="292"/>
      <c r="K21" s="325"/>
      <c r="L21" s="325"/>
      <c r="M21" s="327"/>
      <c r="N21" s="242"/>
      <c r="O21" s="7"/>
    </row>
    <row r="22" spans="3:15" x14ac:dyDescent="0.25">
      <c r="C22" s="161"/>
      <c r="D22" s="161"/>
      <c r="E22" s="161"/>
      <c r="F22" s="161"/>
      <c r="G22" s="161"/>
      <c r="H22" s="161"/>
      <c r="I22" s="161"/>
      <c r="J22" s="242"/>
      <c r="K22" s="242"/>
      <c r="L22" s="242"/>
      <c r="M22" s="242"/>
      <c r="N22" s="242"/>
      <c r="O22" s="242"/>
    </row>
    <row r="23" spans="3:15" x14ac:dyDescent="0.25">
      <c r="C23" s="292"/>
      <c r="D23" s="161"/>
      <c r="E23" s="324"/>
      <c r="F23" s="324"/>
      <c r="G23" s="324"/>
      <c r="H23" s="324"/>
      <c r="I23" s="324"/>
      <c r="J23" s="242"/>
      <c r="K23" s="325"/>
      <c r="L23" s="325"/>
      <c r="M23" s="325"/>
      <c r="N23" s="325"/>
      <c r="O23" s="325"/>
    </row>
    <row r="24" spans="3:15" x14ac:dyDescent="0.25">
      <c r="C24" s="242"/>
      <c r="E24" s="242"/>
      <c r="F24" s="242"/>
      <c r="G24" s="242"/>
      <c r="H24" s="242"/>
      <c r="I24" s="242"/>
      <c r="J24" s="242"/>
      <c r="K24" s="242"/>
      <c r="L24" s="242"/>
      <c r="M24" s="242"/>
      <c r="N24" s="242"/>
      <c r="O24" s="242"/>
    </row>
  </sheetData>
  <pageMargins left="0.511811024" right="0.511811024" top="0.78740157499999996" bottom="0.78740157499999996" header="0.31496062000000002" footer="0.31496062000000002"/>
  <pageSetup paperSize="9" scale="78" orientation="portrait" r:id="rId1"/>
  <colBreaks count="1" manualBreakCount="1">
    <brk id="10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591FE38EC899440BAAAE7FB8027CE72" ma:contentTypeVersion="1" ma:contentTypeDescription="Crie um novo documento." ma:contentTypeScope="" ma:versionID="49e12c44ef5e81649bdd40f481712ae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27df3e864a1ba1b0c791d115cbe9943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Agendamento de Data de Início" ma:description="Data de Início de Agendamento é uma coluna de site criada pelo recurso de Publicação. Ela é usada para especificar a data e hora em que essa página aparecerá pela primeira vez aos visitantes do site." ma:hidden="true" ma:internalName="PublishingStartDate">
      <xsd:simpleType>
        <xsd:restriction base="dms:Unknown"/>
      </xsd:simpleType>
    </xsd:element>
    <xsd:element name="PublishingExpirationDate" ma:index="9" nillable="true" ma:displayName="Agendamento de Data de Término" ma:description="Data Final de Agendamento é uma coluna de site criada pelo recurso de Publicação. Ela é usada para especificar a data e a hora em que essa página não será mais exibida aos visitantes do site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8404311-DECD-4CDD-B8C5-1B8EEA675556}">
  <ds:schemaRefs>
    <ds:schemaRef ds:uri="http://www.w3.org/XML/1998/namespace"/>
    <ds:schemaRef ds:uri="http://purl.org/dc/elements/1.1/"/>
    <ds:schemaRef ds:uri="http://schemas.microsoft.com/office/2006/metadata/properties"/>
    <ds:schemaRef ds:uri="bc6e17c5-77a9-42e7-986c-eee86f48c9b0"/>
    <ds:schemaRef ds:uri="http://purl.org/dc/dcmitype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e2f81712-dae9-4fd9-b489-a0dd4025278e"/>
  </ds:schemaRefs>
</ds:datastoreItem>
</file>

<file path=customXml/itemProps2.xml><?xml version="1.0" encoding="utf-8"?>
<ds:datastoreItem xmlns:ds="http://schemas.openxmlformats.org/officeDocument/2006/customXml" ds:itemID="{C5AA5FEE-A1AA-436C-B4E9-98F7FD96F20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C10A43B-9BC0-43FB-BE51-738B06C06AC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25</vt:i4>
      </vt:variant>
      <vt:variant>
        <vt:lpstr>Intervalos nomeados</vt:lpstr>
      </vt:variant>
      <vt:variant>
        <vt:i4>9</vt:i4>
      </vt:variant>
    </vt:vector>
  </HeadingPairs>
  <TitlesOfParts>
    <vt:vector size="34" baseType="lpstr">
      <vt:lpstr>Balancete 03.2023</vt:lpstr>
      <vt:lpstr>BP</vt:lpstr>
      <vt:lpstr>Planilha2</vt:lpstr>
      <vt:lpstr>DRE</vt:lpstr>
      <vt:lpstr>DRA </vt:lpstr>
      <vt:lpstr>DMPL</vt:lpstr>
      <vt:lpstr>DMPL (2)</vt:lpstr>
      <vt:lpstr>DFC </vt:lpstr>
      <vt:lpstr>DVA </vt:lpstr>
      <vt:lpstr>IRPJ_CSLL_2022</vt:lpstr>
      <vt:lpstr>IRPJ_CSLL_2023</vt:lpstr>
      <vt:lpstr>IRPJ eCSLL (2)</vt:lpstr>
      <vt:lpstr>DF's</vt:lpstr>
      <vt:lpstr>Instrumentos financeiros </vt:lpstr>
      <vt:lpstr>IRPJ eCSLL</vt:lpstr>
      <vt:lpstr>Mov imob</vt:lpstr>
      <vt:lpstr>Razão Provisões p. Contigências</vt:lpstr>
      <vt:lpstr>Depósitos judiciais</vt:lpstr>
      <vt:lpstr>Impostos a recuperar</vt:lpstr>
      <vt:lpstr>Planilha3</vt:lpstr>
      <vt:lpstr>AFAC</vt:lpstr>
      <vt:lpstr>DFC - Impostos a recuperar</vt:lpstr>
      <vt:lpstr>DFC - Depositos judiciais</vt:lpstr>
      <vt:lpstr>RAZÃO IMOBILIZADO</vt:lpstr>
      <vt:lpstr>Planilha1</vt:lpstr>
      <vt:lpstr>BP!Area_de_impressao</vt:lpstr>
      <vt:lpstr>'DFC '!Area_de_impressao</vt:lpstr>
      <vt:lpstr>DMPL!Area_de_impressao</vt:lpstr>
      <vt:lpstr>'DMPL (2)'!Area_de_impressao</vt:lpstr>
      <vt:lpstr>'DRA '!Area_de_impressao</vt:lpstr>
      <vt:lpstr>DRE!Area_de_impressao</vt:lpstr>
      <vt:lpstr>'DVA '!Area_de_impressao</vt:lpstr>
      <vt:lpstr>IRPJ_CSLL_2022!Area_de_impressao</vt:lpstr>
      <vt:lpstr>IRPJ_CSLL_2023!Area_de_impressao</vt:lpstr>
    </vt:vector>
  </TitlesOfParts>
  <Company>Empresa de Pesquisa Energética - EPE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 Tosta</dc:creator>
  <cp:lastModifiedBy>Rayanne Amorim</cp:lastModifiedBy>
  <cp:lastPrinted>2023-04-26T13:42:52Z</cp:lastPrinted>
  <dcterms:created xsi:type="dcterms:W3CDTF">2020-11-11T18:13:55Z</dcterms:created>
  <dcterms:modified xsi:type="dcterms:W3CDTF">2023-05-15T16:58:38Z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0x0101004591FE38EC899440BAAAE7FB8027CE72</vt:lpwstr>
  </property>
</Properties>
</file>